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etronashville-my.sharepoint.com/personal/abraham_wescott_nashville_gov/Documents/Documents/"/>
    </mc:Choice>
  </mc:AlternateContent>
  <xr:revisionPtr revIDLastSave="0" documentId="8_{786E1B40-A88E-48E5-B0E7-414C398A4D21}" xr6:coauthVersionLast="47" xr6:coauthVersionMax="47" xr10:uidLastSave="{00000000-0000-0000-0000-000000000000}"/>
  <bookViews>
    <workbookView xWindow="2304" yWindow="2304" windowWidth="17280" windowHeight="8880" xr2:uid="{0BE17E21-12DD-4A8C-815B-DDF0F5DF9213}"/>
  </bookViews>
  <sheets>
    <sheet name="Metro Property Inventory" sheetId="1" r:id="rId1"/>
    <sheet name="Council District 01  " sheetId="16" r:id="rId2"/>
    <sheet name="Council District 02" sheetId="15" r:id="rId3"/>
    <sheet name="Council District 03" sheetId="14" r:id="rId4"/>
    <sheet name="Council District 04" sheetId="13" r:id="rId5"/>
    <sheet name="Council District 05" sheetId="12" r:id="rId6"/>
    <sheet name="Council District 06" sheetId="11" r:id="rId7"/>
    <sheet name="Council District 07" sheetId="10" r:id="rId8"/>
    <sheet name="Council District 08" sheetId="8" r:id="rId9"/>
    <sheet name="Council District 09" sheetId="9" r:id="rId10"/>
    <sheet name="Council District 10" sheetId="7" r:id="rId11"/>
    <sheet name="Council District 11" sheetId="17" r:id="rId12"/>
    <sheet name="Council District 12" sheetId="22" r:id="rId13"/>
    <sheet name="Council District 13" sheetId="19" r:id="rId14"/>
    <sheet name="Council District 14" sheetId="25" r:id="rId15"/>
    <sheet name="Council District 15" sheetId="23" r:id="rId16"/>
    <sheet name="Council District 16" sheetId="18" r:id="rId17"/>
    <sheet name="Council District 17" sheetId="34" r:id="rId18"/>
    <sheet name="Council District 18" sheetId="36" r:id="rId19"/>
    <sheet name="Council District 19" sheetId="37" r:id="rId20"/>
    <sheet name="Council District 20" sheetId="38" r:id="rId21"/>
    <sheet name="Council District 21" sheetId="41" r:id="rId22"/>
    <sheet name="Council District 22" sheetId="43" r:id="rId23"/>
    <sheet name="Council District 23" sheetId="44" r:id="rId24"/>
    <sheet name="Council District 24" sheetId="42" r:id="rId25"/>
    <sheet name="Council District 25" sheetId="40" r:id="rId26"/>
    <sheet name="Council District 26" sheetId="39" r:id="rId27"/>
    <sheet name="Council District 27" sheetId="35" r:id="rId28"/>
    <sheet name="Council District 28" sheetId="24" r:id="rId29"/>
    <sheet name="Council District 29" sheetId="20" r:id="rId30"/>
    <sheet name="Council District 30" sheetId="21" r:id="rId31"/>
    <sheet name="Council District 31" sheetId="6" r:id="rId32"/>
    <sheet name="Council District 32" sheetId="5" r:id="rId33"/>
    <sheet name="Council District 33" sheetId="4" r:id="rId34"/>
    <sheet name="Council District 34" sheetId="3" r:id="rId35"/>
    <sheet name="Council District 35" sheetId="2" r:id="rId3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4" l="1"/>
  <c r="B26" i="44"/>
  <c r="B25" i="44"/>
  <c r="B24" i="44"/>
  <c r="B23" i="44"/>
  <c r="B22" i="44"/>
  <c r="B21" i="44"/>
  <c r="B20" i="44"/>
  <c r="B19" i="44"/>
  <c r="B18" i="44"/>
  <c r="B17" i="44"/>
  <c r="B16" i="44"/>
  <c r="B15" i="44"/>
  <c r="B14" i="44"/>
  <c r="B13" i="44"/>
  <c r="B12" i="44"/>
  <c r="B11" i="44"/>
  <c r="B10" i="44"/>
  <c r="B9" i="44"/>
  <c r="B8" i="44"/>
  <c r="B7" i="44"/>
  <c r="B6" i="44"/>
  <c r="B5" i="44"/>
  <c r="B4" i="44"/>
  <c r="B3" i="44"/>
  <c r="B2" i="44"/>
  <c r="B18" i="43"/>
  <c r="B17" i="43"/>
  <c r="B16" i="43"/>
  <c r="B15" i="43"/>
  <c r="B14" i="43"/>
  <c r="B13" i="43"/>
  <c r="B12" i="43"/>
  <c r="B11" i="43"/>
  <c r="B10" i="43"/>
  <c r="B9" i="43"/>
  <c r="B8" i="43"/>
  <c r="B7" i="43"/>
  <c r="B6" i="43"/>
  <c r="B5" i="43"/>
  <c r="B4" i="43"/>
  <c r="B3" i="43"/>
  <c r="B2" i="43"/>
  <c r="B31" i="42"/>
  <c r="B30" i="42"/>
  <c r="B29" i="42"/>
  <c r="B28" i="42"/>
  <c r="B27" i="42"/>
  <c r="B26" i="42"/>
  <c r="B25" i="42"/>
  <c r="B24" i="42"/>
  <c r="B23" i="42"/>
  <c r="B22" i="42"/>
  <c r="B21" i="42"/>
  <c r="B20" i="42"/>
  <c r="B19" i="42"/>
  <c r="B18" i="42"/>
  <c r="B17" i="42"/>
  <c r="B16" i="42"/>
  <c r="B15" i="42"/>
  <c r="B14" i="42"/>
  <c r="B13" i="42"/>
  <c r="B12" i="42"/>
  <c r="B11" i="42"/>
  <c r="B10" i="42"/>
  <c r="B9" i="42"/>
  <c r="B8" i="42"/>
  <c r="B7" i="42"/>
  <c r="B6" i="42"/>
  <c r="B5" i="42"/>
  <c r="B4" i="42"/>
  <c r="B3" i="42"/>
  <c r="B2" i="42"/>
  <c r="B105" i="41"/>
  <c r="B104" i="41"/>
  <c r="B103" i="41"/>
  <c r="B102" i="41"/>
  <c r="B101" i="41"/>
  <c r="B100" i="41"/>
  <c r="B99" i="41"/>
  <c r="B98" i="41"/>
  <c r="B97" i="41"/>
  <c r="B96" i="41"/>
  <c r="B95" i="41"/>
  <c r="B94" i="41"/>
  <c r="B93" i="41"/>
  <c r="B92" i="41"/>
  <c r="B91" i="41"/>
  <c r="B90" i="41"/>
  <c r="B89" i="41"/>
  <c r="B88" i="41"/>
  <c r="B87" i="41"/>
  <c r="B86" i="41"/>
  <c r="B85" i="41"/>
  <c r="B84" i="41"/>
  <c r="B83" i="41"/>
  <c r="B82" i="41"/>
  <c r="B81" i="41"/>
  <c r="B80" i="41"/>
  <c r="B79" i="41"/>
  <c r="B78" i="41"/>
  <c r="B77" i="41"/>
  <c r="B76" i="41"/>
  <c r="B75" i="41"/>
  <c r="B74" i="41"/>
  <c r="B73" i="41"/>
  <c r="B72" i="41"/>
  <c r="B71" i="41"/>
  <c r="B70" i="41"/>
  <c r="B69" i="41"/>
  <c r="B68" i="41"/>
  <c r="B67" i="41"/>
  <c r="B66" i="41"/>
  <c r="B65" i="41"/>
  <c r="B64" i="41"/>
  <c r="B63" i="41"/>
  <c r="B62" i="41"/>
  <c r="B61" i="41"/>
  <c r="B60" i="41"/>
  <c r="B59" i="41"/>
  <c r="B58" i="41"/>
  <c r="B57" i="41"/>
  <c r="B56" i="41"/>
  <c r="B55" i="41"/>
  <c r="B54" i="41"/>
  <c r="B53" i="41"/>
  <c r="B52" i="41"/>
  <c r="B51" i="41"/>
  <c r="B50" i="41"/>
  <c r="B49" i="41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B13" i="41"/>
  <c r="B12" i="41"/>
  <c r="B11" i="41"/>
  <c r="B10" i="41"/>
  <c r="B9" i="41"/>
  <c r="B8" i="41"/>
  <c r="B7" i="41"/>
  <c r="B6" i="41"/>
  <c r="B5" i="41"/>
  <c r="B4" i="41"/>
  <c r="B3" i="41"/>
  <c r="B2" i="41"/>
  <c r="B49" i="40"/>
  <c r="B48" i="40"/>
  <c r="B47" i="40"/>
  <c r="B46" i="40"/>
  <c r="B45" i="40"/>
  <c r="B44" i="40"/>
  <c r="B43" i="40"/>
  <c r="B42" i="40"/>
  <c r="B41" i="40"/>
  <c r="B40" i="40"/>
  <c r="B39" i="40"/>
  <c r="B38" i="40"/>
  <c r="B37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B5" i="40"/>
  <c r="B4" i="40"/>
  <c r="B3" i="40"/>
  <c r="B2" i="40"/>
  <c r="B64" i="39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B3" i="39"/>
  <c r="B2" i="39"/>
  <c r="B125" i="38"/>
  <c r="B124" i="38"/>
  <c r="B123" i="38"/>
  <c r="B122" i="38"/>
  <c r="B121" i="38"/>
  <c r="B120" i="38"/>
  <c r="B119" i="38"/>
  <c r="B118" i="38"/>
  <c r="B117" i="38"/>
  <c r="B116" i="38"/>
  <c r="B115" i="38"/>
  <c r="B114" i="38"/>
  <c r="B113" i="38"/>
  <c r="B112" i="38"/>
  <c r="B111" i="38"/>
  <c r="B110" i="38"/>
  <c r="B109" i="38"/>
  <c r="B108" i="38"/>
  <c r="B107" i="38"/>
  <c r="B106" i="38"/>
  <c r="B105" i="38"/>
  <c r="B104" i="38"/>
  <c r="B103" i="38"/>
  <c r="B102" i="38"/>
  <c r="B101" i="38"/>
  <c r="B100" i="38"/>
  <c r="B99" i="38"/>
  <c r="B98" i="38"/>
  <c r="B97" i="38"/>
  <c r="B96" i="38"/>
  <c r="B95" i="38"/>
  <c r="B94" i="38"/>
  <c r="B93" i="38"/>
  <c r="B92" i="38"/>
  <c r="B91" i="38"/>
  <c r="B90" i="38"/>
  <c r="B89" i="38"/>
  <c r="B88" i="38"/>
  <c r="B87" i="38"/>
  <c r="B86" i="38"/>
  <c r="B85" i="38"/>
  <c r="B84" i="38"/>
  <c r="B83" i="38"/>
  <c r="B82" i="38"/>
  <c r="B81" i="38"/>
  <c r="B80" i="38"/>
  <c r="B79" i="38"/>
  <c r="B78" i="38"/>
  <c r="B77" i="38"/>
  <c r="B76" i="38"/>
  <c r="B75" i="38"/>
  <c r="B74" i="38"/>
  <c r="B73" i="38"/>
  <c r="B72" i="38"/>
  <c r="B71" i="38"/>
  <c r="B70" i="38"/>
  <c r="B69" i="38"/>
  <c r="B68" i="38"/>
  <c r="B67" i="38"/>
  <c r="B66" i="38"/>
  <c r="B65" i="38"/>
  <c r="B64" i="38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B3" i="38"/>
  <c r="B2" i="38"/>
  <c r="B119" i="37"/>
  <c r="B118" i="37"/>
  <c r="B117" i="37"/>
  <c r="B116" i="37"/>
  <c r="B115" i="37"/>
  <c r="B114" i="37"/>
  <c r="B113" i="37"/>
  <c r="B112" i="37"/>
  <c r="B111" i="37"/>
  <c r="B110" i="37"/>
  <c r="B109" i="37"/>
  <c r="B108" i="37"/>
  <c r="B107" i="37"/>
  <c r="B106" i="37"/>
  <c r="B105" i="37"/>
  <c r="B104" i="37"/>
  <c r="B103" i="37"/>
  <c r="B102" i="37"/>
  <c r="B101" i="37"/>
  <c r="B100" i="37"/>
  <c r="B99" i="37"/>
  <c r="B98" i="37"/>
  <c r="B97" i="37"/>
  <c r="B96" i="37"/>
  <c r="B95" i="37"/>
  <c r="B94" i="37"/>
  <c r="B93" i="37"/>
  <c r="B92" i="37"/>
  <c r="B91" i="37"/>
  <c r="B90" i="37"/>
  <c r="B89" i="37"/>
  <c r="B88" i="37"/>
  <c r="B87" i="37"/>
  <c r="B86" i="37"/>
  <c r="B85" i="37"/>
  <c r="B84" i="37"/>
  <c r="B83" i="37"/>
  <c r="B82" i="37"/>
  <c r="B81" i="37"/>
  <c r="B80" i="37"/>
  <c r="B79" i="37"/>
  <c r="B78" i="37"/>
  <c r="B77" i="37"/>
  <c r="B76" i="37"/>
  <c r="B75" i="37"/>
  <c r="B74" i="37"/>
  <c r="B73" i="37"/>
  <c r="B72" i="37"/>
  <c r="B71" i="37"/>
  <c r="B70" i="37"/>
  <c r="B69" i="37"/>
  <c r="B68" i="37"/>
  <c r="B67" i="37"/>
  <c r="B66" i="37"/>
  <c r="B65" i="37"/>
  <c r="B64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B3" i="37"/>
  <c r="B2" i="37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B3" i="36"/>
  <c r="B2" i="36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B3" i="35"/>
  <c r="B2" i="35"/>
  <c r="B80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B67" i="34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B3" i="34"/>
  <c r="B2" i="34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B2" i="25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B139" i="24"/>
  <c r="B138" i="24"/>
  <c r="B137" i="24"/>
  <c r="B136" i="24"/>
  <c r="B135" i="24"/>
  <c r="B134" i="24"/>
  <c r="B133" i="24"/>
  <c r="B132" i="24"/>
  <c r="B131" i="24"/>
  <c r="B130" i="24"/>
  <c r="B129" i="24"/>
  <c r="B128" i="24"/>
  <c r="B127" i="24"/>
  <c r="B126" i="24"/>
  <c r="B125" i="24"/>
  <c r="B124" i="24"/>
  <c r="B123" i="24"/>
  <c r="B122" i="24"/>
  <c r="B121" i="24"/>
  <c r="B120" i="24"/>
  <c r="B119" i="24"/>
  <c r="B118" i="24"/>
  <c r="B117" i="24"/>
  <c r="B116" i="24"/>
  <c r="B115" i="24"/>
  <c r="B114" i="24"/>
  <c r="B113" i="24"/>
  <c r="B112" i="24"/>
  <c r="B111" i="24"/>
  <c r="B110" i="24"/>
  <c r="B109" i="24"/>
  <c r="B108" i="24"/>
  <c r="B107" i="24"/>
  <c r="B106" i="24"/>
  <c r="B105" i="24"/>
  <c r="B104" i="24"/>
  <c r="B103" i="24"/>
  <c r="B102" i="24"/>
  <c r="B101" i="24"/>
  <c r="B100" i="24"/>
  <c r="B99" i="24"/>
  <c r="B98" i="24"/>
  <c r="B97" i="24"/>
  <c r="B96" i="24"/>
  <c r="B95" i="24"/>
  <c r="B94" i="24"/>
  <c r="B93" i="24"/>
  <c r="B92" i="24"/>
  <c r="B91" i="24"/>
  <c r="B90" i="24"/>
  <c r="B89" i="24"/>
  <c r="B88" i="24"/>
  <c r="B87" i="24"/>
  <c r="B86" i="24"/>
  <c r="B85" i="24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3" i="24"/>
  <c r="B2" i="24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3" i="23"/>
  <c r="B2" i="23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B3" i="22"/>
  <c r="B2" i="22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3" i="21"/>
  <c r="B2" i="21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B2" i="20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B2" i="19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3" i="18"/>
  <c r="B2" i="18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B2" i="17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B10" i="13"/>
  <c r="B9" i="13"/>
  <c r="B8" i="13"/>
  <c r="B7" i="13"/>
  <c r="B6" i="13"/>
  <c r="B5" i="13"/>
  <c r="B4" i="13"/>
  <c r="B3" i="13"/>
  <c r="B2" i="13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2" i="11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13" i="8"/>
  <c r="B12" i="8"/>
  <c r="B11" i="8"/>
  <c r="B10" i="8"/>
  <c r="B9" i="8"/>
  <c r="B8" i="8"/>
  <c r="B7" i="8"/>
  <c r="B6" i="8"/>
  <c r="B5" i="8"/>
  <c r="B4" i="8"/>
  <c r="B3" i="8"/>
  <c r="B2" i="8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</calcChain>
</file>

<file path=xl/sharedStrings.xml><?xml version="1.0" encoding="utf-8"?>
<sst xmlns="http://schemas.openxmlformats.org/spreadsheetml/2006/main" count="57756" uniqueCount="8246">
  <si>
    <t>Council District</t>
  </si>
  <si>
    <t>Parcel ID</t>
  </si>
  <si>
    <t>Parcel Address</t>
  </si>
  <si>
    <t>Parcel City</t>
  </si>
  <si>
    <t>Parcel State</t>
  </si>
  <si>
    <t>Parcel Zipcode</t>
  </si>
  <si>
    <t>Land Use</t>
  </si>
  <si>
    <t>Owner</t>
  </si>
  <si>
    <t>Acquired Date</t>
  </si>
  <si>
    <t>Sale Instrument</t>
  </si>
  <si>
    <t>Sale Price</t>
  </si>
  <si>
    <t>Owner Address</t>
  </si>
  <si>
    <t>Owner City</t>
  </si>
  <si>
    <t>Owner State</t>
  </si>
  <si>
    <t>Owner Zipcode</t>
  </si>
  <si>
    <t>Legal Description</t>
  </si>
  <si>
    <t>Acreage</t>
  </si>
  <si>
    <t>Fontage</t>
  </si>
  <si>
    <t>Side</t>
  </si>
  <si>
    <t>Parcel Instrument</t>
  </si>
  <si>
    <t>Parcel Date</t>
  </si>
  <si>
    <t>Census Tract</t>
  </si>
  <si>
    <t>Tax District</t>
  </si>
  <si>
    <t>Assessment Date</t>
  </si>
  <si>
    <t>Total Appraised Value</t>
  </si>
  <si>
    <t>Improved Appraised Value</t>
  </si>
  <si>
    <t>Land Appraised Value</t>
  </si>
  <si>
    <t>01</t>
  </si>
  <si>
    <t>0 OLD HICKORY BLVD</t>
  </si>
  <si>
    <t>NASHVILLE</t>
  </si>
  <si>
    <t>TN</t>
  </si>
  <si>
    <t>VACANT RURAL LAND</t>
  </si>
  <si>
    <t>METRO GOV'T</t>
  </si>
  <si>
    <t>DB-20190801 0075766</t>
  </si>
  <si>
    <t>null</t>
  </si>
  <si>
    <t>P O BOX 196300</t>
  </si>
  <si>
    <t>S/S OF OLD HICKORY BV E OF HYDES FERRY PK &amp; PT CL RD</t>
  </si>
  <si>
    <t>OR-00092217 0000000</t>
  </si>
  <si>
    <t>GSD</t>
  </si>
  <si>
    <t>0 WHITLOW MOUNTAIN RD</t>
  </si>
  <si>
    <t>ASHLAND CITY</t>
  </si>
  <si>
    <t>VACANT COMMERCIAL LAND</t>
  </si>
  <si>
    <t>DB-20151102 0111593</t>
  </si>
  <si>
    <t>N OF BULL RUN RD W OF OLD HICKORY BLVD</t>
  </si>
  <si>
    <t>DB-00004199 0000868</t>
  </si>
  <si>
    <t>DB-20151102 0111595</t>
  </si>
  <si>
    <t>S OF LITTLE MARROWBONE RD AND, W OF EATONS CREEK ROAD</t>
  </si>
  <si>
    <t>OR-00092192 0000000</t>
  </si>
  <si>
    <t>0 EATONS CREEK RD</t>
  </si>
  <si>
    <t>DB-00005414 0000389</t>
  </si>
  <si>
    <t>W/S EATONS CREEK ROAD N. OF HYDES FERRY PIKE</t>
  </si>
  <si>
    <t>DB-00003536 0000186</t>
  </si>
  <si>
    <t>0 BLUE BERRY HILL RD</t>
  </si>
  <si>
    <t>DB-20160513 0048097</t>
  </si>
  <si>
    <t>S SIDE BLUE BERRY HILL RD N OF OLD HICKORY BLVD</t>
  </si>
  <si>
    <t>PL-20140417 0032336</t>
  </si>
  <si>
    <t>0 LITTLE MARROWBONE RD</t>
  </si>
  <si>
    <t>S OF LITTLE MARROWBONE ROAD AND, W OF EATONS CREEK ROAD</t>
  </si>
  <si>
    <t>DB-00005730 0000587</t>
  </si>
  <si>
    <t>JOELTON</t>
  </si>
  <si>
    <t>DB-00010086 0000165</t>
  </si>
  <si>
    <t>N SIDE LITTLE MARROWBONE RD AND W OF EATONS CREEK ROAD</t>
  </si>
  <si>
    <t>SV-00000000 0000000</t>
  </si>
  <si>
    <t>3832 WHITES CREEK PIKE</t>
  </si>
  <si>
    <t>VACANT RESIDENTIAL LAND</t>
  </si>
  <si>
    <t>DB-20120830 0078352</t>
  </si>
  <si>
    <t>W/S WHITES CREEK PK N OF GREEN LN</t>
  </si>
  <si>
    <t>DB-00005809 0000892</t>
  </si>
  <si>
    <t>USD</t>
  </si>
  <si>
    <t>3711 W HAMILTON RD</t>
  </si>
  <si>
    <t>DB-20140618 0053197</t>
  </si>
  <si>
    <t>LOT 1 SCALF'S PLAN BEING A PART OF TRACT 8  FAIRVIEW</t>
  </si>
  <si>
    <t>PL-20060403 0037598</t>
  </si>
  <si>
    <t>3615 W HAMILTON RD</t>
  </si>
  <si>
    <t>LOT 2 FAIRVIEW SUB PORTION OF TRACT 8</t>
  </si>
  <si>
    <t>DC-20140618 0053196</t>
  </si>
  <si>
    <t>3611 W HAMILTON RD</t>
  </si>
  <si>
    <t>RESIDENTIAL COMBO/MISC</t>
  </si>
  <si>
    <t>LOT 3 FAIRVIEW SUB PORTION OF TRACT 8</t>
  </si>
  <si>
    <t>3607 W HAMILTON RD</t>
  </si>
  <si>
    <t>PT LOT 4 FAIRVIEW SUB PORTION OF TRACT 8</t>
  </si>
  <si>
    <t>DB-20180727 0073402</t>
  </si>
  <si>
    <t>3701 W HAMILTON RD</t>
  </si>
  <si>
    <t>PT LOT 1 FAIRVIEW SUB PORTION OF TRACT 8</t>
  </si>
  <si>
    <t>0 CLARKSVILLE PIKE</t>
  </si>
  <si>
    <t>PO BOX 196300</t>
  </si>
  <si>
    <t>PT OF TRACT 8  FAIRVIEW</t>
  </si>
  <si>
    <t>DB-20190306 0020579</t>
  </si>
  <si>
    <t>0 W HAMILTON RD</t>
  </si>
  <si>
    <t>0 WHITES CREEK PIKE</t>
  </si>
  <si>
    <t>DB-20120828 0077471</t>
  </si>
  <si>
    <t>DB-00009140 0000130</t>
  </si>
  <si>
    <t>3854 WHITES CREEK PIKE</t>
  </si>
  <si>
    <t>DB-20120828 0077475</t>
  </si>
  <si>
    <t>PT LOT 5 ATKINSON PROPERTY</t>
  </si>
  <si>
    <t>DB-00009767 0000916</t>
  </si>
  <si>
    <t>DB-20120828 0077491</t>
  </si>
  <si>
    <t>DB-00009140 0000132</t>
  </si>
  <si>
    <t>0 OLD CLARKSVILLE PIKE</t>
  </si>
  <si>
    <t>METRO GOV'T  BT  BACK TAX SALE</t>
  </si>
  <si>
    <t>CR-20100429 0032789</t>
  </si>
  <si>
    <t>S/S OLD CLARKSVILLE PIKE W. OF CLARKSVILLE PIKE</t>
  </si>
  <si>
    <t>DB-00000425 0000475</t>
  </si>
  <si>
    <t>WHITES CREEK</t>
  </si>
  <si>
    <t>CR-20030318 0035831</t>
  </si>
  <si>
    <t>S. SIDE CLARKSVILLE PIKE E. OF DOUGLAS ROAD</t>
  </si>
  <si>
    <t>DB-00004005 0000968</t>
  </si>
  <si>
    <t>0 TRANHAM RD</t>
  </si>
  <si>
    <t>CR-20131219 0128434</t>
  </si>
  <si>
    <t>N/S TRANTHAM ROAD E OF WHITES CREEK PIKE</t>
  </si>
  <si>
    <t>DB-00007862 0000971</t>
  </si>
  <si>
    <t>4053 GRAYS POINT RD</t>
  </si>
  <si>
    <t>CR-20131219 0128436</t>
  </si>
  <si>
    <t>S. S. GRAYS POINT ROAD &amp; W. OF EATONS CREEK ROAD</t>
  </si>
  <si>
    <t>DB-00003916 0000907</t>
  </si>
  <si>
    <t>4984 BULL RUN RD</t>
  </si>
  <si>
    <t>CR-20030318 0035832</t>
  </si>
  <si>
    <t>DB-00009923 0000774</t>
  </si>
  <si>
    <t>409 EWING DR</t>
  </si>
  <si>
    <t>CR-20150702 0064009</t>
  </si>
  <si>
    <t>PT LOT 5 LAVERNGE ACRES</t>
  </si>
  <si>
    <t>DB-00002883 0000474</t>
  </si>
  <si>
    <t>0 AMY LYNN DR</t>
  </si>
  <si>
    <t>CR-20091123 0107726</t>
  </si>
  <si>
    <t>W/S AMY LYNN DRIVE S OF OLD HYDES FERRY PIKE</t>
  </si>
  <si>
    <t>PL-00005200 0000008</t>
  </si>
  <si>
    <t>0 CATO RD</t>
  </si>
  <si>
    <t>CR-20111219 0098673</t>
  </si>
  <si>
    <t>E. SIDE CATO RD. N. OF HYDES FERRY PIKE</t>
  </si>
  <si>
    <t>QC-00009278 0000197</t>
  </si>
  <si>
    <t>0 PUTNAM DR</t>
  </si>
  <si>
    <t>CR-20131022 0110199</t>
  </si>
  <si>
    <t>RESERVED LOT ROYAL HILLS SEC 3</t>
  </si>
  <si>
    <t>PL-00004860 0000047</t>
  </si>
  <si>
    <t>0 VISTAVIEW DR</t>
  </si>
  <si>
    <t>DB-20010824 0091885</t>
  </si>
  <si>
    <t>STRIP BUENA VISTA EST. SEC 2</t>
  </si>
  <si>
    <t>DB-00004879 0000447</t>
  </si>
  <si>
    <t>0 SUNNYVIEW DR</t>
  </si>
  <si>
    <t>DB-20010824 0091886</t>
  </si>
  <si>
    <t>RES. PAR. E". BUENA VISTA EST. SEC. 6A"</t>
  </si>
  <si>
    <t>DB-00004621 0000939</t>
  </si>
  <si>
    <t>0 OLD HYDES FERRY PIKE</t>
  </si>
  <si>
    <t>CR-20140311 0020386</t>
  </si>
  <si>
    <t>S W CORNER OLD HYDES FERRY PIKE &amp; OLD HICKORY BLVD.</t>
  </si>
  <si>
    <t>DB-00003993 0000714</t>
  </si>
  <si>
    <t>3851 CLARKSVILLE PIKE</t>
  </si>
  <si>
    <t>FIRE STATION</t>
  </si>
  <si>
    <t>METRO GOV'T  F  ENG CO 24</t>
  </si>
  <si>
    <t>DB-00004719 0000753</t>
  </si>
  <si>
    <t>N. W. CORNER CLARKSVILLE PIKE &amp; ABERNATHY RD.</t>
  </si>
  <si>
    <t>4000 CLARKSVILLE PIKE</t>
  </si>
  <si>
    <t>METRO OTHER THAN OFC, SCHOOL,HOSP, OR PARK</t>
  </si>
  <si>
    <t>METRO GOV'T  L  BORDEAUX LIBRARY</t>
  </si>
  <si>
    <t>DB-00011484 0000582</t>
  </si>
  <si>
    <t>PT LOT 3 BORDEAUX LIBRARY SUB</t>
  </si>
  <si>
    <t>DB-20180727 0073401</t>
  </si>
  <si>
    <t>0 COUNTY HOSPITAL RD</t>
  </si>
  <si>
    <t>METRO GOV'T  M  FINANCE</t>
  </si>
  <si>
    <t>DB-00001729 0000263</t>
  </si>
  <si>
    <t>N OF COUNTY HOSP RD W OF HYDES FERRY PK</t>
  </si>
  <si>
    <t>DB-00007783 0000621</t>
  </si>
  <si>
    <t>0 LAGRANGE DR</t>
  </si>
  <si>
    <t>DB-00003428 0000220</t>
  </si>
  <si>
    <t>S. END OF LAGRANGE DR. W. END. OF VIKING ROAD</t>
  </si>
  <si>
    <t>1010 CAMILLA CALDWELL LN</t>
  </si>
  <si>
    <t>HOSPITAL OR CLINIC</t>
  </si>
  <si>
    <t>METRO GOV'T  M  HOSPITAL &amp; HOME</t>
  </si>
  <si>
    <t>S SIDE COUNTY HOSPITAL RD W OF HYDES FERRY PK</t>
  </si>
  <si>
    <t>QC-20180216 0015309</t>
  </si>
  <si>
    <t>3705 OLD CLARKSVILLE PIKE</t>
  </si>
  <si>
    <t>METRO GOV'T  M  MISC</t>
  </si>
  <si>
    <t>DB-20111220 0099473</t>
  </si>
  <si>
    <t>LOT 1 R.L. REEDER PROPERTY</t>
  </si>
  <si>
    <t>PL-20111219 0098670</t>
  </si>
  <si>
    <t>3941 DRAKES BRANCH RD</t>
  </si>
  <si>
    <t>METRO GOV'T  NE  POWER BOARD</t>
  </si>
  <si>
    <t>DB-00003531 0000216</t>
  </si>
  <si>
    <t>1214 CHURCH ST C/O MR EUGENE WARD</t>
  </si>
  <si>
    <t>LOT 23 ENCHANTED HILLS SEC 1</t>
  </si>
  <si>
    <t>3246 CROWE DR</t>
  </si>
  <si>
    <t>DB-00003508 0000546</t>
  </si>
  <si>
    <t>LOT 234 SEC 1 BORDEAUX GARDENS</t>
  </si>
  <si>
    <t>0 BUENA VISTA PIKE</t>
  </si>
  <si>
    <t>DB-00005481 0000437</t>
  </si>
  <si>
    <t>W/S BUENA VISTA PIKE S OF DRY FORK RD</t>
  </si>
  <si>
    <t>3829 ASHLAND CITY HWY</t>
  </si>
  <si>
    <t>DB-00003795 0000829</t>
  </si>
  <si>
    <t>N OF ASHLAND CITY HY &amp; W OF CLARKSVILLE PK</t>
  </si>
  <si>
    <t>OR-00092362 0000000</t>
  </si>
  <si>
    <t>1811 COUNTY HOSPITAL RD</t>
  </si>
  <si>
    <t>DB-00001316 0000157</t>
  </si>
  <si>
    <t>W SIDE COUNTY HOSPITAL ROAD AND, S OF OLD HYDES FERRY PIKE</t>
  </si>
  <si>
    <t>4107 OLD HICKORY BLVD</t>
  </si>
  <si>
    <t>SINGLE FAMILY</t>
  </si>
  <si>
    <t>METRO GOV'T  P  BELLS BEND PARK</t>
  </si>
  <si>
    <t>DB-00009631 0000976</t>
  </si>
  <si>
    <t>W SIDE OLD HICKORY BLVD, N OF CUMBERLAND RIVER</t>
  </si>
  <si>
    <t>CO-00000000 0000000</t>
  </si>
  <si>
    <t>4100 TIMOTHY DR</t>
  </si>
  <si>
    <t>PARK OR RECREATION</t>
  </si>
  <si>
    <t>METRO GOV'T  P  BORDEAUX PARK-TIMOTHY RD</t>
  </si>
  <si>
    <t>DB-00005692 0000516</t>
  </si>
  <si>
    <t>E OF TIMOTHY RD S OF KINGS LN</t>
  </si>
  <si>
    <t>DB-00004830 0000734</t>
  </si>
  <si>
    <t>21 JOELTON COMMUNITY CENTER RD</t>
  </si>
  <si>
    <t>METRO GOV'T  P  PARK BOARD</t>
  </si>
  <si>
    <t>DB-00007771 0000019</t>
  </si>
  <si>
    <t>W.SIDE JOELTON COMMUNITY CENTER RD.N.OF OLD CLARKSVILLE PIKE</t>
  </si>
  <si>
    <t>ER-00000000 0000000</t>
  </si>
  <si>
    <t>4007 W HAMILTON RD</t>
  </si>
  <si>
    <t>METRO GOV'T  P  PARKS</t>
  </si>
  <si>
    <t>DB-20110603 0042536</t>
  </si>
  <si>
    <t>PT LT 9 BLK HH FAIRVIEW SUB</t>
  </si>
  <si>
    <t>DB-00003801 0000054</t>
  </si>
  <si>
    <t>4005 W HAMILTON RD</t>
  </si>
  <si>
    <t>DB-20110707 0051894</t>
  </si>
  <si>
    <t>PT LOTS 9 &amp; 10 BLK HH FAIRVIEW SUB</t>
  </si>
  <si>
    <t>DB-00003801 0000046</t>
  </si>
  <si>
    <t>4003 W HAMILTON RD</t>
  </si>
  <si>
    <t>DB-20110527 0040771</t>
  </si>
  <si>
    <t>PT LOT 10 BLK H H FAIRVIEW SUB</t>
  </si>
  <si>
    <t>DB-00003963 0000054</t>
  </si>
  <si>
    <t>0 W HAMILTON AVE</t>
  </si>
  <si>
    <t>DB-20060526 0061881</t>
  </si>
  <si>
    <t>S. SIDE WEST HAMILTON AVE W. OF TUCKER RD.</t>
  </si>
  <si>
    <t>DB-00004463 0000337</t>
  </si>
  <si>
    <t>7277 OLD HICKORY BLVD</t>
  </si>
  <si>
    <t>METRO GOV'T  P  WHITES CREEK PARK</t>
  </si>
  <si>
    <t>DB-00004926 0000057</t>
  </si>
  <si>
    <t>N/W COR LICKTON PIKE &amp; OLD HICKORY BLVD</t>
  </si>
  <si>
    <t>4111 LITTLE MARROWBONE RD</t>
  </si>
  <si>
    <t>METRO GOV'T  P BEAMAN PARK</t>
  </si>
  <si>
    <t>QC-20100806 0062336</t>
  </si>
  <si>
    <t>W SIDE EATONS CREEK RD N OF BLUE BERRY HILL ROAD</t>
  </si>
  <si>
    <t>DB-20090605 0052523</t>
  </si>
  <si>
    <t>3210 HINKLE DR</t>
  </si>
  <si>
    <t>METRO GOV'T  PW  ROW SURPLUS</t>
  </si>
  <si>
    <t>DB-00007586 0000835</t>
  </si>
  <si>
    <t>N/W CORNER HYDES FERRY PK &amp; HINKLE DR</t>
  </si>
  <si>
    <t>PL-00009700 0000105</t>
  </si>
  <si>
    <t>5341 WHITES CREEK PIKE</t>
  </si>
  <si>
    <t>METRO GOV'T  Q  DEVIL ELBOW</t>
  </si>
  <si>
    <t>DB-00001787 0000071</t>
  </si>
  <si>
    <t>E SIDE WHITES CK PK S OF UNION HILL RD</t>
  </si>
  <si>
    <t>METRO GOV'T  Q  HYDES FERRY</t>
  </si>
  <si>
    <t>DB-00000267 0000208</t>
  </si>
  <si>
    <t>S. SIDE I. C. R. R. ROW E. OF COUNTY HOSP RD.</t>
  </si>
  <si>
    <t>4297 DRAKE WOOD LN</t>
  </si>
  <si>
    <t>METRO GOV'T  RP  REAL PROPERTY SERVICE</t>
  </si>
  <si>
    <t>DB-20091105 0102548</t>
  </si>
  <si>
    <t>N/S ASHLAND CITY HY E. OF HYDESDALE DRIVE</t>
  </si>
  <si>
    <t>3921 LLOYD RD</t>
  </si>
  <si>
    <t>SCHOOL OR COLLEGE</t>
  </si>
  <si>
    <t>METRO GOV'T  S  ALEX GREEN</t>
  </si>
  <si>
    <t>DB-00002018 0000325</t>
  </si>
  <si>
    <t>W SIDE WHITES CK PK AND N OF DRY FORK RD</t>
  </si>
  <si>
    <t>3500 JOHN MALLETTE DR</t>
  </si>
  <si>
    <t>METRO GOV'T  S  CUMBERLAND</t>
  </si>
  <si>
    <t>DB-00001849 0000115</t>
  </si>
  <si>
    <t>S SIDE CLARKSVILLE PK W OF ASHTON AVE</t>
  </si>
  <si>
    <t>DB-20180727 0073400</t>
  </si>
  <si>
    <t>4247 CATO RD</t>
  </si>
  <si>
    <t>METRO GOV'T  S  CUMBERLAND ELEMENTARY</t>
  </si>
  <si>
    <t>DB-00009739 0000529</t>
  </si>
  <si>
    <t>LOT 1 CUMBERLAND ELEMENTARY SUBD</t>
  </si>
  <si>
    <t>PL-00009700 0000072</t>
  </si>
  <si>
    <t>1910 S HAMILTON RD</t>
  </si>
  <si>
    <t>METRO GOV'T  S  DAVIS ELC</t>
  </si>
  <si>
    <t>DB-00000647 0000198</t>
  </si>
  <si>
    <t>LOT 4 PT. LOTS 1,2,3&amp;5 NEWTON CANNONS SUB.</t>
  </si>
  <si>
    <t>7107 WHITES CREEK PIKE</t>
  </si>
  <si>
    <t>METRO GOV'T  S  JOELTON</t>
  </si>
  <si>
    <t>DB-00000576 0000266</t>
  </si>
  <si>
    <t>N W CORNER OLD CLARKSVILLE PIKE AND WHITES CREEK PIKE</t>
  </si>
  <si>
    <t>4640 LICKTON PIKE</t>
  </si>
  <si>
    <t>METRO GOV'T  S  WHITES CREEK HIGH SCHOOL</t>
  </si>
  <si>
    <t>W/S LICKTON PIKE N OF OLD HICKORY BLVD</t>
  </si>
  <si>
    <t>DB-00000000 0000000</t>
  </si>
  <si>
    <t>7100 WHITES CREEK PIKE</t>
  </si>
  <si>
    <t>METRO GOV'T  WW  WATER &amp; SEWER</t>
  </si>
  <si>
    <t>UD-ZERO     0000064</t>
  </si>
  <si>
    <t>LOT 1 BATES-METRO LIBRARY BD SUB &amp; PT CLOSED ALLEY</t>
  </si>
  <si>
    <t>OR-20061195 0000000</t>
  </si>
  <si>
    <t>4663 WHITES CREEK PIKE</t>
  </si>
  <si>
    <t>DB-00004782 0000563</t>
  </si>
  <si>
    <t>E OF WHITES CREEK PIKE, NORTH OF OLD HICKORY BLVD</t>
  </si>
  <si>
    <t>DB-00003762 0000041</t>
  </si>
  <si>
    <t>WS WHITES CREEK PIKE, N OF OLD HICKORY BLVD</t>
  </si>
  <si>
    <t>DB-00003762 0000043</t>
  </si>
  <si>
    <t>5126 BULL RUN RD</t>
  </si>
  <si>
    <t>E. OF BULL RUN RD. N. OF OLD HICKORY BLVD.</t>
  </si>
  <si>
    <t>DB-00004244 0000749</t>
  </si>
  <si>
    <t>3133 GWYNNWOOD DR</t>
  </si>
  <si>
    <t>DB-20000106 0002083</t>
  </si>
  <si>
    <t>LOT 166 GOLDEN VALLEY EST SEC 1</t>
  </si>
  <si>
    <t>DB-00004706 0000795</t>
  </si>
  <si>
    <t>3821 CREEKWOOD CIR</t>
  </si>
  <si>
    <t>DB-20091222 0116228</t>
  </si>
  <si>
    <t>LOT 69 CREEKWOOD NORTH</t>
  </si>
  <si>
    <t>DB-00004704 0000675</t>
  </si>
  <si>
    <t>N/S COUNTY HOSPITAL RD S/S WHITES CREEK</t>
  </si>
  <si>
    <t>1360 COUNTY HOSPITAL RD</t>
  </si>
  <si>
    <t>S/S COUNTY HOSPITAL RD E/S OF WHITES CREEK</t>
  </si>
  <si>
    <t>S/S COUNTY HOSPITAL RD W OF HOSPITAL LN</t>
  </si>
  <si>
    <t>S OF COUNTY HOSPITAL RD W OF HOSPITAL LN</t>
  </si>
  <si>
    <t>3185 LAGRANGE DR</t>
  </si>
  <si>
    <t>DB-00003614 0000337</t>
  </si>
  <si>
    <t>W/S LEGRANGE DRIVE, S. OF SNELL BLVD.</t>
  </si>
  <si>
    <t>3099 EWINGDALE DR</t>
  </si>
  <si>
    <t>DB-20030318 0035945</t>
  </si>
  <si>
    <t>LOT 167 GOLDEN VALLEY EST SEC 1</t>
  </si>
  <si>
    <t>DB-00004515 0000937</t>
  </si>
  <si>
    <t>4343 EATONS CREEK RD</t>
  </si>
  <si>
    <t>DB-20190530 0051085</t>
  </si>
  <si>
    <t>1600 2ND AVE N</t>
  </si>
  <si>
    <t>WEST SIDE EATONS CREEK ROAD &amp; SOUTH OF SULPHUR CREEK ROAD</t>
  </si>
  <si>
    <t>DB-00004466 0000863</t>
  </si>
  <si>
    <t>3104 EWINGDALE DR</t>
  </si>
  <si>
    <t>DB-20000106 0002081</t>
  </si>
  <si>
    <t>LOT 102 GOLDEN VALLEY EST SEC 1</t>
  </si>
  <si>
    <t>DB-00003069 0000151</t>
  </si>
  <si>
    <t>3100 EWINGDALE DR</t>
  </si>
  <si>
    <t>DB-20000630 0065390</t>
  </si>
  <si>
    <t>LOT 101 GOLDEN VALLEY EST SEC 1</t>
  </si>
  <si>
    <t>DB-00004676 0000548</t>
  </si>
  <si>
    <t>3157 EWINGDALE DR</t>
  </si>
  <si>
    <t>DB-00011105 0000918</t>
  </si>
  <si>
    <t>LOTS 147 THRU 165 GOLDEN VALLEY EST SEC 1</t>
  </si>
  <si>
    <t>1607 COUNTY HOSPITAL RD</t>
  </si>
  <si>
    <t>AUTO DEALER</t>
  </si>
  <si>
    <t>QC-20120912 0082692</t>
  </si>
  <si>
    <t>W SIDE COUNTY HOSPITAL RD, S OF OLD HYDES FERRY ROAD</t>
  </si>
  <si>
    <t>SW-20210421 0053465</t>
  </si>
  <si>
    <t>1830 RIVER DR</t>
  </si>
  <si>
    <t>DB-00004063 0000043</t>
  </si>
  <si>
    <t>LOT 63 HALEYS SUB SHEEGOG</t>
  </si>
  <si>
    <t>5346 BUENA VISTA PIKE</t>
  </si>
  <si>
    <t>DB-20120130 0008223</t>
  </si>
  <si>
    <t>E SIDE BUENA VISTA PIKE AND, S OF WHITES CREEK PIKE</t>
  </si>
  <si>
    <t>DB-00004754 0000788</t>
  </si>
  <si>
    <t>5336 BUENA VISTA PIKE</t>
  </si>
  <si>
    <t>DB-20171221 0130097</t>
  </si>
  <si>
    <t>222 3RD AVE N</t>
  </si>
  <si>
    <t>ES BUENA VISTA PK &amp; S OF WHITES CRK PK</t>
  </si>
  <si>
    <t>DB-00004667 0000853</t>
  </si>
  <si>
    <t>4000 W HAMILTON RD</t>
  </si>
  <si>
    <t>DB-20110520 0038683</t>
  </si>
  <si>
    <t>LOT 21 BLK GG FAIRVIEW SUB</t>
  </si>
  <si>
    <t>DB-00004225 0000606</t>
  </si>
  <si>
    <t>3904 W HAMILTON RD</t>
  </si>
  <si>
    <t>DB-20121126 0108320</t>
  </si>
  <si>
    <t>PT LOT 22 BLK GG FAIRVIEW SUB</t>
  </si>
  <si>
    <t>DB-00004036 0000144</t>
  </si>
  <si>
    <t>1595 EMERALD DR</t>
  </si>
  <si>
    <t>DB-00004004 0000488</t>
  </si>
  <si>
    <t>W/S T. C. RAILROAD S. OF HYDES FERRY PIKE</t>
  </si>
  <si>
    <t>1599 EMERALD DR</t>
  </si>
  <si>
    <t>DB-00004004 0000487</t>
  </si>
  <si>
    <t>P/O LOT 8 SEC. 1 HYDES FERRY PARK</t>
  </si>
  <si>
    <t>1591 EMERALD DR</t>
  </si>
  <si>
    <t>CR-20120321 0023899</t>
  </si>
  <si>
    <t>S SIDE T C R R-E OF STEWART LANE</t>
  </si>
  <si>
    <t>5450 BUENA VISTA PIKE</t>
  </si>
  <si>
    <t>DB-20120319 0023000</t>
  </si>
  <si>
    <t>LOT 1 DOROTHY MOONEYHAN ESTATE 1ST REV</t>
  </si>
  <si>
    <t>PL-00011190 0000022</t>
  </si>
  <si>
    <t>5458 BUENA VISTA PIKE</t>
  </si>
  <si>
    <t>DB-20120810 0071615</t>
  </si>
  <si>
    <t>DB-00009159 0000313</t>
  </si>
  <si>
    <t>5442 BUENA VISTA PIKE</t>
  </si>
  <si>
    <t>DB-20120201 0009269</t>
  </si>
  <si>
    <t>DB-00003874 0000765</t>
  </si>
  <si>
    <t>5625 OLD HICKORY BLVD</t>
  </si>
  <si>
    <t>METRO GOV'T MISC</t>
  </si>
  <si>
    <t>DB-20080108 0002411</t>
  </si>
  <si>
    <t>W/S OLD HICKORY BLVD S OF BLUE BERRY HILL ROAD</t>
  </si>
  <si>
    <t>DB-20061229 0160523</t>
  </si>
  <si>
    <t>3301 W HAMILTON AVE</t>
  </si>
  <si>
    <t>METRO GOV'T WW WATER &amp; SEWER</t>
  </si>
  <si>
    <t>DB-20200617 0063334</t>
  </si>
  <si>
    <t>LOT 294 SEC 8 TREPPARD HGTS</t>
  </si>
  <si>
    <t>DB-00004351 0000615</t>
  </si>
  <si>
    <t>5342 BUENA VISTA PIKE</t>
  </si>
  <si>
    <t>DB-20200519 0051807</t>
  </si>
  <si>
    <t>DB-00004721 0000913</t>
  </si>
  <si>
    <t>02</t>
  </si>
  <si>
    <t>0 BAPTIST WORLD CENTER DR</t>
  </si>
  <si>
    <t>DB-20250320 0020385</t>
  </si>
  <si>
    <t>108 METRO COURTHOUSE C/O DIRECTOR OF LAW</t>
  </si>
  <si>
    <t>LOT 1 AMERICAN BAPTIST THEOLOGICAL SEMINARY</t>
  </si>
  <si>
    <t>PL-20250131 0007405</t>
  </si>
  <si>
    <t>UNASSIGNED</t>
  </si>
  <si>
    <t>0 WOODFOLK AVE</t>
  </si>
  <si>
    <t>CR-20150702 0064014</t>
  </si>
  <si>
    <t>PT LOT 74 HAYNIES DUDLEY BELL SUB &amp; CLOSED ALLEY</t>
  </si>
  <si>
    <t>OR-20240639 0000000</t>
  </si>
  <si>
    <t>2644 LOCUST ST</t>
  </si>
  <si>
    <t>TERMINAL/DISTRIBUTION WARHOUSE</t>
  </si>
  <si>
    <t>DB-20000601 0054248</t>
  </si>
  <si>
    <t>LOT 4 RE-SUB LOTS 44 &amp; 45 JONES &amp; HART SUBD</t>
  </si>
  <si>
    <t>PL-00006200 0000969</t>
  </si>
  <si>
    <t>2204 A 14TH AVE N</t>
  </si>
  <si>
    <t>CR-20060418 0044150</t>
  </si>
  <si>
    <t>LOT 3. BEADLE SUB.</t>
  </si>
  <si>
    <t>DB-00004644 0000187</t>
  </si>
  <si>
    <t>2316 WHITES CREEK PIKE</t>
  </si>
  <si>
    <t>DB-20240919 0072586</t>
  </si>
  <si>
    <t>LOT 1 RE-SUB LOT 2 OF DIV OF LAND HEIRS OF JENNIE BRADY</t>
  </si>
  <si>
    <t>PL-00006050 0000264</t>
  </si>
  <si>
    <t>2314 WHITES CREEK PIKE</t>
  </si>
  <si>
    <t>LOT 2 RE-SUB LOT 2 OF DIV OF LAND OF HEIRS OF JENNIE BRADY</t>
  </si>
  <si>
    <t>2312 WHITES CREEK PIKE</t>
  </si>
  <si>
    <t>LOT 3 RE-SUB LOT 2 OF DIV OF LAND OF HEIRS OF JENNIE BRADY</t>
  </si>
  <si>
    <t>3963 CROUCH DR</t>
  </si>
  <si>
    <t>DB-20151119 0117436</t>
  </si>
  <si>
    <t>LOT 1 EWING VALLEY SEC. 1</t>
  </si>
  <si>
    <t>DB-00004604 0000459</t>
  </si>
  <si>
    <t>N OF ROWAN DR E OF BUENA VISTA PK</t>
  </si>
  <si>
    <t>DB-00004887 0000674</t>
  </si>
  <si>
    <t>0 HOBART ST</t>
  </si>
  <si>
    <t>DB-00010227 0000974</t>
  </si>
  <si>
    <t>LOT 200 HAYNIES REP PLAN</t>
  </si>
  <si>
    <t>DB-00001631 0000043</t>
  </si>
  <si>
    <t>0 MCKINLEY ST</t>
  </si>
  <si>
    <t>DB-00010227 0000980</t>
  </si>
  <si>
    <t>LOT 221 HAYNIES REPUBLICAN PLAN</t>
  </si>
  <si>
    <t>DB-00004747 0000337</t>
  </si>
  <si>
    <t>DB-00010227 0000977</t>
  </si>
  <si>
    <t>LOT 203 &amp; 204 HAYNIES REPUBLICAN PLAN</t>
  </si>
  <si>
    <t>0 E NOCTURNE DR</t>
  </si>
  <si>
    <t>DB-20151019 0106224</t>
  </si>
  <si>
    <t>RES. LOT TRINITY HILLS VILLAGE APTS.</t>
  </si>
  <si>
    <t>SW-20181204 0118058</t>
  </si>
  <si>
    <t>0 18TH AVE N</t>
  </si>
  <si>
    <t>DB-00005414 0000037</t>
  </si>
  <si>
    <t>RES. PAR. A RIVERVIEW GARDENS SEC. 2</t>
  </si>
  <si>
    <t>DB-00003994 0000734</t>
  </si>
  <si>
    <t>2930 WARRICK DR</t>
  </si>
  <si>
    <t>CR-20100429 0032778</t>
  </si>
  <si>
    <t>PT LOT 142 SEC 4 HILLHURST ACRES</t>
  </si>
  <si>
    <t>DB-00003825 0000008</t>
  </si>
  <si>
    <t>2901 LYNDALE DR</t>
  </si>
  <si>
    <t>DB-00010640 0000843</t>
  </si>
  <si>
    <t>P/O LOT 132 HILLHURST ACRES SEC 4</t>
  </si>
  <si>
    <t>DB-00003405 0000301</t>
  </si>
  <si>
    <t>0 ATWELL DR</t>
  </si>
  <si>
    <t>DB-00007391 0000519</t>
  </si>
  <si>
    <t>E/S OF ATWELL DRIVE, N. OF RINGGOLD DRIVE</t>
  </si>
  <si>
    <t>DB-00003675 0000522</t>
  </si>
  <si>
    <t>2119 24TH AVE N</t>
  </si>
  <si>
    <t>CR-20130822 0088819</t>
  </si>
  <si>
    <t>PT LOT 16 I A FORD SUB NICHOL</t>
  </si>
  <si>
    <t>DB-00000324 0000015</t>
  </si>
  <si>
    <t>47 AVALON LN</t>
  </si>
  <si>
    <t>CR-20140214 0012981</t>
  </si>
  <si>
    <t>E SIDE AVALON DR S OF OLD VISTA LN</t>
  </si>
  <si>
    <t>DB-00002138 0000559</t>
  </si>
  <si>
    <t>0 OLD MATTHEWS RD</t>
  </si>
  <si>
    <t>DB-00005760 0000546</t>
  </si>
  <si>
    <t>RES. PAR. A" TRINITY HILLS VILLAGE SECTION TWO FIRST ADDN"</t>
  </si>
  <si>
    <t>DB-00004481 0000117</t>
  </si>
  <si>
    <t>31 AVALON LN</t>
  </si>
  <si>
    <t>CR-20131219 0128433</t>
  </si>
  <si>
    <t>DB-00001913 0000363</t>
  </si>
  <si>
    <t>1304 KATIE AVE</t>
  </si>
  <si>
    <t>CR-20130822 0088824</t>
  </si>
  <si>
    <t>LOT 101 THRU 105 109 THRU 113 J. B. HAYNES CUMBERLAND HTS</t>
  </si>
  <si>
    <t>DB-00004373 0000292</t>
  </si>
  <si>
    <t>DB-00010368 0000081</t>
  </si>
  <si>
    <t>LOT 220 HAYNIES REPUBLICAN PLAN</t>
  </si>
  <si>
    <t>DB-00008543 0000930</t>
  </si>
  <si>
    <t>PT LOTS 158 &amp; 159 HAYNIES REPUBLICAN PLAN</t>
  </si>
  <si>
    <t>DB-00008493 0000622</t>
  </si>
  <si>
    <t>1829 LIBERIA ST</t>
  </si>
  <si>
    <t>CR-20090928 0090021</t>
  </si>
  <si>
    <t>PT LOT 1 SCRUGGS SUB, LOTS 26 27 28 OF BROOKLYN PLAN</t>
  </si>
  <si>
    <t>DB-00004886 0000606</t>
  </si>
  <si>
    <t>0 FREE SILVER RD</t>
  </si>
  <si>
    <t>DB-00005413 0000430</t>
  </si>
  <si>
    <t>LOT 144 HAYNIES REPUBLICAN PLAN</t>
  </si>
  <si>
    <t>DB-00000280 0000260</t>
  </si>
  <si>
    <t>810 W TRINITY LN</t>
  </si>
  <si>
    <t>DB-20000313 0025685</t>
  </si>
  <si>
    <t>LOT 187 HAYNIES REPUBLICAN PLAN</t>
  </si>
  <si>
    <t>DB-00008281 0000950</t>
  </si>
  <si>
    <t>CR-20090928 0090029</t>
  </si>
  <si>
    <t>RES PAR A MATTHEWS SQUARE</t>
  </si>
  <si>
    <t>PL-00006250 0000337</t>
  </si>
  <si>
    <t>0 COMBS DR</t>
  </si>
  <si>
    <t>DB-00008153 0000587</t>
  </si>
  <si>
    <t>LOT RES. B TRINITY HILLS VILLAGE SEC. 1 2ND. ADDN.</t>
  </si>
  <si>
    <t>DB-00004231 0000191</t>
  </si>
  <si>
    <t>0 KNIGHT DR</t>
  </si>
  <si>
    <t>CR-20131219 0128444</t>
  </si>
  <si>
    <t>E SIDE KNIGHT DR &amp; N OF OLD VISTA LN</t>
  </si>
  <si>
    <t>DB-00002929 0000149</t>
  </si>
  <si>
    <t>0 ROWAN DR</t>
  </si>
  <si>
    <t>DB-00010640 0000838</t>
  </si>
  <si>
    <t>RES. PAR A HAYNES MANOR SEC. 4</t>
  </si>
  <si>
    <t>2589 WHITES CREEK PIKE</t>
  </si>
  <si>
    <t>METRO GOV'T  F  ENG CO 25 TRUCK 11</t>
  </si>
  <si>
    <t>DB-00004735 0000989</t>
  </si>
  <si>
    <t>E. SIDE WHITES CREEK PK. S. OF OLD VISTA LN.</t>
  </si>
  <si>
    <t>2306 BRICK CHURCH PIKE</t>
  </si>
  <si>
    <t>HOTEL/MOTEL</t>
  </si>
  <si>
    <t>METRO GOV'T  HEALTH &amp; EDUCATION</t>
  </si>
  <si>
    <t>QC-20231228 0099845</t>
  </si>
  <si>
    <t>424 CHURCH ST STE 2700</t>
  </si>
  <si>
    <t>LOT 2 LACHMANDAS PROPERTY</t>
  </si>
  <si>
    <t>PL-20000601 0054286</t>
  </si>
  <si>
    <t>1603 HAMPTON ST</t>
  </si>
  <si>
    <t>METRO GOV'T  HEALTH AND EDUCATIONAL FACILITIES BOARD</t>
  </si>
  <si>
    <t>QC-20241230 0100962</t>
  </si>
  <si>
    <t>424 CHURCH ST STE 2700 C/O ADAMS &amp; REECE</t>
  </si>
  <si>
    <t>PT LOTS 11-12-13-14 SCRUGGS AVONDALE SEC 1</t>
  </si>
  <si>
    <t>QC-20240730 0057368</t>
  </si>
  <si>
    <t>0 BRICK CHURCH PIKE</t>
  </si>
  <si>
    <t>METRO GOVT'  M  MISC</t>
  </si>
  <si>
    <t>DB-20211230 0172066</t>
  </si>
  <si>
    <t>700 2ND AVE N</t>
  </si>
  <si>
    <t>W SIDE BRICK CHURCH PIKE N READ AVENUE</t>
  </si>
  <si>
    <t>DB-00000975 0000185</t>
  </si>
  <si>
    <t>1354 BRICK CHURCH PIKE</t>
  </si>
  <si>
    <t>CLUB/UNION HALL/LODGE</t>
  </si>
  <si>
    <t>W. SIDE BRICK CHURCH PIKE S. SIDE ARTIC AVE</t>
  </si>
  <si>
    <t>DB-00001283 0000699</t>
  </si>
  <si>
    <t>MORTUARY/CEMETERY</t>
  </si>
  <si>
    <t>METRO GOV'T  M  POTTERS FIELD</t>
  </si>
  <si>
    <t>DB-00000454 0000055</t>
  </si>
  <si>
    <t>W SIDE 10TH AVE N N OF KELLOW ST</t>
  </si>
  <si>
    <t>2920 B HILLHURST DR</t>
  </si>
  <si>
    <t>DB-00002496 0000088</t>
  </si>
  <si>
    <t>S OF HILLHURST DR &amp; E OF ROBB RD SEC 3 HILLHURST ACRES</t>
  </si>
  <si>
    <t>3104 HUMMINGBIRD DR</t>
  </si>
  <si>
    <t>DB-00002801 0000183</t>
  </si>
  <si>
    <t>LOT 178 SEC 1 TREPPARD HGTS</t>
  </si>
  <si>
    <t>1204 CLAY ST</t>
  </si>
  <si>
    <t>DB-00002277 0000509</t>
  </si>
  <si>
    <t>PT LOT 1 IRA CRANDALL SUB</t>
  </si>
  <si>
    <t>2436 BRICK CHURCH PIKE</t>
  </si>
  <si>
    <t>DB-20121030 0099176</t>
  </si>
  <si>
    <t>1214 CHURCH ST</t>
  </si>
  <si>
    <t>W SIDE BRICK CH PK N OF AVONDALE CIR</t>
  </si>
  <si>
    <t>DB-00010123 0000958</t>
  </si>
  <si>
    <t>830 DOMINICAN DR</t>
  </si>
  <si>
    <t>DB-00004826 0000271</t>
  </si>
  <si>
    <t>LOT 23-A METROCENTER SEC. 2.</t>
  </si>
  <si>
    <t>DB-00004659 0000425</t>
  </si>
  <si>
    <t>2835 BRICK CHURCH PIKE</t>
  </si>
  <si>
    <t>METRO GOV'T  P  BRICK CHURCH PARK</t>
  </si>
  <si>
    <t>DB-00006101 0000491</t>
  </si>
  <si>
    <t>LOT 2 BRICK CHURCH PARK</t>
  </si>
  <si>
    <t>PL-00005200 0000591</t>
  </si>
  <si>
    <t>1015 KELLOW ST</t>
  </si>
  <si>
    <t>METRO GOV'T  P  BUENA VISTA</t>
  </si>
  <si>
    <t>DB-00001554 0000283</t>
  </si>
  <si>
    <t>LOT 34 OWEN BUENA VISTA</t>
  </si>
  <si>
    <t>1000 CASS ST</t>
  </si>
  <si>
    <t>N E COR OF CASS ST &amp; OWENS ST</t>
  </si>
  <si>
    <t>2141 OWEN ST</t>
  </si>
  <si>
    <t>DB-00001554 0000283A</t>
  </si>
  <si>
    <t>LOTS 26 27 28 L G NOEL</t>
  </si>
  <si>
    <t>0 11TH AVE N</t>
  </si>
  <si>
    <t>LOTS 20 THRU 25 L G NOEL</t>
  </si>
  <si>
    <t>2137 OWEN ST</t>
  </si>
  <si>
    <t>DB-00004775 0000267</t>
  </si>
  <si>
    <t>LOT 29 L G NOEL</t>
  </si>
  <si>
    <t>2135 OWEN ST</t>
  </si>
  <si>
    <t>LOTS 30 31 L G NOEL</t>
  </si>
  <si>
    <t>0 10TH AVE N</t>
  </si>
  <si>
    <t>N W CORNER OF 9TH AVE NO &amp; KELLOW ST</t>
  </si>
  <si>
    <t>DB-00000982 0000456</t>
  </si>
  <si>
    <t>N W CORNER OF CASS ST &amp; 9TH AVE NO</t>
  </si>
  <si>
    <t>0 W TRINITY LN</t>
  </si>
  <si>
    <t>DB-00005414 0000165</t>
  </si>
  <si>
    <t>PT LOT 15-SCRUGGS MONTICELLO &amp; PT. CLOSED ALLEY</t>
  </si>
  <si>
    <t>DB-00000157 0000079</t>
  </si>
  <si>
    <t>DB-00005414 0000193</t>
  </si>
  <si>
    <t>LOT 198 HAYNIES REP PLAN</t>
  </si>
  <si>
    <t>DB-00004653 0000926</t>
  </si>
  <si>
    <t>DB-00005414 0000197</t>
  </si>
  <si>
    <t>LOT 197 HAYNIES REP PLAN</t>
  </si>
  <si>
    <t>DB-00005414 0000201</t>
  </si>
  <si>
    <t>LOT 196 HAYNIES REP PLAN</t>
  </si>
  <si>
    <t>DB-00000284 0000573</t>
  </si>
  <si>
    <t>DB-00005414 0000205</t>
  </si>
  <si>
    <t>LOT 194 HAYNIES 2ND REPUBLICAN PLAN</t>
  </si>
  <si>
    <t>0 CROSS ST</t>
  </si>
  <si>
    <t>DB-00005414 0000149</t>
  </si>
  <si>
    <t>LOT 179 SCRUGGS SUB BROOKLYN HGTS</t>
  </si>
  <si>
    <t>DB-00004761 0000510</t>
  </si>
  <si>
    <t>DB-00005414 0000145</t>
  </si>
  <si>
    <t>LOT 180 SCRUGGS SUB BROOKLYN HGTS</t>
  </si>
  <si>
    <t>DB-00005414 0000141</t>
  </si>
  <si>
    <t>LOT 181 SCRUGGS SUB BROOKLYN HGTS</t>
  </si>
  <si>
    <t>S OF W HAMILTON RD W OF TUCKER RD</t>
  </si>
  <si>
    <t>2715 TUCKER RD</t>
  </si>
  <si>
    <t>METRO GOV'T  P  POLICE ACADEMY</t>
  </si>
  <si>
    <t>DB-00001198 0000664</t>
  </si>
  <si>
    <t>W/S TUCKER RD N OF BUENA VISTA PK</t>
  </si>
  <si>
    <t>DB-00005792 0000452</t>
  </si>
  <si>
    <t>2301 ROSA L PARKS BLVD</t>
  </si>
  <si>
    <t>METRO GOV'T  P  RHODES MUNICIPAL</t>
  </si>
  <si>
    <t>DB-00004793 0000558</t>
  </si>
  <si>
    <t>S/W CORNER OF METROCENTER BV &amp; 10TH AV N</t>
  </si>
  <si>
    <t>DB-00011584 0000374</t>
  </si>
  <si>
    <t>2231 26TH AVE N</t>
  </si>
  <si>
    <t>GOLF COURSE/DRIVING RANGE</t>
  </si>
  <si>
    <t>W. SIDE 26TH AVE. N. N. OF CLARKSVILLE PIKE</t>
  </si>
  <si>
    <t>OR-00000000 0000000</t>
  </si>
  <si>
    <t>0 ROSA L PARKS BLVD</t>
  </si>
  <si>
    <t>S/E CORNER 24TH AV N &amp; METROCENTER BV</t>
  </si>
  <si>
    <t>CR-20190327 0027687</t>
  </si>
  <si>
    <t>720 MAINSTREAM DR</t>
  </si>
  <si>
    <t>DB-00005588 0000393</t>
  </si>
  <si>
    <t>NE COR OF METROCENTER BLVD &amp; MAINSTREAM DRIVE</t>
  </si>
  <si>
    <t>766 FREELANDS STATION RD</t>
  </si>
  <si>
    <t>DB-20001101 0108590</t>
  </si>
  <si>
    <t>WEST END FREELAND'S STATION RD E/S CUMBERLAND RIVER</t>
  </si>
  <si>
    <t>PL-00005190 0000221</t>
  </si>
  <si>
    <t>741 FREELANDS STATION RD</t>
  </si>
  <si>
    <t>N SIDE HWY 112 W OF 25TH AVE NO</t>
  </si>
  <si>
    <t>PL-00005190 0000005</t>
  </si>
  <si>
    <t>2801 TUCKER RD</t>
  </si>
  <si>
    <t>METRO GOV'T  P  RICHARD W. HARTMAN</t>
  </si>
  <si>
    <t>DB-00000401 0000565</t>
  </si>
  <si>
    <t>W SIDE TUCKER RD N OF BUENA VISTA PK</t>
  </si>
  <si>
    <t>LA-00000000 0000000</t>
  </si>
  <si>
    <t>METRO GOV'T  P  TRINITY HILLS</t>
  </si>
  <si>
    <t>DB-00007954 0000049</t>
  </si>
  <si>
    <t>W OF BRICK CHURCH PK S OF EWING LN</t>
  </si>
  <si>
    <t>510 W TRINITY LN</t>
  </si>
  <si>
    <t>METRO GOV'T  S  HAYNES</t>
  </si>
  <si>
    <t>BD-00000000 0000656</t>
  </si>
  <si>
    <t>SE COR W TRINITY LN &amp; WHITES CRK PK</t>
  </si>
  <si>
    <t>DB-00010247 0000353</t>
  </si>
  <si>
    <t>3200 KINGS LN</t>
  </si>
  <si>
    <t>METRO GOV'T  S  KINGS LANE</t>
  </si>
  <si>
    <t>DB-00003249 0000336</t>
  </si>
  <si>
    <t>N. SIDE KINGS LANE AND WEST OF BUENA VISTA PIKE</t>
  </si>
  <si>
    <t>1500 DICKERSON PIKE</t>
  </si>
  <si>
    <t>METRO GOV'T  S  SCHWAB</t>
  </si>
  <si>
    <t>DB-00001198 0000080</t>
  </si>
  <si>
    <t>WEST SIDE DICKERSON PIKE NORTH OF FERN AVENUE</t>
  </si>
  <si>
    <t>3913 BUENA VISTA PIKE</t>
  </si>
  <si>
    <t>DB-20110222 0014335</t>
  </si>
  <si>
    <t>LOT 1 RE-SUB LOT 166 TREPPARD HEIGHTS SEC 1-REV</t>
  </si>
  <si>
    <t>PL-00006050 0000263</t>
  </si>
  <si>
    <t>3800 DUNBAR DR</t>
  </si>
  <si>
    <t>DB-20170526 0052711</t>
  </si>
  <si>
    <t>1600 2ND AVE N ATTN PROPERTY SERVICES</t>
  </si>
  <si>
    <t>LOT 21 ROYAL GARDEN EST. SEC. 1</t>
  </si>
  <si>
    <t>DB-00004538 0000049</t>
  </si>
  <si>
    <t>3851 CROUCH DR</t>
  </si>
  <si>
    <t>DB-20110701 0050723</t>
  </si>
  <si>
    <t>LOT 582 HAYNES MANOR SEC. 5</t>
  </si>
  <si>
    <t>DB-00004465 0000595</t>
  </si>
  <si>
    <t>3004 W HAMILTON AVE</t>
  </si>
  <si>
    <t>DB-20110617 0046550</t>
  </si>
  <si>
    <t>LOT 227 SEC 1 TREPPARD HGTS</t>
  </si>
  <si>
    <t>DB-00004268 0000860</t>
  </si>
  <si>
    <t>3006 W HAMILTON AVE</t>
  </si>
  <si>
    <t>DB-20130920 0099338</t>
  </si>
  <si>
    <t>LOT 228 SEC 1 TREPPARD HGTS</t>
  </si>
  <si>
    <t>DB-00004774 0000536</t>
  </si>
  <si>
    <t>3003 W HAMILTON AVE</t>
  </si>
  <si>
    <t>DB-20110427 0032176</t>
  </si>
  <si>
    <t>LOT 255 SEC 3 TREPPARD HGTS</t>
  </si>
  <si>
    <t>DB-00004320 0000540</t>
  </si>
  <si>
    <t>3010 W HAMILTON AVE</t>
  </si>
  <si>
    <t>DB-20180104 0001176</t>
  </si>
  <si>
    <t>LOT 229 SEC 1 TREPPARD HGTS</t>
  </si>
  <si>
    <t>DV-00000068 0000349</t>
  </si>
  <si>
    <t>3908 MALLARD DR</t>
  </si>
  <si>
    <t>DB-20111024 0082352</t>
  </si>
  <si>
    <t>LOT 233 SEC 1 TREPPARD HGTS</t>
  </si>
  <si>
    <t>DB-00004771 0000649</t>
  </si>
  <si>
    <t>3904 MALLARD DR</t>
  </si>
  <si>
    <t>DB-20110722 0056200</t>
  </si>
  <si>
    <t>LOT 232 SEC 1 TREPPARD HGTS</t>
  </si>
  <si>
    <t>DB-00004261 0000974</t>
  </si>
  <si>
    <t>3014 W HAMILTON AVE</t>
  </si>
  <si>
    <t>DB-20110524 0039657</t>
  </si>
  <si>
    <t>LOT 230 SEC 1 TREPPARD HGTS</t>
  </si>
  <si>
    <t>DB-00004854 0000186</t>
  </si>
  <si>
    <t>3005 W HAMILTON AVE</t>
  </si>
  <si>
    <t>DB-20110304 0017402</t>
  </si>
  <si>
    <t>LOT 256 SEC 3 TREPPARD HGTS</t>
  </si>
  <si>
    <t>DB-00004247 0000136</t>
  </si>
  <si>
    <t>3007 W HAMILTON AVE</t>
  </si>
  <si>
    <t>DB-20110301 0016532</t>
  </si>
  <si>
    <t>LOT 257 SEC 3 TREPPARD HGTS</t>
  </si>
  <si>
    <t>DB-00004790 0000725</t>
  </si>
  <si>
    <t>3009 W HAMILTON AVE</t>
  </si>
  <si>
    <t>DB-20120208 0011336</t>
  </si>
  <si>
    <t>LOT 258 SEC 3 TREPPARD HGTS</t>
  </si>
  <si>
    <t>DB-00004636 0000090</t>
  </si>
  <si>
    <t>3018 W HAMILTON AVE</t>
  </si>
  <si>
    <t>DB-20180119 0005875</t>
  </si>
  <si>
    <t>LOT 231 SEC 1 TREPPARD HGTS</t>
  </si>
  <si>
    <t>DB-00004227 0000943</t>
  </si>
  <si>
    <t>3011 W HAMILTON AVE</t>
  </si>
  <si>
    <t>DB-20110301 0016514</t>
  </si>
  <si>
    <t>LOT 259 SEC 3 TREPPARD HGTS</t>
  </si>
  <si>
    <t>DB-00004322 0000348</t>
  </si>
  <si>
    <t>3013 W HAMILTON AVE</t>
  </si>
  <si>
    <t>DB-20110222 0014339</t>
  </si>
  <si>
    <t>LOT 260 SEC 3 TREPPARD HGTS</t>
  </si>
  <si>
    <t>DB-00004516 0000957</t>
  </si>
  <si>
    <t>3909 MALLARD DR</t>
  </si>
  <si>
    <t>DB-20110722 0056199</t>
  </si>
  <si>
    <t>LOT 240 SEC 1 TREPPARD HGTS</t>
  </si>
  <si>
    <t>DB-00004244 0000820</t>
  </si>
  <si>
    <t>3015 W HAMILTON AVE</t>
  </si>
  <si>
    <t>DB-20110401 0025091</t>
  </si>
  <si>
    <t>LOT 261 SEC 3 TREPPARD HGTS</t>
  </si>
  <si>
    <t>DB-00004511 0000787</t>
  </si>
  <si>
    <t>3905 MALLARD DR</t>
  </si>
  <si>
    <t>DB-20110617 0046551</t>
  </si>
  <si>
    <t>LOT 241 SEC 1 TREPPARD HGTS</t>
  </si>
  <si>
    <t>DB-00004323 0000973</t>
  </si>
  <si>
    <t>3017 W HAMILTON AVE</t>
  </si>
  <si>
    <t>DB-20110401 0025088</t>
  </si>
  <si>
    <t>LOT 262 SEC 3 TREPPARD HGTS</t>
  </si>
  <si>
    <t>DB-00004859 0000683</t>
  </si>
  <si>
    <t>3100 W HAMILTON AVE</t>
  </si>
  <si>
    <t>DB-20110701 0050619</t>
  </si>
  <si>
    <t>LOT 242 SEC 1 TREPPARD HGTS</t>
  </si>
  <si>
    <t>DB-00004499 0000232</t>
  </si>
  <si>
    <t>3019 W HAMILTON AVE</t>
  </si>
  <si>
    <t>DB-20110520 0038680</t>
  </si>
  <si>
    <t>LOT 263 SEC 3 TREPPARD HGTS</t>
  </si>
  <si>
    <t>DB-00004251 0000735</t>
  </si>
  <si>
    <t>3021 W HAMILTON AVE</t>
  </si>
  <si>
    <t>DB-20110301 0016533</t>
  </si>
  <si>
    <t>LOT 264 SEC 3 TREPPARD HGTS</t>
  </si>
  <si>
    <t>DV-00000069 0000886</t>
  </si>
  <si>
    <t>3104 W HAMILTON AVE</t>
  </si>
  <si>
    <t>DB-20110527 0040768</t>
  </si>
  <si>
    <t>LOT 243 SEC 1 TREPPARD HGTS</t>
  </si>
  <si>
    <t>DB-00004329 0000145</t>
  </si>
  <si>
    <t>3101 W HAMILTON AVE</t>
  </si>
  <si>
    <t>DB-20101216 0100023</t>
  </si>
  <si>
    <t>LOT 265 SEC 3 TREPPARD HGTS</t>
  </si>
  <si>
    <t>DB-00004709 0000842</t>
  </si>
  <si>
    <t>3106 W HAMILTON AVE</t>
  </si>
  <si>
    <t>DB-20110520 0038682</t>
  </si>
  <si>
    <t>LOT 244 SEC 1 TREPPARD HGTS</t>
  </si>
  <si>
    <t>DB-00004273 0000613</t>
  </si>
  <si>
    <t>3110 W HAMILTON AVE</t>
  </si>
  <si>
    <t>DB-20110603 0042537</t>
  </si>
  <si>
    <t>LOT 245 SEC 1 TREPPARD HGTS</t>
  </si>
  <si>
    <t>DB-00003785 0000798</t>
  </si>
  <si>
    <t>3112 W HAMILTON AVE</t>
  </si>
  <si>
    <t>DB-20111027 0083539</t>
  </si>
  <si>
    <t>LOT 246 SEC 1 TREPPARD HGTS</t>
  </si>
  <si>
    <t>DB-00004255 0000001</t>
  </si>
  <si>
    <t>3105 W HAMILTON AVE</t>
  </si>
  <si>
    <t>DB-20110425 0031251</t>
  </si>
  <si>
    <t>LOT 267 SEC 3 TREPPARD HGTS</t>
  </si>
  <si>
    <t>DB-00004458 0000737</t>
  </si>
  <si>
    <t>3114 W HAMILTON AVE</t>
  </si>
  <si>
    <t>DB-20110722 0056203</t>
  </si>
  <si>
    <t>LOT 247 SEC 1 TREPPARD HGTS</t>
  </si>
  <si>
    <t>DB-00004781 0000631</t>
  </si>
  <si>
    <t>3107 W HAMILTON AVE</t>
  </si>
  <si>
    <t>DB-20110302 0016634</t>
  </si>
  <si>
    <t>LOT 268 SEC 3 TREPPARD HGTS</t>
  </si>
  <si>
    <t>DB-00004263 0000605</t>
  </si>
  <si>
    <t>3109 W HAMILTON AVE</t>
  </si>
  <si>
    <t>DB-20110124 0006405</t>
  </si>
  <si>
    <t>LOT 269 SEC 3 TREPPARD HGTS</t>
  </si>
  <si>
    <t>DB-00004176 0000105</t>
  </si>
  <si>
    <t>3116 W HAMILTON AVE</t>
  </si>
  <si>
    <t>DB-20110520 0038681</t>
  </si>
  <si>
    <t>LOT 248 SEC 1 TREPPARD HGTS</t>
  </si>
  <si>
    <t>DB-00004368 0000471</t>
  </si>
  <si>
    <t>3111 W HAMILTON AVE</t>
  </si>
  <si>
    <t>DB-20110329 0024175</t>
  </si>
  <si>
    <t>LOT 270 SEC 3 TREPPARD HGTS</t>
  </si>
  <si>
    <t>DB-00003219 0000053</t>
  </si>
  <si>
    <t>3900 FLICKER DR</t>
  </si>
  <si>
    <t>DB-20120522 0044181</t>
  </si>
  <si>
    <t>LOT 249 SEC 1 TREPPARD HGTS</t>
  </si>
  <si>
    <t>DB-00004596 0000414</t>
  </si>
  <si>
    <t>3901 FLICKER DR</t>
  </si>
  <si>
    <t>DB-20110608 0043824</t>
  </si>
  <si>
    <t>LOT 197 SEC 1 TREPPARD HGTS</t>
  </si>
  <si>
    <t>DB-00004239 0000109</t>
  </si>
  <si>
    <t>3131 W HAMILTON AVE</t>
  </si>
  <si>
    <t>DB-20110222 0014341</t>
  </si>
  <si>
    <t>LOT 280 SEC 3 TREPPARD HGTS</t>
  </si>
  <si>
    <t>DB-00004212 0000669</t>
  </si>
  <si>
    <t>3133 W HAMILTON AVE</t>
  </si>
  <si>
    <t>DB-20101229 0103169</t>
  </si>
  <si>
    <t>LOT 281 SEC 3 TREPPARD HGTS</t>
  </si>
  <si>
    <t>DB-00004568 0000657</t>
  </si>
  <si>
    <t>3119 W HAMILTON AVE</t>
  </si>
  <si>
    <t>DB-20110314 0019858</t>
  </si>
  <si>
    <t>LOT 274 SEC 3 TREPPARD HGTS</t>
  </si>
  <si>
    <t>DB-00004834 0000909</t>
  </si>
  <si>
    <t>3121 W HAMILTON AVE</t>
  </si>
  <si>
    <t>DB-20110322 0022294</t>
  </si>
  <si>
    <t>LOT 275 SEC 3 TREPPARD HGTS</t>
  </si>
  <si>
    <t>DB-00004263 0000276</t>
  </si>
  <si>
    <t>3123 W HAMILTON AVE</t>
  </si>
  <si>
    <t>DB-20110222 0014333</t>
  </si>
  <si>
    <t>LOT 276 SEC 3 TREPPARD HGTS</t>
  </si>
  <si>
    <t>DB-00004872 0000304</t>
  </si>
  <si>
    <t>3125 W HAMILTON AVE</t>
  </si>
  <si>
    <t>DB-20110708 0052280</t>
  </si>
  <si>
    <t>LOT 277 SEC 3 TREPPARD HGTS</t>
  </si>
  <si>
    <t>DB-00004397 0000615</t>
  </si>
  <si>
    <t>3117 W HAMILTON AVE</t>
  </si>
  <si>
    <t>DB-20110401 0025090</t>
  </si>
  <si>
    <t>LOT 273 SEC 3 TREPPARD HGTS</t>
  </si>
  <si>
    <t>DB-00004265 0000130</t>
  </si>
  <si>
    <t>3127 W HAMILTON AVE</t>
  </si>
  <si>
    <t>DB-20110222 0014331</t>
  </si>
  <si>
    <t>LOT 278 SEC 3 TREPPARD HGTS</t>
  </si>
  <si>
    <t>DB-00004520 0000192</t>
  </si>
  <si>
    <t>1809 HUGHES ST</t>
  </si>
  <si>
    <t>DB-20060927 0119615</t>
  </si>
  <si>
    <t>LOTS 95 &amp; 96 BUENA VISTA HEIGHTS</t>
  </si>
  <si>
    <t>DB-00002134 0000154</t>
  </si>
  <si>
    <t>0 HUGHES ST</t>
  </si>
  <si>
    <t>LOTS 97 &amp; 98 BUENA VISTA HEIGHTS</t>
  </si>
  <si>
    <t>2855 BRICK CHURCH PIKE</t>
  </si>
  <si>
    <t>DB-00007719 0000091</t>
  </si>
  <si>
    <t>E OF BRICK CHURCH PK W OF I-65</t>
  </si>
  <si>
    <t>2450 BUENA VISTA PIKE</t>
  </si>
  <si>
    <t>DB-00004421 0000080</t>
  </si>
  <si>
    <t>E. OF BUENA VISTA PIKE N. OF KIRK AVE.</t>
  </si>
  <si>
    <t>0 YOUNGS LN</t>
  </si>
  <si>
    <t>DB-00006446 0000483</t>
  </si>
  <si>
    <t>PT LOT 32 HAYNIES 2ND FREE SILVER PLAN</t>
  </si>
  <si>
    <t xml:space="preserve">USD </t>
  </si>
  <si>
    <t>2604 BRICK CHURCH PIKE</t>
  </si>
  <si>
    <t>QC-20131219 0128099</t>
  </si>
  <si>
    <t>WS BRICK CHURCH PIKE S OF WOODFORK AVE</t>
  </si>
  <si>
    <t>DB-00010614 0000046</t>
  </si>
  <si>
    <t>2411 BUENA VISTA PIKE</t>
  </si>
  <si>
    <t>N/S  BUENA VISTA PK E/S EAST LANE ALLEY</t>
  </si>
  <si>
    <t>3843 CROUCH DR</t>
  </si>
  <si>
    <t>DB-20201028 0124813</t>
  </si>
  <si>
    <t>LOT 67 HAYNES MANOR SEC. 1</t>
  </si>
  <si>
    <t>DB-00003957 0000898</t>
  </si>
  <si>
    <t>3103 W HAMILTON AVE</t>
  </si>
  <si>
    <t>QC-20230818 0064762</t>
  </si>
  <si>
    <t>LOT 266 SEC 3 TREPPARD HGTS</t>
  </si>
  <si>
    <t>DB-00004866 0000034</t>
  </si>
  <si>
    <t>3113 W HAMILTON AVE</t>
  </si>
  <si>
    <t>QC-20230818 0064761</t>
  </si>
  <si>
    <t>LOT 271 SEC 3 TREPPARD HGTS</t>
  </si>
  <si>
    <t>DB-00004295 0000542</t>
  </si>
  <si>
    <t>3115 W HAMILTON AVE</t>
  </si>
  <si>
    <t>QC-20230818 0064760</t>
  </si>
  <si>
    <t>LOT 272 SEC 3 TREPPARD HGTS</t>
  </si>
  <si>
    <t>DB-00004837 0000035</t>
  </si>
  <si>
    <t>3129 W HAMILTON AVE</t>
  </si>
  <si>
    <t>QC-20230818 0064759</t>
  </si>
  <si>
    <t>LOT 279 SEC 3 TREPPARD HGTS</t>
  </si>
  <si>
    <t>DB-00003463 0000340</t>
  </si>
  <si>
    <t>03</t>
  </si>
  <si>
    <t>0 CHADWELL DR</t>
  </si>
  <si>
    <t>MADISON</t>
  </si>
  <si>
    <t>CR-20170711 0069664</t>
  </si>
  <si>
    <t>N OF CHADWELL DRIVE E OF PORT DRIVE</t>
  </si>
  <si>
    <t>DB-20010420 0039418</t>
  </si>
  <si>
    <t>VACANT ZONED MULTI FAMILY</t>
  </si>
  <si>
    <t>QC-20130926 0101324</t>
  </si>
  <si>
    <t>N/S OLD HICKORY BV W/S I-65</t>
  </si>
  <si>
    <t>DB-20030211 0018831</t>
  </si>
  <si>
    <t>0 WESTCHESTER DR</t>
  </si>
  <si>
    <t>DB-00006334 0000917</t>
  </si>
  <si>
    <t>S OF WESTCHESTER DR E OF BRICK CHURCH PK</t>
  </si>
  <si>
    <t>1821 WESTCHESTER DR</t>
  </si>
  <si>
    <t>S/S WESTCHESTER DR E OF BRICK CHURCH PK</t>
  </si>
  <si>
    <t>0 VAILVIEW DR</t>
  </si>
  <si>
    <t>CR-20220602 0063776</t>
  </si>
  <si>
    <t>P.O BOX 196300</t>
  </si>
  <si>
    <t>RES PAR PARKWOOD EST.</t>
  </si>
  <si>
    <t>DB-00003706 0000102</t>
  </si>
  <si>
    <t>0 TUCKAHOE DR</t>
  </si>
  <si>
    <t>DB-00005414 0000341</t>
  </si>
  <si>
    <t>PARCEL A SEC 4 KEMPER HGTS</t>
  </si>
  <si>
    <t>DB-00003032 0000261</t>
  </si>
  <si>
    <t>305 HOMESTEAD RD</t>
  </si>
  <si>
    <t>CR-20131219 0128437</t>
  </si>
  <si>
    <t>L PT B 10 AND PT B 11 TAMBLE SUBD</t>
  </si>
  <si>
    <t>DB-00002098 0000510</t>
  </si>
  <si>
    <t>CR-20220602 0063783</t>
  </si>
  <si>
    <t>P.O. BOX 196300</t>
  </si>
  <si>
    <t>RES PAR VILLAGE BY THE CREEK SEC 1  REV</t>
  </si>
  <si>
    <t>PL-00006200 0000029</t>
  </si>
  <si>
    <t>0 BRICK CT</t>
  </si>
  <si>
    <t>CR-20131022 0110196</t>
  </si>
  <si>
    <t>OPEN SPACE FIELDS OF BRICK CHURCH</t>
  </si>
  <si>
    <t>PL-20040604 0065967</t>
  </si>
  <si>
    <t>501 HERITAGE DR</t>
  </si>
  <si>
    <t>LIBRARY</t>
  </si>
  <si>
    <t>METRO GOV'T  L  MADISON BRANCH</t>
  </si>
  <si>
    <t>DB-00004843 0000733</t>
  </si>
  <si>
    <t>LOT 4 HERITAGE VILLAGE SEC 1</t>
  </si>
  <si>
    <t>PL-00005200 0000166</t>
  </si>
  <si>
    <t>309 HOMESTEAD RD</t>
  </si>
  <si>
    <t>DB-00010146 0000676</t>
  </si>
  <si>
    <t>L PT B 10 TAMBLE SUBD</t>
  </si>
  <si>
    <t>DB-00002095 0000183</t>
  </si>
  <si>
    <t>317 VAILVIEW DR</t>
  </si>
  <si>
    <t>METRO GOV'T  M  VACANT</t>
  </si>
  <si>
    <t>DB-00004627 0000350</t>
  </si>
  <si>
    <t>P/O LOT 33 SKY VIEW SUB</t>
  </si>
  <si>
    <t>901 N GRAYCROFT AVE</t>
  </si>
  <si>
    <t>DB-00002879 0000074</t>
  </si>
  <si>
    <t>LOT 40 SEC 1 PRIMROSE ACRES</t>
  </si>
  <si>
    <t>827 OLD HICKORY BLVD</t>
  </si>
  <si>
    <t>DB-00002450 0000155</t>
  </si>
  <si>
    <t>PT LOT 1 SEC 1 SHERRY HGTS</t>
  </si>
  <si>
    <t>1114 WESTCHESTER DR</t>
  </si>
  <si>
    <t>DB-00002298 0000299</t>
  </si>
  <si>
    <t>LOT 100 SEC 2 BELLSHIRE ESTATES</t>
  </si>
  <si>
    <t>209 S GRAYCROFT AVE</t>
  </si>
  <si>
    <t>DB-00002548 0000136</t>
  </si>
  <si>
    <t>E SIDE OF GRAYCROFT AV S OF VANTREASE RD</t>
  </si>
  <si>
    <t>410 BRICK CHURCH LN</t>
  </si>
  <si>
    <t>DB-00003431 0000342</t>
  </si>
  <si>
    <t>W SIDE BRICK CHURCH PIKE AND, S SIDE BRICK CHURCH LANE</t>
  </si>
  <si>
    <t>3081 BRICK CHURCH PIKE</t>
  </si>
  <si>
    <t>DB-00003133 0000345</t>
  </si>
  <si>
    <t>E SIDE OF BRICK CHURCH PIKE N OF OLD EWING LANE</t>
  </si>
  <si>
    <t>1115 HUNTERS LN</t>
  </si>
  <si>
    <t>DB-00004010 0000022</t>
  </si>
  <si>
    <t>1214 CHURCH ST C/O MR MITTWEDDE</t>
  </si>
  <si>
    <t>S. SIDE HUNTERS LANE W. OF DICKERSON PIKE</t>
  </si>
  <si>
    <t>QC-00008657 0000353</t>
  </si>
  <si>
    <t>3565 BRICK CHURCH PIKE</t>
  </si>
  <si>
    <t>DB-00003924 0000095</t>
  </si>
  <si>
    <t>E. S. BRICK CHURCH PIKE &amp; S. OF BELLSHIRE DRIVE</t>
  </si>
  <si>
    <t>860 OLD HICKORY BLVD</t>
  </si>
  <si>
    <t>METRO GOV'T  P  CEDAR HILL</t>
  </si>
  <si>
    <t>DB-00003824 0000979</t>
  </si>
  <si>
    <t>NE COR DICKERSON PK &amp; OLD HICKORY BLVD</t>
  </si>
  <si>
    <t>METRO GOV'T  P  CHADWELL</t>
  </si>
  <si>
    <t>DB-20011114 0124859</t>
  </si>
  <si>
    <t>S SIDE CHADWELL DR E OF PORT DR</t>
  </si>
  <si>
    <t>DB-20000512 0047944</t>
  </si>
  <si>
    <t>S SIDE CHADWELL DR W OF GRAYCROFT AVE</t>
  </si>
  <si>
    <t>DB-00004977 0000162</t>
  </si>
  <si>
    <t>407 EWING LN</t>
  </si>
  <si>
    <t>DB-00005414 0000185</t>
  </si>
  <si>
    <t>PT LOT 6. LAVERNE ACRES</t>
  </si>
  <si>
    <t>DB-00002437 0000285</t>
  </si>
  <si>
    <t>0 EWING LN</t>
  </si>
  <si>
    <t>DB-00007391 0000522</t>
  </si>
  <si>
    <t>N/S OLD EWING LANE, WEST OF BRICK CHURCH PK.</t>
  </si>
  <si>
    <t>DB-00002640 0000531</t>
  </si>
  <si>
    <t>DB-20030226 0025832</t>
  </si>
  <si>
    <t>PT LOT 11 LAVERGNE ACRES</t>
  </si>
  <si>
    <t>DB-00003027 0000011</t>
  </si>
  <si>
    <t>3220 VAILVIEW DR</t>
  </si>
  <si>
    <t>METRO GOV'T  P  PARKWOOD</t>
  </si>
  <si>
    <t>DB-00004673 0000169</t>
  </si>
  <si>
    <t>LOT 1 GREEN HAVEN SUB.&amp; RES STRIP SEC 3 PARKWOOD EST</t>
  </si>
  <si>
    <t>311 HOMESTEAD RD</t>
  </si>
  <si>
    <t>METRO GOV'T  PW  ROW</t>
  </si>
  <si>
    <t>DB-00005414 0000373</t>
  </si>
  <si>
    <t>LOT PT B9 TAMBLE SUB.</t>
  </si>
  <si>
    <t>DB-00003430 0000085</t>
  </si>
  <si>
    <t>1128 BELL GRIMES LN</t>
  </si>
  <si>
    <t>METRO GOV'T  S  BELLSHIRE</t>
  </si>
  <si>
    <t>DB-00002332 0000363</t>
  </si>
  <si>
    <t>NE COR BELL-GRIMES LN &amp; HICKORY TERRACE</t>
  </si>
  <si>
    <t>3230 BRICK CHURCH PIKE</t>
  </si>
  <si>
    <t>METRO GOV'T  S  BRICK CHURCH</t>
  </si>
  <si>
    <t>DB-00002023 0000583</t>
  </si>
  <si>
    <t>W SIDE BRICK CHURCH PK N OF EWING DR</t>
  </si>
  <si>
    <t>DB-00010099 0000626</t>
  </si>
  <si>
    <t>321 PORT DR</t>
  </si>
  <si>
    <t>METRO GOV'T  S  CHADWELL</t>
  </si>
  <si>
    <t>DB-00002546 0000250</t>
  </si>
  <si>
    <t>N E CORNER OF CHADWELL AND PORT DRIVE</t>
  </si>
  <si>
    <t>DB-20010321 0027101</t>
  </si>
  <si>
    <t>300 OLD HICKORY BLVD</t>
  </si>
  <si>
    <t>METRO GOV'T  S  MADISON</t>
  </si>
  <si>
    <t>DB-00002641 0000423</t>
  </si>
  <si>
    <t>N SIDE OLD HICKORY BLVD W OF L&amp;N R R</t>
  </si>
  <si>
    <t>OR-00016300 0000000</t>
  </si>
  <si>
    <t>1245 DICKERSON PIKE</t>
  </si>
  <si>
    <t>GOODLETTSVILLE</t>
  </si>
  <si>
    <t>METRO GOV'T  S  OLD CENTER</t>
  </si>
  <si>
    <t>DB-00004271 0000450</t>
  </si>
  <si>
    <t>W SIDE DICKERSON PK S OF CAMPBELL RD</t>
  </si>
  <si>
    <t>DB-00003179 0000178</t>
  </si>
  <si>
    <t>1150 HUNTERS LN</t>
  </si>
  <si>
    <t>METRO GOV'T  S  SCHOOL</t>
  </si>
  <si>
    <t>DB-00005189 0000742</t>
  </si>
  <si>
    <t>E SIDE HUNTERS LANE S OF CAMPBELL RD</t>
  </si>
  <si>
    <t>WB-00000077 0000093</t>
  </si>
  <si>
    <t>METRO GOV'T  SM  VACANT</t>
  </si>
  <si>
    <t>N E CORNER OLD HICKORY BOULEVARD &amp; LICKTON PIKE</t>
  </si>
  <si>
    <t>DB-20030129 0012384</t>
  </si>
  <si>
    <t>0 INGRAM RD</t>
  </si>
  <si>
    <t>QC-20170404 0032904</t>
  </si>
  <si>
    <t>N SIDE INGRAM RD E OF LICKTON PIKE</t>
  </si>
  <si>
    <t>DB-00002338 0000463</t>
  </si>
  <si>
    <t>4891 LICKTON PIKE</t>
  </si>
  <si>
    <t>DB-20120117 0004422</t>
  </si>
  <si>
    <t>E SIDE LICKTON PK S OF INGRAM RD</t>
  </si>
  <si>
    <t>DB-00004805 0000383</t>
  </si>
  <si>
    <t>104 PEGGY ST</t>
  </si>
  <si>
    <t>DB-20190415 0033920</t>
  </si>
  <si>
    <t>LOT 24 SEC 2 FINNLAND HGTS</t>
  </si>
  <si>
    <t>DB-00004688 0000291</t>
  </si>
  <si>
    <t>1156 BELLSHIRE DR</t>
  </si>
  <si>
    <t>DB-20121016 0094742</t>
  </si>
  <si>
    <t>LOT 116 SEC 6 BELLSHIRE ESTATES</t>
  </si>
  <si>
    <t>DB-00003761 0000045</t>
  </si>
  <si>
    <t>1152 BELLSHIRE DR</t>
  </si>
  <si>
    <t>DB-20120524 0045119</t>
  </si>
  <si>
    <t>LOT 117 SEC 6 BELLSHIRE ESTATES</t>
  </si>
  <si>
    <t>DB-00003368 0000521</t>
  </si>
  <si>
    <t>1160 BELLSHIRE DR</t>
  </si>
  <si>
    <t>DB-20120503 0037956</t>
  </si>
  <si>
    <t>LOT 115 SEC 6 BELLSHIRE ESTATES</t>
  </si>
  <si>
    <t>DB-00004773 0000660</t>
  </si>
  <si>
    <t>1161 BELLSHIRE DR</t>
  </si>
  <si>
    <t>DB-20120727 0066403</t>
  </si>
  <si>
    <t>LOT 162 SEC 6 BELLSHIRE ESTATES</t>
  </si>
  <si>
    <t>DB-00004324 0000877</t>
  </si>
  <si>
    <t>1157 BELLSHIRE DR</t>
  </si>
  <si>
    <t>DB-20120404 0028773</t>
  </si>
  <si>
    <t>LOT 161 SEC 6 BELLSHIRE ESTATES</t>
  </si>
  <si>
    <t>DB-00004847 0000665</t>
  </si>
  <si>
    <t>406 CHADWELL DR</t>
  </si>
  <si>
    <t>DB-20160613 0059805</t>
  </si>
  <si>
    <t>LOT 31 STRATTON HGTS</t>
  </si>
  <si>
    <t>DB-00004511 0000710</t>
  </si>
  <si>
    <t>402 CHADWELL DR</t>
  </si>
  <si>
    <t>DB-20160705 0068569</t>
  </si>
  <si>
    <t>222 THIRD AVE N</t>
  </si>
  <si>
    <t>LOT 33 STRATTON HGTS</t>
  </si>
  <si>
    <t>DB-00004013 0000409</t>
  </si>
  <si>
    <t>400 CHADWELL DR</t>
  </si>
  <si>
    <t>DB-20160608 0057737</t>
  </si>
  <si>
    <t>LOT 34 STRATTON HGTS</t>
  </si>
  <si>
    <t>DB-00004632 0000665</t>
  </si>
  <si>
    <t>901 GIBSON DR</t>
  </si>
  <si>
    <t>DB-20160613 0059807</t>
  </si>
  <si>
    <t>LOT 70 STRATTON HGTS</t>
  </si>
  <si>
    <t>DB-00004423 0000365</t>
  </si>
  <si>
    <t>821 GIBSON DR</t>
  </si>
  <si>
    <t>DB-20160705 0068570</t>
  </si>
  <si>
    <t>LOT 69 STRATTON HGTS</t>
  </si>
  <si>
    <t>DB-00002881 0000367</t>
  </si>
  <si>
    <t>903 GIBSON DR</t>
  </si>
  <si>
    <t>DB-20160719 0074238</t>
  </si>
  <si>
    <t>LOT 71 STRATTON HGTS</t>
  </si>
  <si>
    <t>DB-00004648 0000055</t>
  </si>
  <si>
    <t>3268 BRICK CHURCH PIKE</t>
  </si>
  <si>
    <t>DC-20150325 0025757</t>
  </si>
  <si>
    <t>W SIDE BRICK CHURCH PK AND, S OF BRICK CHURCH LANE</t>
  </si>
  <si>
    <t>DB-00002297 0000487</t>
  </si>
  <si>
    <t>4697 LICKTON PIKE</t>
  </si>
  <si>
    <t>DB-20111227 0100843</t>
  </si>
  <si>
    <t>E/S LICKTON PIKE - S. OF INGRAM ROAD</t>
  </si>
  <si>
    <t>DB-00004536 0000093</t>
  </si>
  <si>
    <t>1009 GIBSON DR</t>
  </si>
  <si>
    <t>DB-20160801 0079202</t>
  </si>
  <si>
    <t>LOT 2 RE-SUB LOT 2 OF RE-SUB PT PAR B STRATTON HEIGHTS</t>
  </si>
  <si>
    <t>PL-00005190 0000393</t>
  </si>
  <si>
    <t>1011 GIBSON DR</t>
  </si>
  <si>
    <t>DB-20160713 0071826</t>
  </si>
  <si>
    <t>LOT 3 RE-SUB LOT 2 OF RE-SUB PT PAR B STRATTON HEIGHTS</t>
  </si>
  <si>
    <t>2102 INGRAM RD</t>
  </si>
  <si>
    <t>DB-20120221 0014690</t>
  </si>
  <si>
    <t>N/E COR LICKTON PK &amp; INGRAM RD</t>
  </si>
  <si>
    <t>DB-00002539 0000091</t>
  </si>
  <si>
    <t>4689 LICKTON PIKE</t>
  </si>
  <si>
    <t>DB-20111227 0100863</t>
  </si>
  <si>
    <t>E. SIDE LICKTON PIKE S. OF INGRAM ROAD</t>
  </si>
  <si>
    <t>DB-00004705 0000747</t>
  </si>
  <si>
    <t>404 CHADWELL DR</t>
  </si>
  <si>
    <t>METRO GOV'T  WW WATER &amp; SEWER</t>
  </si>
  <si>
    <t>DB-20160630 0067126</t>
  </si>
  <si>
    <t>LOT 32 STRATTON HGTS</t>
  </si>
  <si>
    <t>DB-00004652 0000492</t>
  </si>
  <si>
    <t>819 GIBSON DR</t>
  </si>
  <si>
    <t>DB-20160610 0059039</t>
  </si>
  <si>
    <t>LOT 68 STRATTON HGTS</t>
  </si>
  <si>
    <t>DB-00004018 0000336</t>
  </si>
  <si>
    <t>3430 BRICK CHURCH PIKE</t>
  </si>
  <si>
    <t>DB-20230111 0002325</t>
  </si>
  <si>
    <t>W SIDE BRICK CHURCH PIKE AND, N OF BRICK CHURCH LANE</t>
  </si>
  <si>
    <t>DB-00004187 0000355</t>
  </si>
  <si>
    <t>4693 LICKTON PIKE</t>
  </si>
  <si>
    <t>DB-20220324 0033825</t>
  </si>
  <si>
    <t>DB-00004298 0000024</t>
  </si>
  <si>
    <t>DC-20201209 0143427</t>
  </si>
  <si>
    <t>W SIDE BRICK CHURCH PIKE N OF BRICK CHURCH LANE</t>
  </si>
  <si>
    <t>DB-00004912 0000359</t>
  </si>
  <si>
    <t>3432 BRICK CHURCH PIKE</t>
  </si>
  <si>
    <t>DB-20230810 0061961</t>
  </si>
  <si>
    <t>1600 SECOND AVE N</t>
  </si>
  <si>
    <t>DB-00009155 0000204</t>
  </si>
  <si>
    <t>3428 BRICK CHURCH PIKE</t>
  </si>
  <si>
    <t>DB-20211215 0165620</t>
  </si>
  <si>
    <t>DB-00004357 0000436</t>
  </si>
  <si>
    <t>3426 BRICK CHURCH PIKE</t>
  </si>
  <si>
    <t>DB-00003128 0000597</t>
  </si>
  <si>
    <t>1015 GIBSON DR</t>
  </si>
  <si>
    <t>DB-20160811 0083516</t>
  </si>
  <si>
    <t>PARCEL PT B STRATTON HGTS</t>
  </si>
  <si>
    <t>DB-00002101 0000385</t>
  </si>
  <si>
    <t>04</t>
  </si>
  <si>
    <t>0 EDMONDSON PIKE</t>
  </si>
  <si>
    <t>BRENTWOOD</t>
  </si>
  <si>
    <t>QC-20190806 0078018</t>
  </si>
  <si>
    <t>100 METRO COURTHOUSE</t>
  </si>
  <si>
    <t>LOT 2 EDMONSON CORNER SUB</t>
  </si>
  <si>
    <t>PL-20181012 0101297</t>
  </si>
  <si>
    <t>0 VILLAGE WAY</t>
  </si>
  <si>
    <t>CR-20140311 0020388</t>
  </si>
  <si>
    <t>RES PAR-VILLAGES OF BRENTWOOD-PHASE 1</t>
  </si>
  <si>
    <t>PL-00005200 0000613</t>
  </si>
  <si>
    <t>0 CLOVERLAND DR</t>
  </si>
  <si>
    <t>CR-20220602 0063784</t>
  </si>
  <si>
    <t>N OF CLOVERLAND DR E OF NICKLEBY DOWN</t>
  </si>
  <si>
    <t>DB-00008251 0000326</t>
  </si>
  <si>
    <t>15530 OLD HICKORY BLVD</t>
  </si>
  <si>
    <t>METRO GOV'T  F  FIRE HALL</t>
  </si>
  <si>
    <t>DB-00008561 0000360</t>
  </si>
  <si>
    <t>LOT 7 NIPPERS CORNER</t>
  </si>
  <si>
    <t>PL-00007900 0000299</t>
  </si>
  <si>
    <t>6211 NOLENSVILLE PIKE</t>
  </si>
  <si>
    <t>METRO GOV'T  S  SHAYNE ELEMENTARY</t>
  </si>
  <si>
    <t>DB-20020227 0025270</t>
  </si>
  <si>
    <t>W SIDE NOLENSVILLE PIKE, S OF OLD HICKORY BLVD</t>
  </si>
  <si>
    <t>DB-20170807 0080423</t>
  </si>
  <si>
    <t>1520 CELEBRATION WAY</t>
  </si>
  <si>
    <t>QC-00009250 0000413</t>
  </si>
  <si>
    <t>RES. PAR. BRIDLE DOWNS PH 1- REV</t>
  </si>
  <si>
    <t>PL-00006900 0000702</t>
  </si>
  <si>
    <t>0 PINEVIEW LN</t>
  </si>
  <si>
    <t>DB-20020312 0031274</t>
  </si>
  <si>
    <t>PT THE WOODLANDS</t>
  </si>
  <si>
    <t>DB-20020312 0033035</t>
  </si>
  <si>
    <t>6655 NOLENSVILLE PIKE</t>
  </si>
  <si>
    <t>DB-20191126 0122080</t>
  </si>
  <si>
    <t>PT TRACT 1 F.A. RICH. PROP.</t>
  </si>
  <si>
    <t>QC-20230731 0058735</t>
  </si>
  <si>
    <t>6681 NOLENSVILLE PIKE</t>
  </si>
  <si>
    <t>FARM BUILDINGS ONLY</t>
  </si>
  <si>
    <t>DB-20190815 0081554</t>
  </si>
  <si>
    <t>S. S. NOLENSVILLE PIKE W. OF PETTUS ROAD</t>
  </si>
  <si>
    <t>QC-20230731 0058736</t>
  </si>
  <si>
    <t>05</t>
  </si>
  <si>
    <t>868 CARTER ST</t>
  </si>
  <si>
    <t>QC-20151023 0107850</t>
  </si>
  <si>
    <t>LOT 24 CARTER LANE PL</t>
  </si>
  <si>
    <t>DB-00004779 0000913</t>
  </si>
  <si>
    <t>914 APEX ST</t>
  </si>
  <si>
    <t>CR-20170517 0048953</t>
  </si>
  <si>
    <t>PT. LOT 1 BLK. C NASHVILLE TRUST CO. SUB. SHRYER PROP.</t>
  </si>
  <si>
    <t>DB-00001533 0000337</t>
  </si>
  <si>
    <t>1107 MCFERRIN AVE</t>
  </si>
  <si>
    <t>DB-00005413 0000882</t>
  </si>
  <si>
    <t>P/O LOT 44 W. H. HYRONEMUS ADDN.</t>
  </si>
  <si>
    <t>DB-00000609 0000067</t>
  </si>
  <si>
    <t>0 BRUNSWICK DR</t>
  </si>
  <si>
    <t>DB-00005524 0000040</t>
  </si>
  <si>
    <t>RESERVED STRIP CAPITOL VIEW SUB</t>
  </si>
  <si>
    <t>1506 JEWEL ST</t>
  </si>
  <si>
    <t>DB-00005414 0000121</t>
  </si>
  <si>
    <t>PT. LOT 6 DAN LEECH SUB.</t>
  </si>
  <si>
    <t>DB-00001727 0000236</t>
  </si>
  <si>
    <t>0 WARD ST</t>
  </si>
  <si>
    <t>DB-00005414 0000129</t>
  </si>
  <si>
    <t>PT. LOT 7 DAN LEECH SUB.</t>
  </si>
  <si>
    <t>DB-00003133 0000064</t>
  </si>
  <si>
    <t>1504 JEWEL ST</t>
  </si>
  <si>
    <t>DB-00005414 0000117</t>
  </si>
  <si>
    <t>PT. LOT 5 DAN LEECH SUB.</t>
  </si>
  <si>
    <t>DB-00002745 0000447</t>
  </si>
  <si>
    <t>0 BLUE RIDGE DR</t>
  </si>
  <si>
    <t>DB-00005414 0000125</t>
  </si>
  <si>
    <t>PT. LOT 35 T. I. WARD RESUB. BELLE VIEW</t>
  </si>
  <si>
    <t>DB-00001644 0000357</t>
  </si>
  <si>
    <t>0 JEWEL ST</t>
  </si>
  <si>
    <t>DB-00005414 0000113</t>
  </si>
  <si>
    <t>P/O LOT 34 T. I. WARD, RESUB. BELLE VIEW</t>
  </si>
  <si>
    <t>DB-00001645 0000043</t>
  </si>
  <si>
    <t>DB-00005414 0000105</t>
  </si>
  <si>
    <t>P/O LOT 33 T. I. WARD RE-SUB. BELLE VIEW</t>
  </si>
  <si>
    <t>DB-00002753 0000615</t>
  </si>
  <si>
    <t>DB-00005414 0000097</t>
  </si>
  <si>
    <t>P/O LOT 32 T. I. WARD RESUB. BELLE VIEW</t>
  </si>
  <si>
    <t>DB-00001732 0000151</t>
  </si>
  <si>
    <t>920 SHARPE AVE</t>
  </si>
  <si>
    <t>DB-00005413 0000902</t>
  </si>
  <si>
    <t>PT LOT 43 41 W H HYRONEMUS ADDN</t>
  </si>
  <si>
    <t>DB-00003929 0000431</t>
  </si>
  <si>
    <t>0 MANILA AVE</t>
  </si>
  <si>
    <t>DB-00008153 0000482</t>
  </si>
  <si>
    <t>P/O LOT 20 JAS BURNS &amp; P/O CL.ST.</t>
  </si>
  <si>
    <t>DB-00004441 0000196</t>
  </si>
  <si>
    <t>0 MYRTLE ST</t>
  </si>
  <si>
    <t>CR-20220602 0063781</t>
  </si>
  <si>
    <t>LOT 1 KIGER SUB NEIL S BROWN</t>
  </si>
  <si>
    <t>DB-00004773 0000957</t>
  </si>
  <si>
    <t>883 DOUGLAS AVE</t>
  </si>
  <si>
    <t>DB-00005524 0000080</t>
  </si>
  <si>
    <t>PT. LOT 31 BLK. B REV. L. M. EZELL 12 AC. TRACT</t>
  </si>
  <si>
    <t>DB-00001640 0000005</t>
  </si>
  <si>
    <t>1206 CLINE AVE</t>
  </si>
  <si>
    <t>CR-20100429 0032783</t>
  </si>
  <si>
    <t>PT. LOTS 14, 15 NASHVILLE TRUST COMPANY SUB. T. H. MOORE</t>
  </si>
  <si>
    <t>DB-00001389 0000303</t>
  </si>
  <si>
    <t>0 MCFERRIN AVE</t>
  </si>
  <si>
    <t>DB-00005760 0000590</t>
  </si>
  <si>
    <t>P/O LOT 3 CARTER LANE PLACE</t>
  </si>
  <si>
    <t>DB-00003851 0000781</t>
  </si>
  <si>
    <t>801 SKYLINE RIDGE DR</t>
  </si>
  <si>
    <t>METRO GOV'T  DEPT OF WASTE SERVICES</t>
  </si>
  <si>
    <t>DB-00003702 0000609</t>
  </si>
  <si>
    <t>S SIDE OF OLD DUE WEST AV. W. OF I-65</t>
  </si>
  <si>
    <t>DB-20181109 0111080</t>
  </si>
  <si>
    <t>840 MERIDIAN ST</t>
  </si>
  <si>
    <t>METRO GOV'T  F  ENG CO 3</t>
  </si>
  <si>
    <t>DB-00003309 0000455</t>
  </si>
  <si>
    <t>LT. 129, 130 &amp; 131 &amp; PT. 128 DR. V. S. LINDSLEY PL.</t>
  </si>
  <si>
    <t>130 BROADMOOR DR</t>
  </si>
  <si>
    <t>METRO GOV'T  F  ENG. # 1</t>
  </si>
  <si>
    <t>DB-00005184 0000678</t>
  </si>
  <si>
    <t>P/O LOT 8 LINDSEY SUB.</t>
  </si>
  <si>
    <t>OR-00781193 0000000</t>
  </si>
  <si>
    <t>1015 E TRINITY LN</t>
  </si>
  <si>
    <t>METRO GOV'T  M  EAST NASH HEALTH CNTR</t>
  </si>
  <si>
    <t>DB-00004205 0000677</t>
  </si>
  <si>
    <t>PT LOTS 51 THRU 53 CASPER ZOPHI</t>
  </si>
  <si>
    <t>DB-00008332 0000930</t>
  </si>
  <si>
    <t>1901 LISCHEY AVE</t>
  </si>
  <si>
    <t>METRO GOV'T  M  METRO ACTION COMM.</t>
  </si>
  <si>
    <t>UD-ZERO     0000435</t>
  </si>
  <si>
    <t>2624 5TH AV N</t>
  </si>
  <si>
    <t>SE CORNER LISCHEY AVE &amp; EDWIN STREET JOYWOOD SUB</t>
  </si>
  <si>
    <t>DB-00000981 0000598</t>
  </si>
  <si>
    <t>0 PRINCE AVE</t>
  </si>
  <si>
    <t>CD-00892245 0000000</t>
  </si>
  <si>
    <t>PT LOT 23 J B HAYNIES ORIENTAL PLAN</t>
  </si>
  <si>
    <t>DB-00001018 0000362</t>
  </si>
  <si>
    <t>936 E TRINITY LN</t>
  </si>
  <si>
    <t>LIGHT MANUFACTURING</t>
  </si>
  <si>
    <t>METRO GOV'T  M  MISC.</t>
  </si>
  <si>
    <t>DB-00010677 0000476</t>
  </si>
  <si>
    <t>S/W CORNER EAST TRINITY LN &amp; L&amp;N R.R. R.O.W.</t>
  </si>
  <si>
    <t>DB-00005865 0000663</t>
  </si>
  <si>
    <t>0 CAPITOL VIEW AVE</t>
  </si>
  <si>
    <t>DB-00004808 0000582</t>
  </si>
  <si>
    <t>N SIDE CAPITOL VIEW AVE &amp; W OF JONES AVE</t>
  </si>
  <si>
    <t>DB-00004583 0000951</t>
  </si>
  <si>
    <t>PART OF LOT 93 CAPITOL VIEW SUB</t>
  </si>
  <si>
    <t>1008 CROCKETT ST</t>
  </si>
  <si>
    <t>DB-00002086 0000361</t>
  </si>
  <si>
    <t>S/S CROCKETT ST-E OF JEWELL ST.</t>
  </si>
  <si>
    <t>1219 STOCKELL ST</t>
  </si>
  <si>
    <t>DB-00001133 0000008</t>
  </si>
  <si>
    <t>LOT 134 BENEDICT LAND CO SUB LINDSLEY TR</t>
  </si>
  <si>
    <t>125 FINN ST</t>
  </si>
  <si>
    <t>DB-00001133 0000008A</t>
  </si>
  <si>
    <t>LOTS 43 44 D D PHILLIPS SILVERDENE PARK &amp; PT CLOSED ALLEY</t>
  </si>
  <si>
    <t>OR-20160431 0000000</t>
  </si>
  <si>
    <t>16 N 10TH ST</t>
  </si>
  <si>
    <t>DB-00002904 0000166</t>
  </si>
  <si>
    <t>LTS 60 &amp; 61 D D PHILLIPS SILVERDENE PARK &amp; PT CLOSED ALLEY</t>
  </si>
  <si>
    <t>117 FINN ST</t>
  </si>
  <si>
    <t>DB-00002884 0000545</t>
  </si>
  <si>
    <t>LOT 45 D D PHILLIPS SILVERDENE PARK &amp; PT CLOSED ALLEY</t>
  </si>
  <si>
    <t>115 FINN ST</t>
  </si>
  <si>
    <t>DB-00002902 0000183</t>
  </si>
  <si>
    <t>LOT 46 D D PHILLIPS SILVERDENE PARK &amp; PT CLOSED ALLEY</t>
  </si>
  <si>
    <t>113 FINN ST</t>
  </si>
  <si>
    <t>LOT 47 D D PHILLIPS SILVERDENE PARK &amp; PT CLOSED ALLEY</t>
  </si>
  <si>
    <t>10 N 10TH ST</t>
  </si>
  <si>
    <t>DB-00002904 0000173</t>
  </si>
  <si>
    <t>LOT 58 D D PHILLIPS SILVERDENE PARK &amp; PT CLOSED ALLEY</t>
  </si>
  <si>
    <t>111 FINN ST</t>
  </si>
  <si>
    <t>DB-00003181 0000261</t>
  </si>
  <si>
    <t>LOT 48 D D PHILLIPS SILVERDENE PARK &amp; PT CLOSED ALLEY</t>
  </si>
  <si>
    <t>109 FINN ST</t>
  </si>
  <si>
    <t>LOT 49 D D PHILLIPS SILVERDENE PARK &amp; PT CLOSED ALLEY</t>
  </si>
  <si>
    <t>8 N 10TH ST</t>
  </si>
  <si>
    <t>DB-00002904 0000175</t>
  </si>
  <si>
    <t>PT OF LOT 57 D D PHILLIPS SILVERDENE PARK &amp; PT CLOSED ALLEY</t>
  </si>
  <si>
    <t>DB-20170217 0016801</t>
  </si>
  <si>
    <t>2513 DICKERSON PIKE</t>
  </si>
  <si>
    <t>DB-00001883 0000323</t>
  </si>
  <si>
    <t>PT. PARCEL A SEC 1 C. L. MORRIS SUB</t>
  </si>
  <si>
    <t>2028 PITTWAY DR</t>
  </si>
  <si>
    <t>BD-00003428 0000305</t>
  </si>
  <si>
    <t>P/O TRACT 1 HALES IND. SUB.</t>
  </si>
  <si>
    <t>DB-00003428 0000305</t>
  </si>
  <si>
    <t>12 N 10TH ST</t>
  </si>
  <si>
    <t>METRO GOV'T  NES  POWER BOARD</t>
  </si>
  <si>
    <t>DB-00002904 0000158</t>
  </si>
  <si>
    <t>LOT 59 D D PHILLIPS SILVERDENE PARK &amp; PT CLOSED ALLEY</t>
  </si>
  <si>
    <t>927 N 6TH ST</t>
  </si>
  <si>
    <t>METRO GOV'T  P  CLEVELAND STREET</t>
  </si>
  <si>
    <t>DB-00003575 0000236</t>
  </si>
  <si>
    <t>S/E COR N. SIXTH ST. &amp; BAYARD ST. &amp; PT CL ST</t>
  </si>
  <si>
    <t>211 N 7TH ST</t>
  </si>
  <si>
    <t>METRO GOV'T  P  DOUGLAS</t>
  </si>
  <si>
    <t>DB-00004542 0000095</t>
  </si>
  <si>
    <t>W/S N 8TH ST N OF RAMSEY ST</t>
  </si>
  <si>
    <t>QC-20080429 0043480</t>
  </si>
  <si>
    <t>0 HOWERTON ST</t>
  </si>
  <si>
    <t>N/S HOWERTON ST E/S N. 6TH ST.</t>
  </si>
  <si>
    <t>621 HOWERTON ST</t>
  </si>
  <si>
    <t>QC-20080429 0043481</t>
  </si>
  <si>
    <t>N/S HOWERTON ST W/S N. 7TH ST.</t>
  </si>
  <si>
    <t>301 BERRY ST</t>
  </si>
  <si>
    <t>METRO GOV'T  P  MCFERRIN</t>
  </si>
  <si>
    <t>DB-00005160 0000940</t>
  </si>
  <si>
    <t>N E CORNER OF BERRY ST &amp; MERIDIAN ST</t>
  </si>
  <si>
    <t>OR-20050643 0000000</t>
  </si>
  <si>
    <t>2701 OAKWOOD AVE</t>
  </si>
  <si>
    <t>METRO GOV'T  P  OAKWOOD</t>
  </si>
  <si>
    <t>DB-00005238 0000307A</t>
  </si>
  <si>
    <t>LOTS 80 TH 96 SHEPARDWOOD SEC 1 &amp; TRACT IN REAR</t>
  </si>
  <si>
    <t>DB-00005238 0000307</t>
  </si>
  <si>
    <t>945 DR RICHARD G ADAMS DR</t>
  </si>
  <si>
    <t>METRO GOV'T  PW  PUBLIC WORKS</t>
  </si>
  <si>
    <t>CD-00862182 0000000</t>
  </si>
  <si>
    <t>LOT 1 EAST CENTER SEC 1</t>
  </si>
  <si>
    <t>PL-20000828 0084430</t>
  </si>
  <si>
    <t>3010 AMBROSE AVE</t>
  </si>
  <si>
    <t>LOT 2 EAST CENTER SEC 1</t>
  </si>
  <si>
    <t>0 W DUE WEST AVE</t>
  </si>
  <si>
    <t>DB-00002104 0000261</t>
  </si>
  <si>
    <t>S. OF DUE WEST AVENUE W. OF BRIARVILLE ROAD</t>
  </si>
  <si>
    <t>DB-20010726 0079472</t>
  </si>
  <si>
    <t>941 DR RICHARD G ADAMS DR</t>
  </si>
  <si>
    <t>AUTO REPAIR/BODY SHOP</t>
  </si>
  <si>
    <t>METRO GOV'T  PW  SERVICE CENTER EAST</t>
  </si>
  <si>
    <t>DB-00003316 0000633A</t>
  </si>
  <si>
    <t>END OF NORTH HILL DR  W OF L AND N R R R O W</t>
  </si>
  <si>
    <t>244 FOSTER ST</t>
  </si>
  <si>
    <t>METRO GOV'T  S  CALDWELL</t>
  </si>
  <si>
    <t>DB-00004547 0000647</t>
  </si>
  <si>
    <t>S E CORNER OF MERIDIAN ST &amp; FOSTER ST</t>
  </si>
  <si>
    <t>110 GALLATIN AVE</t>
  </si>
  <si>
    <t>METRO GOV'T  S  EAST JR. &amp; HIGH</t>
  </si>
  <si>
    <t>BD-00000000 0000493</t>
  </si>
  <si>
    <t>LTS 1-4 13-16 OLWILLS ADDN &amp; LTS 38-42 SLVRDENE ADDN &amp; AC TR</t>
  </si>
  <si>
    <t>322 CLEVELAND ST</t>
  </si>
  <si>
    <t>METRO GOV'T  S  GLENN</t>
  </si>
  <si>
    <t>DB-00003957 0000224</t>
  </si>
  <si>
    <t>LOTS 6-11 PT L 1-5 &amp; REAR AREA LOTS S.A. EPPERSON-PT CL AL</t>
  </si>
  <si>
    <t>1033 W GREENWOOD AVE</t>
  </si>
  <si>
    <t>METRO GOV'T  S  HATTIE COTTON</t>
  </si>
  <si>
    <t>DB-00001641 0000253</t>
  </si>
  <si>
    <t>N W CORNER W GREENWOOD AVE &amp; BAILEY</t>
  </si>
  <si>
    <t>DB-00001218 0000078</t>
  </si>
  <si>
    <t>123 DOUGLAS AVE</t>
  </si>
  <si>
    <t>METRO GOV'T  S  HIGHLAND HEIGHTS</t>
  </si>
  <si>
    <t>DB-00003536 0000243</t>
  </si>
  <si>
    <t>LTS 9 &amp; 10 WILDWOOD ADDN., CLOSED ALLEY &amp; ACREAGE TRACT</t>
  </si>
  <si>
    <t>OR-02012172 0000000</t>
  </si>
  <si>
    <t>350 HART LN</t>
  </si>
  <si>
    <t>METRO GOV'T  S  JERE BAXTER SCHOOL</t>
  </si>
  <si>
    <t>DB-00007689 0000962</t>
  </si>
  <si>
    <t>S SIDE BEN ALLEN RD W OF HUTSON AVE</t>
  </si>
  <si>
    <t>DB-00006536 0000149</t>
  </si>
  <si>
    <t>400 WALTON LN</t>
  </si>
  <si>
    <t>METRO GOV'T  S  MAPLEWOOD</t>
  </si>
  <si>
    <t>DB-00004937 0000402</t>
  </si>
  <si>
    <t>LOT 1 WILLIAM PHILLIPS SUB.</t>
  </si>
  <si>
    <t>401 WALTON LN</t>
  </si>
  <si>
    <t>METRO GOV'T  S  MAPLEWOOD &amp; GRA-MAR</t>
  </si>
  <si>
    <t>DB-00003158 0000255</t>
  </si>
  <si>
    <t>N SIDE MAPLEWOOD LANE E OF WALTON LANE</t>
  </si>
  <si>
    <t>CD-00000085 0000000</t>
  </si>
  <si>
    <t>713 RAMSEY ST</t>
  </si>
  <si>
    <t>METRO GOV'T  S  MEIGS</t>
  </si>
  <si>
    <t>BD-ZERO     0000607</t>
  </si>
  <si>
    <t>N W CORNER RAMSEY ST &amp; N 8TH ST FOSTER</t>
  </si>
  <si>
    <t>DB-00000075 0000010</t>
  </si>
  <si>
    <t>9/6/1882</t>
  </si>
  <si>
    <t>2201 JONES AVE</t>
  </si>
  <si>
    <t>DB-00007273 0000975</t>
  </si>
  <si>
    <t>LTS 134-143 SEC 1 JOYWOOD HGTS &amp; ACREAGE TRACT TO THE EAST</t>
  </si>
  <si>
    <t>3801 PICTURE RIDGE TER</t>
  </si>
  <si>
    <t>DB-00007019 0000948</t>
  </si>
  <si>
    <t>PAR 57 VIRGINIA AVENUE TANK SITE SUB.</t>
  </si>
  <si>
    <t>PL-00009700 0000735</t>
  </si>
  <si>
    <t>2832 BRUNSWICK DR</t>
  </si>
  <si>
    <t>DB-20001228 0127134</t>
  </si>
  <si>
    <t>LOT 48 CAPITOL VIEW SUB &amp; P/O RES. STRIP</t>
  </si>
  <si>
    <t>OR-00981189 0000000</t>
  </si>
  <si>
    <t>2830 BRUNSWICK DR</t>
  </si>
  <si>
    <t>DB-20010607 0060259</t>
  </si>
  <si>
    <t>LOT 47 CAPITOL VIEW SUB &amp; P/O RES. STRIP</t>
  </si>
  <si>
    <t>2826 BRUNSWICK DR</t>
  </si>
  <si>
    <t>RD-20070220 0020319</t>
  </si>
  <si>
    <t>LOT 46 CAPITOL VIEW SUB &amp; P/O RES. STRIP</t>
  </si>
  <si>
    <t>2821 BRUNSWICK DR</t>
  </si>
  <si>
    <t>CR-20100913 0072827</t>
  </si>
  <si>
    <t>LOT 58 CAPITOL VIEW SUB</t>
  </si>
  <si>
    <t>DB-00004721 0000992</t>
  </si>
  <si>
    <t>2819 BRUNSWICK DR</t>
  </si>
  <si>
    <t>DB-20010516 0050932</t>
  </si>
  <si>
    <t>LOT 60 CAPITOL VIEW SUB</t>
  </si>
  <si>
    <t>DB-00003311 0000491</t>
  </si>
  <si>
    <t>1014 APEX ST</t>
  </si>
  <si>
    <t>DB-00010218 0000485</t>
  </si>
  <si>
    <t>PT LOTS 39 40 ALEXANDER PETWAY</t>
  </si>
  <si>
    <t>DB-00001349 0000461</t>
  </si>
  <si>
    <t>831 SEYMOUR AVE</t>
  </si>
  <si>
    <t>DB-00010210 0000753</t>
  </si>
  <si>
    <t>PT LOT 10 BLK C NASH TRUST CO SUB SHRYER PROP</t>
  </si>
  <si>
    <t>DB-00005943 0000766</t>
  </si>
  <si>
    <t>856 JOSEPH AVE</t>
  </si>
  <si>
    <t>DB-20170621 0062341</t>
  </si>
  <si>
    <t>LOT 22 N. H. A. SUB. SEC. 1</t>
  </si>
  <si>
    <t>DB-00004557 0000281</t>
  </si>
  <si>
    <t>820 SEYMOUR AVE</t>
  </si>
  <si>
    <t>DB-00010150 0000051</t>
  </si>
  <si>
    <t>PT. LOTS 18 &amp; 19 BLK. A. NASH. TRUST CO. SUB.</t>
  </si>
  <si>
    <t>DB-00001020 0000028</t>
  </si>
  <si>
    <t>822 SEYMOUR AVE</t>
  </si>
  <si>
    <t>DB-00010171 0000393</t>
  </si>
  <si>
    <t>LOT 17 BLK A NASHVILLE TRUST CO SUB SHRYER PROP</t>
  </si>
  <si>
    <t>DB-00004510 0000189</t>
  </si>
  <si>
    <t>824 SEYMOUR AVE</t>
  </si>
  <si>
    <t>DB-00010135 0000521</t>
  </si>
  <si>
    <t>LOT 16 BLK A NASHVILLE TRUST CO SUB SHRYER PROP</t>
  </si>
  <si>
    <t>DB-00004403 0000631</t>
  </si>
  <si>
    <t>826 SEYMOUR AVE</t>
  </si>
  <si>
    <t>DB-00010128 0000452</t>
  </si>
  <si>
    <t>LOT 15 BLK A NASHVILLE TRUST CO SUB</t>
  </si>
  <si>
    <t>DB-00004835 0000657</t>
  </si>
  <si>
    <t>1006 APEX ST</t>
  </si>
  <si>
    <t>DB-00011385 0000174</t>
  </si>
  <si>
    <t>LOT 1 ALEXANDER'S PETWAY AV CONSOLIDATION PLAT</t>
  </si>
  <si>
    <t>PL-00009700 0000922</t>
  </si>
  <si>
    <t>700 E TRINITY LN</t>
  </si>
  <si>
    <t>DB-00002031 0000551</t>
  </si>
  <si>
    <t>S/S EAST TRINITY LANE &amp; WEST OF L. &amp; N. R. R. ROW</t>
  </si>
  <si>
    <t>QC-20201023 0123337</t>
  </si>
  <si>
    <t>923 A DELMAS AVE</t>
  </si>
  <si>
    <t>DB-20091215 0114309</t>
  </si>
  <si>
    <t>PART OF LOT 17 EAST HILL ADD</t>
  </si>
  <si>
    <t>DB-00004126 0000464</t>
  </si>
  <si>
    <t>884 GRANADA AVE</t>
  </si>
  <si>
    <t>DB-00010170 0000043</t>
  </si>
  <si>
    <t>PT LOTS 41 42 43 ALEXANDER PETWAY</t>
  </si>
  <si>
    <t>DB-00001082 0000119</t>
  </si>
  <si>
    <t>102 GORDON TER</t>
  </si>
  <si>
    <t>DB-20080328 0031481</t>
  </si>
  <si>
    <t>LOT 10 AND PTS 1,2,3,4, J L GORDON SUB</t>
  </si>
  <si>
    <t>DB-00001644 0000411</t>
  </si>
  <si>
    <t>2817 BRUNSWICK DR</t>
  </si>
  <si>
    <t>DB-20130122 0006842</t>
  </si>
  <si>
    <t>LOT 61 CAPITOL VIEW SUB</t>
  </si>
  <si>
    <t>DB-00004208 0000429</t>
  </si>
  <si>
    <t>1012 APEX ST</t>
  </si>
  <si>
    <t>CR-20220408 0041506</t>
  </si>
  <si>
    <t>PT LOTS 38 39 ALEXANDER PETWAY</t>
  </si>
  <si>
    <t>DB-00002105 0000239</t>
  </si>
  <si>
    <t>0 OAKWOOD AVE</t>
  </si>
  <si>
    <t>SMALL WAREHOUSE</t>
  </si>
  <si>
    <t>DB-20200717 0078940</t>
  </si>
  <si>
    <t>LOT 3A OAKWOOD DEVELOPMENT RESUB LOT 3</t>
  </si>
  <si>
    <t>PL-20190211 0012586</t>
  </si>
  <si>
    <t>06</t>
  </si>
  <si>
    <t>2639 AIRPARK DR</t>
  </si>
  <si>
    <t>QC-20110519 0038256</t>
  </si>
  <si>
    <t>E OF LETHIA DR S OF MCGINNIS DR</t>
  </si>
  <si>
    <t>DB-00002097 0000111</t>
  </si>
  <si>
    <t>0 FORREST AVE</t>
  </si>
  <si>
    <t>DB-20230828 0067216</t>
  </si>
  <si>
    <t>LOT 2 RICHARDSON PLACE RESUB</t>
  </si>
  <si>
    <t>PL-20230803 0060243</t>
  </si>
  <si>
    <t>0 SHADOW LN</t>
  </si>
  <si>
    <t>VACANT INDUSTRIAL LAND</t>
  </si>
  <si>
    <t>N OF SHADOW LANE &amp; E OF AIRPARK DR</t>
  </si>
  <si>
    <t>DB-00003855 0000960</t>
  </si>
  <si>
    <t>2629 AIRPARK DR</t>
  </si>
  <si>
    <t>N OF AIRPARK DR E OF HIGHVIEW DR</t>
  </si>
  <si>
    <t>0 EASTLAND AVE</t>
  </si>
  <si>
    <t>DB-00009127 0000328</t>
  </si>
  <si>
    <t>E. SIDE EASTLAND AVENUE S. OF TIFFANY DRIVE</t>
  </si>
  <si>
    <t>1716 WOODLAND ST</t>
  </si>
  <si>
    <t>CR-20070209 0017340</t>
  </si>
  <si>
    <t>PT LOT 9 RICHARDSON PLACE</t>
  </si>
  <si>
    <t>DB-00003817 0000773</t>
  </si>
  <si>
    <t>1600 HOLLY ST</t>
  </si>
  <si>
    <t>METRO GOV'T  F  ENG CO 14</t>
  </si>
  <si>
    <t>DB-00000455 0000175</t>
  </si>
  <si>
    <t>PT. LOT 17 LINDSLEY SUB. CHADWELL</t>
  </si>
  <si>
    <t>416 RUSSELL ST</t>
  </si>
  <si>
    <t>METRO GOV'T  F  ENG CO 4 TRUCK 3</t>
  </si>
  <si>
    <t>DB-00003370 0000443</t>
  </si>
  <si>
    <t>LOTS 21TH30 CHEATAM ADDN LOT 42 PT 29&amp;30 HOUSTON TR-PT CL AL</t>
  </si>
  <si>
    <t>OR-00085983 0000000</t>
  </si>
  <si>
    <t>1151 CAHAL AVE</t>
  </si>
  <si>
    <t>DB-00007653 0000014</t>
  </si>
  <si>
    <t>PT LOT 1 CAHAL LANDS</t>
  </si>
  <si>
    <t>206 GALLATIN AVE</t>
  </si>
  <si>
    <t>MUSEUM OR OTHER CULTURAL ORG.</t>
  </si>
  <si>
    <t>METRO GOV'T  L  EAST BRANCH</t>
  </si>
  <si>
    <t>DB-00002992 0000638</t>
  </si>
  <si>
    <t>LOTS 1 TO 5 BELVIEW ADD</t>
  </si>
  <si>
    <t>217 S 10TH ST</t>
  </si>
  <si>
    <t>DB-00000168 0000007</t>
  </si>
  <si>
    <t>N W CORNER SO 10TH ST &amp; FATHERLAND ST</t>
  </si>
  <si>
    <t>1400 SHELBY AVE</t>
  </si>
  <si>
    <t>QC-00009940 0000475</t>
  </si>
  <si>
    <t>LOT 402 403 EDGEFIELD LAND CO. 4TH</t>
  </si>
  <si>
    <t>DB-00003949 0000097</t>
  </si>
  <si>
    <t>851 BETH DR</t>
  </si>
  <si>
    <t>QC-20101022 0084858</t>
  </si>
  <si>
    <t>CUMBERLAND MEADOWS SEC 2, FIRST AMENDMENT</t>
  </si>
  <si>
    <t>PL-20050525 0059134</t>
  </si>
  <si>
    <t>1805 SCOTT AVE</t>
  </si>
  <si>
    <t>DB-00001426 0000437</t>
  </si>
  <si>
    <t>PT LTS 41 42 43 44 45 46 E T BROWNS SUB BROWNSVILLE</t>
  </si>
  <si>
    <t>1013 S 6TH ST</t>
  </si>
  <si>
    <t>DB-00002594 0000061</t>
  </si>
  <si>
    <t>PT. BLK. 8 D. B. COOPER</t>
  </si>
  <si>
    <t>1412 ROSEBANK AVE</t>
  </si>
  <si>
    <t>DB-00002032 0000195</t>
  </si>
  <si>
    <t>W SIDE ROSEBANK AVE S OF SHERIDAN RD W R CORNELIUS</t>
  </si>
  <si>
    <t>PL-00004660 0000167</t>
  </si>
  <si>
    <t>2505 COLBERT DR</t>
  </si>
  <si>
    <t>METRO GOV'T  NE POWER BOARD</t>
  </si>
  <si>
    <t>DB-00004703 0000856</t>
  </si>
  <si>
    <t>ROSEBANK SUBSTATION SITE &amp; PT CLOSED STREET</t>
  </si>
  <si>
    <t>OR-20061267 0000000</t>
  </si>
  <si>
    <t>1602 HOLLY ST</t>
  </si>
  <si>
    <t>METRO GOV'T  P  BASS</t>
  </si>
  <si>
    <t>DB-00000584 0000033</t>
  </si>
  <si>
    <t>PT. LOT 17 &amp; 18 LINDSLEY SUB CHADWELL</t>
  </si>
  <si>
    <t>600 WOODLAND ST</t>
  </si>
  <si>
    <t>METRO GOV'T  P  EAST</t>
  </si>
  <si>
    <t>DB-00003535 0000236A</t>
  </si>
  <si>
    <t>S. SIDE WOODLAND STREET &amp; W. SIDE SOUTH 8TH STREET</t>
  </si>
  <si>
    <t>DB-00003535 0000236</t>
  </si>
  <si>
    <t>0 STRAIGHTWAY AVE</t>
  </si>
  <si>
    <t>METRO GOV'T  P  EASTLAND</t>
  </si>
  <si>
    <t>DB-00000522 0000294</t>
  </si>
  <si>
    <t>LTS 1-6&amp;74-78 DR E T BROWNS SUB 21-26 BROWNSVLE ADDN.PT CL A</t>
  </si>
  <si>
    <t>998 SEVIER ST</t>
  </si>
  <si>
    <t>METRO GOV'T  P  KIRKPATRICK</t>
  </si>
  <si>
    <t>BD-00000000 0000313</t>
  </si>
  <si>
    <t>LOT 2 KIRKPATRICK PARK RESUB LOT 2</t>
  </si>
  <si>
    <t>PL-20200130 0011124</t>
  </si>
  <si>
    <t>1810 WOODLAND ST</t>
  </si>
  <si>
    <t>QC-20111027 0083836</t>
  </si>
  <si>
    <t>1 PUBLIC SQUARE</t>
  </si>
  <si>
    <t>PT OF LOTS 38 39 RICHARDSON PLACE</t>
  </si>
  <si>
    <t>DB-00004665 0000857</t>
  </si>
  <si>
    <t>1919 SEVIER ST</t>
  </si>
  <si>
    <t>METRO GOV'T  P  SHELBY</t>
  </si>
  <si>
    <t>DB-00000777 0000474</t>
  </si>
  <si>
    <t>LTS 101 THRU 106 UNITED ELECTRIC RAILWAY</t>
  </si>
  <si>
    <t>1911 SEVIER ST</t>
  </si>
  <si>
    <t>DB-00001082 0000127</t>
  </si>
  <si>
    <t>PT LOTS 89 90 91 UNITED ELECTRIC RAILWAY</t>
  </si>
  <si>
    <t>1915 SEVIER ST</t>
  </si>
  <si>
    <t>BD-00000777 0000474</t>
  </si>
  <si>
    <t>LOTS 98 99 100 UNITED ELECTRIC RAILWAY</t>
  </si>
  <si>
    <t>2009 SEVIER ST</t>
  </si>
  <si>
    <t>BD-ZERO     0000914</t>
  </si>
  <si>
    <t>LT 110 PT 109 UNITED ELEC RAIL &amp; ACREAGE TRACT</t>
  </si>
  <si>
    <t>750 S 5TH ST</t>
  </si>
  <si>
    <t>BD-00003499 0000543</t>
  </si>
  <si>
    <t>W. SIDE SO. 5TH STREET, N. OF CRUTCHER STREET</t>
  </si>
  <si>
    <t>2000 GREENWOOD AVE</t>
  </si>
  <si>
    <t>METRO GOV'T  S  BAILEY</t>
  </si>
  <si>
    <t>DB-00000838 0000161</t>
  </si>
  <si>
    <t>LOTS 39 THRU 42 &amp; 47 THRU 54, FIRST SUB OF BROWNSVILLE</t>
  </si>
  <si>
    <t>316 SCOTT AVE</t>
  </si>
  <si>
    <t>METRO GOV'T  S  BAILEY MIDDLE SCHOOL</t>
  </si>
  <si>
    <t>DB-00011725 0000937</t>
  </si>
  <si>
    <t>PT LOT 11 BROWNSVILLE</t>
  </si>
  <si>
    <t>DB-00004558 0000921</t>
  </si>
  <si>
    <t>1928 GREENWOOD AVE</t>
  </si>
  <si>
    <t>METRO GOV'T  S  CORA HOWE</t>
  </si>
  <si>
    <t>DB-00004077 0000331</t>
  </si>
  <si>
    <t>PT LOTS 5 7 &amp; 8 BROWNSVILLE</t>
  </si>
  <si>
    <t>1000 SEVIER ST</t>
  </si>
  <si>
    <t>METRO GOV'T  S  KIRKPATRICK</t>
  </si>
  <si>
    <t>BD-ZERO     0000909</t>
  </si>
  <si>
    <t>S. W. COR. SEVIER ST. &amp; SO. 11TH ST. &amp; PT. OF CLOSED ST.</t>
  </si>
  <si>
    <t>DB-00002083 0000300</t>
  </si>
  <si>
    <t>1011 SEVIER ST</t>
  </si>
  <si>
    <t>METRO GOV'T  S  KIRKPATRICK-PARKING</t>
  </si>
  <si>
    <t>DB-00004565 0000454</t>
  </si>
  <si>
    <t>PT LOT 46 HOBSON ADDN</t>
  </si>
  <si>
    <t>105 S 17TH ST</t>
  </si>
  <si>
    <t>METRO GOV'T  S  LOCKELAND</t>
  </si>
  <si>
    <t>DB-00001079 0000333</t>
  </si>
  <si>
    <t>S E CORNER OF SO 17TH ST &amp; WOODLAND ST RICHARDSON PLACE</t>
  </si>
  <si>
    <t>1800 WOODLAND ST</t>
  </si>
  <si>
    <t>DB-00004071 0000747</t>
  </si>
  <si>
    <t>PT LT 34 &amp; LT 35 RICHARDSON PL</t>
  </si>
  <si>
    <t>1012 PRESTON DR</t>
  </si>
  <si>
    <t>METRO GOV'T  S  ROSEBANK</t>
  </si>
  <si>
    <t>DB-00002247 0000441</t>
  </si>
  <si>
    <t>LOT 1 RESUB P/O ROSEWOOD HEIGHTS SEC 2</t>
  </si>
  <si>
    <t>PL-00009700 0000764</t>
  </si>
  <si>
    <t>1310 ORDWAY PL</t>
  </si>
  <si>
    <t>METRO GOV'T  S  ROSS</t>
  </si>
  <si>
    <t>DB-00000669 0000142</t>
  </si>
  <si>
    <t>LOTS 18 TO 24 F O BEASLEY SUB BLK C DOUGLAS</t>
  </si>
  <si>
    <t>403 GENTRY AVE</t>
  </si>
  <si>
    <t>CD-00992943 0000000</t>
  </si>
  <si>
    <t>PT LTS 11 &amp; 12 BROWN SUB OF BROWNSVILLE</t>
  </si>
  <si>
    <t>DB-00004421 0000853</t>
  </si>
  <si>
    <t>626 RUSSELL ST</t>
  </si>
  <si>
    <t>METRO GOV'T  S  WARNER</t>
  </si>
  <si>
    <t>BD-ZERO     0000620</t>
  </si>
  <si>
    <t>LOTS 70 TO 81 HENRY BLOODS ADDN</t>
  </si>
  <si>
    <t>PL-00000021 0000005</t>
  </si>
  <si>
    <t>5/4/1855</t>
  </si>
  <si>
    <t>1415 BOSCOBEL ST</t>
  </si>
  <si>
    <t>DB-20180226 0017611</t>
  </si>
  <si>
    <t>LOT 174 BLK Q LINDSLEY HOME</t>
  </si>
  <si>
    <t>DB-00004754 0000756</t>
  </si>
  <si>
    <t>07</t>
  </si>
  <si>
    <t>0 SHADY STONEWAY</t>
  </si>
  <si>
    <t>DB-00005414 0000349</t>
  </si>
  <si>
    <t>LOT 50 WOODVALE GROVE</t>
  </si>
  <si>
    <t>DB-00000620 0000170</t>
  </si>
  <si>
    <t>DB-00005413 0000930</t>
  </si>
  <si>
    <t>LOT 43 WOODVALE GROVE</t>
  </si>
  <si>
    <t>DB-00001385 0000395</t>
  </si>
  <si>
    <t>0 KIRKLAND AVE</t>
  </si>
  <si>
    <t>CR-20170711 0069663</t>
  </si>
  <si>
    <t>PT RES PAR KENMORE CT</t>
  </si>
  <si>
    <t>DB-00007279 0000084</t>
  </si>
  <si>
    <t>0 RIVERWOOD DR</t>
  </si>
  <si>
    <t>CR-20170517 0048954</t>
  </si>
  <si>
    <t>PT LOT 32 RIVERWOOD SUB</t>
  </si>
  <si>
    <t>DB-00000900 0000159</t>
  </si>
  <si>
    <t>0 SHELTON AVE</t>
  </si>
  <si>
    <t>CR-20030318 0035829</t>
  </si>
  <si>
    <t>PT LOT 4 BLK D INGLEWOOD GOLF CLUB SUB</t>
  </si>
  <si>
    <t>PL-00004885 0000084</t>
  </si>
  <si>
    <t>0 COOPER TER</t>
  </si>
  <si>
    <t>CR-20140214 0012983</t>
  </si>
  <si>
    <t>RES PAR A COOPER LANE ESTATES</t>
  </si>
  <si>
    <t>PL-00005200 0000567</t>
  </si>
  <si>
    <t>0 SAUNDERS AVE</t>
  </si>
  <si>
    <t>CR-20090928 0090028</t>
  </si>
  <si>
    <t>S.W. CORNER SAUNDERS AVE AND WALTON LANE</t>
  </si>
  <si>
    <t>DB-20000310 0025076</t>
  </si>
  <si>
    <t>4201 GALLATIN PIKE</t>
  </si>
  <si>
    <t>METRO GOV'T  F  ENG. # 29</t>
  </si>
  <si>
    <t>DB-00005166 0000018</t>
  </si>
  <si>
    <t>LOT 27 I C MCMAHAN SUB OF MAPLEWOOD</t>
  </si>
  <si>
    <t>4312 GALLATIN PIKE</t>
  </si>
  <si>
    <t>METRO GOV'T  L  INGLEWOOD BRANCH</t>
  </si>
  <si>
    <t>DB-00004103 0000058</t>
  </si>
  <si>
    <t>LOTS 1, 2 &amp; 3 BLK. B SEC. 1 JACKSON PIKE</t>
  </si>
  <si>
    <t>0 KENMORE PL</t>
  </si>
  <si>
    <t>METRO GOV'T  M</t>
  </si>
  <si>
    <t>DB-00005153 0000393</t>
  </si>
  <si>
    <t>S OF KIRKLAND AV N OF KENMORE PL</t>
  </si>
  <si>
    <t>104 MONTAGUE WAY</t>
  </si>
  <si>
    <t>DB-00002044 0000077</t>
  </si>
  <si>
    <t>S SIDE DUE WEST AVE E OF GALLATIN PIKE</t>
  </si>
  <si>
    <t>1012 SOLLEY DR</t>
  </si>
  <si>
    <t>DB-00001627 0000001</t>
  </si>
  <si>
    <t>LOT 8 AND PT 7 BLK J BROADMOOR</t>
  </si>
  <si>
    <t>607 MAPLEWOOD LN</t>
  </si>
  <si>
    <t>DB-00004055 0000510</t>
  </si>
  <si>
    <t>LOT 15 GRA-MAR ACRES SEC. 13</t>
  </si>
  <si>
    <t>4023 BRUSH HILL RD</t>
  </si>
  <si>
    <t>DB-00002156 0000231</t>
  </si>
  <si>
    <t>PT LOT 3 BLK 1 MCGAUGHEY 2ND HAYSBORO SU</t>
  </si>
  <si>
    <t>1113 HUNTERS MEADOW LN</t>
  </si>
  <si>
    <t>DB-00002096 0000111</t>
  </si>
  <si>
    <t>PT LOTS 4 &amp; 5 SUB 81 MAPLEWOOD</t>
  </si>
  <si>
    <t>1442 ARDEE AVE</t>
  </si>
  <si>
    <t>DB-00001731 0000241</t>
  </si>
  <si>
    <t>PT LOT 6 BLK F COUNTRY CLUB EST</t>
  </si>
  <si>
    <t>0 LOFTIN AVE</t>
  </si>
  <si>
    <t>DB-00001133 0000024</t>
  </si>
  <si>
    <t>LOT 17 KENMORE PLACE &amp; PT OF CLOSED R.O.W.</t>
  </si>
  <si>
    <t>OR-20170842 0000000</t>
  </si>
  <si>
    <t>930 HOME RD</t>
  </si>
  <si>
    <t>DB-00001488 0000003</t>
  </si>
  <si>
    <t>S SIDE HOME RD W OF GALLATIN PK</t>
  </si>
  <si>
    <t>337 WALTON LN</t>
  </si>
  <si>
    <t>DB-00002811 0000563</t>
  </si>
  <si>
    <t>S SIDE WALTON LANE W OF SAUNDERS AVE</t>
  </si>
  <si>
    <t>332 WALTON LN</t>
  </si>
  <si>
    <t>DB-00005816 0000612</t>
  </si>
  <si>
    <t>PT LOT 16 ANDERSON TRACT &amp; PT CLOSED ST</t>
  </si>
  <si>
    <t>OR-00080243 0000000</t>
  </si>
  <si>
    <t>0 ROTHWOOD AVE</t>
  </si>
  <si>
    <t>DB-00008153 0000566</t>
  </si>
  <si>
    <t>PT LOT 6 BLK K, POWER &amp; ROTHS MADISON PARK</t>
  </si>
  <si>
    <t>DB-00004797 0000876</t>
  </si>
  <si>
    <t>515 YALE AVE</t>
  </si>
  <si>
    <t>CR-20150702 0064011</t>
  </si>
  <si>
    <t>LOT 26 BL K POWER&amp;ROTH SUB OF MADISON PK</t>
  </si>
  <si>
    <t>DB-00001142 0000540</t>
  </si>
  <si>
    <t>517 YALE AVE</t>
  </si>
  <si>
    <t>DB-00008153 0000569</t>
  </si>
  <si>
    <t>LOT 27 BL K POWER&amp;ROTH SUB OF MADISON PK</t>
  </si>
  <si>
    <t>512 YALE AVE</t>
  </si>
  <si>
    <t>CR-20140214 0012975</t>
  </si>
  <si>
    <t>LOT 38 BL K POWER&amp;ROTH SUB OF MADISON PK</t>
  </si>
  <si>
    <t>DB-00002037 0000464</t>
  </si>
  <si>
    <t>0 HARVARD AVE</t>
  </si>
  <si>
    <t>DB-00008153 0000578</t>
  </si>
  <si>
    <t>LOT 52 BL K POWER&amp;ROTH SUB OF MADISON PK</t>
  </si>
  <si>
    <t>DB-00008153 0000575</t>
  </si>
  <si>
    <t>LOT 54 BL K POWER&amp;ROTH SUB OF MADISON PK</t>
  </si>
  <si>
    <t>DB-00005414 0000353</t>
  </si>
  <si>
    <t>LOT 55 BL K POWER&amp;ROTH SUB OF MADISON PK</t>
  </si>
  <si>
    <t>DB-00001115 0000357</t>
  </si>
  <si>
    <t>DB-00008153 0000572</t>
  </si>
  <si>
    <t>LOT 56 BL K POWER&amp;ROTH SUB OF MADISON PK</t>
  </si>
  <si>
    <t>CR-20050309 0026282</t>
  </si>
  <si>
    <t>RES PAR E COOPER LANE ESTATES</t>
  </si>
  <si>
    <t>CR-20041115 0136940</t>
  </si>
  <si>
    <t>RES PAR C COOPER LANE ESTATES</t>
  </si>
  <si>
    <t>CR-20111219 0098671</t>
  </si>
  <si>
    <t>PT LOT 7 BLK K, POWER &amp; ROTHS MADISON PARK</t>
  </si>
  <si>
    <t>DB-00001224 0000011</t>
  </si>
  <si>
    <t>CR-20090928 0090015</t>
  </si>
  <si>
    <t>LOT 59 BL K POWER&amp;ROTH SUB OF MADISON PK</t>
  </si>
  <si>
    <t>DB-00004529 0000773</t>
  </si>
  <si>
    <t>0 BURNS ST</t>
  </si>
  <si>
    <t>METRO GOV'T  P  SOUTH INGLEWOOD</t>
  </si>
  <si>
    <t>DB-00004808 0000985</t>
  </si>
  <si>
    <t>LOT 40 BURNS SUB MAXEY</t>
  </si>
  <si>
    <t>DB-00004808 0000989</t>
  </si>
  <si>
    <t>LOT 55 BURNS SUB MAXEY</t>
  </si>
  <si>
    <t>1624 MOORE ST</t>
  </si>
  <si>
    <t>DB-00004314 0000125</t>
  </si>
  <si>
    <t>N. W. CORNER OF CAHAL AVE. &amp; REBECCA ST.</t>
  </si>
  <si>
    <t>309 REBECCA ST</t>
  </si>
  <si>
    <t>METRO GOV'T  P INGLEWOOD</t>
  </si>
  <si>
    <t>DB-00005414 0000229</t>
  </si>
  <si>
    <t>LOT 19 20 MOORES SUB 10 MAXEY</t>
  </si>
  <si>
    <t>DB-00001084 0000097</t>
  </si>
  <si>
    <t>0 HILLTOP LN</t>
  </si>
  <si>
    <t>CD-00003208 0000000</t>
  </si>
  <si>
    <t>PT LOT 133 CRAIG SUB OF CROWNOVER</t>
  </si>
  <si>
    <t>0 RUSKIN AVE</t>
  </si>
  <si>
    <t>DB-00004801 0000293</t>
  </si>
  <si>
    <t>N. OF RUSKIN AVENUE &amp; N. OF HAYSBORO ROAD</t>
  </si>
  <si>
    <t>PL-00006200 0000072</t>
  </si>
  <si>
    <t>1460 MCGAVOCK PIKE</t>
  </si>
  <si>
    <t>METRO GOV'T  S  DALEWOOD</t>
  </si>
  <si>
    <t>DB-00002396 0000413</t>
  </si>
  <si>
    <t>LOT 1 DALEWOOD SCHOOL</t>
  </si>
  <si>
    <t>PL-20000309 0024167</t>
  </si>
  <si>
    <t>4106 KENNEDY AVE</t>
  </si>
  <si>
    <t>METRO GOV'T  S  DAN MILLS</t>
  </si>
  <si>
    <t>DB-00000967 0000720</t>
  </si>
  <si>
    <t>SE COR OF GREENLAND AVE &amp; KENNEDY AVE</t>
  </si>
  <si>
    <t>575 JOYCE LN</t>
  </si>
  <si>
    <t>METRO GOV'T  S  GRA-MAR</t>
  </si>
  <si>
    <t>E SIDE WALTON LANE N OF MAPLEWOOD</t>
  </si>
  <si>
    <t>1700 RIVERSIDE DR</t>
  </si>
  <si>
    <t>METRO GOV'T  S  INGLEWOOD</t>
  </si>
  <si>
    <t>DB-00000782 0000106</t>
  </si>
  <si>
    <t>S W CORNER OF RIVERSIDE DRIVE AND DORCHESTER AVE</t>
  </si>
  <si>
    <t>4601 HEDGEWOOD DR</t>
  </si>
  <si>
    <t>METRO GOV'T  S  ISAAC LITTON</t>
  </si>
  <si>
    <t>DB-00000790 0000141</t>
  </si>
  <si>
    <t>E SIDE GALLATIN PK S OF RICHMOND DR.</t>
  </si>
  <si>
    <t>3515 GALLATIN PIKE</t>
  </si>
  <si>
    <t>METRO GOV'T  S  JERE BAXTER</t>
  </si>
  <si>
    <t>DB-00000598 0000570</t>
  </si>
  <si>
    <t>NE COR BEN ALLEN RD &amp; BAXTER AVE</t>
  </si>
  <si>
    <t>1800 STRATFORD AVE</t>
  </si>
  <si>
    <t>METRO GOV'T  S  STRATFORD</t>
  </si>
  <si>
    <t>DB-00002957 0000296</t>
  </si>
  <si>
    <t>NW COR PORTER RD &amp; STRATFORD AVE</t>
  </si>
  <si>
    <t>735 MADISON BLVD</t>
  </si>
  <si>
    <t>DB-20130523 0052232</t>
  </si>
  <si>
    <t>P/O LOTS 13 &amp; 14 BLK L, POWER &amp; ROTHS MADISON PARK</t>
  </si>
  <si>
    <t>DV-00000062 0000691</t>
  </si>
  <si>
    <t>726 MADISON BLVD</t>
  </si>
  <si>
    <t>DB-20160616 0061135</t>
  </si>
  <si>
    <t>LOT 25 BLK B POWER &amp; ROTHS MADISON PARK</t>
  </si>
  <si>
    <t>DB-00004796 0000920</t>
  </si>
  <si>
    <t>LOT 26 BLK B POWER &amp; ROTHS MADISON PARK</t>
  </si>
  <si>
    <t>733 MADISON BLVD</t>
  </si>
  <si>
    <t>DB-20130514 0048342</t>
  </si>
  <si>
    <t>PT LOTS 13 &amp; 14 BLK L, POWER &amp; ROTHS MADISON PARK</t>
  </si>
  <si>
    <t>DB-00004584 0000362</t>
  </si>
  <si>
    <t>737 MADISON BLVD</t>
  </si>
  <si>
    <t>DB-20130418 0038598</t>
  </si>
  <si>
    <t>LOT 1 BLK L POWER &amp; ROTHS MADISON PK</t>
  </si>
  <si>
    <t>DB-00004621 0000545</t>
  </si>
  <si>
    <t>745 MADISON BLVD</t>
  </si>
  <si>
    <t>DB-20130520 0050514</t>
  </si>
  <si>
    <t>LOT 3 BLK L POWER &amp; ROTHS MADISON PARK</t>
  </si>
  <si>
    <t>DB-00003893 0000684</t>
  </si>
  <si>
    <t>812 IDLEWILD DR</t>
  </si>
  <si>
    <t>DB-20130502 0044419</t>
  </si>
  <si>
    <t>PT LOT 4 BLK K, POWER AND ROTH SUB OF MADISON PARK</t>
  </si>
  <si>
    <t>DB-00003377 0000034</t>
  </si>
  <si>
    <t>814 IDLEWILD DR</t>
  </si>
  <si>
    <t>DB-20130306 0022144</t>
  </si>
  <si>
    <t>PT LOT 4 BLK K, POWER &amp; ROTH SUB OF MADISON PARK</t>
  </si>
  <si>
    <t>DB-00003377 0000081</t>
  </si>
  <si>
    <t>258 EMMITT AVE</t>
  </si>
  <si>
    <t>DB-20120221 0014692</t>
  </si>
  <si>
    <t>LOT 23 BLK I POWER &amp; ROTH MADISON PARK</t>
  </si>
  <si>
    <t>DB-00000869 0000192</t>
  </si>
  <si>
    <t>308 EMMITT AVE</t>
  </si>
  <si>
    <t>DB-20120824 0076302</t>
  </si>
  <si>
    <t>LOT 30 BL I POWER&amp;ROTH SUB OF MADISON PK</t>
  </si>
  <si>
    <t>DB-00004666 0000765</t>
  </si>
  <si>
    <t>507 YALE AVE</t>
  </si>
  <si>
    <t>DB-20130304 0021284</t>
  </si>
  <si>
    <t>LOT 22 BL K POWER&amp;ROTH SUB OF MADISON PK</t>
  </si>
  <si>
    <t>DB-00001174 0000527</t>
  </si>
  <si>
    <t>509 YALE AVE</t>
  </si>
  <si>
    <t>LOT 23 BL K POWER&amp;ROTH SUB OF MADISON PK</t>
  </si>
  <si>
    <t>DB-00001113 0000395</t>
  </si>
  <si>
    <t>921 DENSON AVE</t>
  </si>
  <si>
    <t>DB-20130313 0024986</t>
  </si>
  <si>
    <t>LOT 18 BL K POWER&amp;ROTH SUB OF MADISON PK</t>
  </si>
  <si>
    <t>DB-00001712 0000437</t>
  </si>
  <si>
    <t>502 YALE AVE</t>
  </si>
  <si>
    <t>DB-20130514 0048358</t>
  </si>
  <si>
    <t>LOT 33 BLK K POWER &amp; ROTH SUB OF MADISON PK</t>
  </si>
  <si>
    <t>DB-00004734 0000593</t>
  </si>
  <si>
    <t>504 YALE AVE</t>
  </si>
  <si>
    <t>DB-20130502 0044434</t>
  </si>
  <si>
    <t>LOT 34 BL K POWER&amp;ROTH SUB OF MADISON PK</t>
  </si>
  <si>
    <t>DB-00003339 0000384</t>
  </si>
  <si>
    <t>0 YALE AVE</t>
  </si>
  <si>
    <t>QC-20171114 0116953</t>
  </si>
  <si>
    <t>S YALE AVE E DENSON AVE POWER</t>
  </si>
  <si>
    <t>DB-00005414 0000361</t>
  </si>
  <si>
    <t>506 YALE AVE</t>
  </si>
  <si>
    <t>DB-20130312 0024397</t>
  </si>
  <si>
    <t>LOT 35 BL K POWER&amp;ROTH SUB OF MADISON PK</t>
  </si>
  <si>
    <t>DB-00004582 0000137</t>
  </si>
  <si>
    <t>508 YALE AVE</t>
  </si>
  <si>
    <t>LOT 36 BL K POWER&amp;ROTH SUB OF MADISON PK</t>
  </si>
  <si>
    <t>DB-00004704 0000725</t>
  </si>
  <si>
    <t>DB-20181127 0115561</t>
  </si>
  <si>
    <t>LOT 46 BL K POWER&amp;ROTH SUB OF MADISON PK</t>
  </si>
  <si>
    <t>DB-00002101 0000427</t>
  </si>
  <si>
    <t>0 BRUSH HILL RD</t>
  </si>
  <si>
    <t>DB-20140306 0019091</t>
  </si>
  <si>
    <t>PT LOT 20 BLK 3 MCGAUGHEYS 2ND HAYSBORO</t>
  </si>
  <si>
    <t>PL-00005190 0000501</t>
  </si>
  <si>
    <t>4419 SAUNDERS AVE</t>
  </si>
  <si>
    <t>DB-20150518 0045714</t>
  </si>
  <si>
    <t>LOT 113 SEC 2 GRA MAR ACRES</t>
  </si>
  <si>
    <t>DB-00004846 0000434</t>
  </si>
  <si>
    <t>3807 SAUNDERS AVE</t>
  </si>
  <si>
    <t>DB-20190815 0081576</t>
  </si>
  <si>
    <t>LOT 4 RE-SUB LOTS 3 &amp; 4 MAPLEWOOD HEIGHTS</t>
  </si>
  <si>
    <t>PL-00005190 0000039</t>
  </si>
  <si>
    <t>109 GOODE CT</t>
  </si>
  <si>
    <t>DB-20130321 0027989</t>
  </si>
  <si>
    <t>LOT 33 MOSS ROSE ESTATES</t>
  </si>
  <si>
    <t>PL-00004860 0000112</t>
  </si>
  <si>
    <t>104 GOODE CT</t>
  </si>
  <si>
    <t>DB-20130311 0023776</t>
  </si>
  <si>
    <t>LOT 29 MOSS ROSE ESTATES</t>
  </si>
  <si>
    <t>108 GOODE CT</t>
  </si>
  <si>
    <t>DB-20140603 0047699</t>
  </si>
  <si>
    <t>LOT 30 MOSS ROSE ESTATES</t>
  </si>
  <si>
    <t>800 IDLEWILD DR</t>
  </si>
  <si>
    <t>DB-20130405 0033752</t>
  </si>
  <si>
    <t>PT LOT 5 BLK K POWER &amp; ROTH MADISON PARK</t>
  </si>
  <si>
    <t>DV-00000045 0000245</t>
  </si>
  <si>
    <t>816 IDLEWILD DR</t>
  </si>
  <si>
    <t>DB-20130514 0048340</t>
  </si>
  <si>
    <t>LOT 3 BL K POWER&amp;ROTH SUB OF MADISON PK</t>
  </si>
  <si>
    <t>DB-00001755 0000293</t>
  </si>
  <si>
    <t>826 IDLEWILD DR</t>
  </si>
  <si>
    <t>DB-20171114 0116952</t>
  </si>
  <si>
    <t>PT LOT 11 COGGINS RESUB OF H. B. CHADWELL TRACT</t>
  </si>
  <si>
    <t>DB-00004532 0000190</t>
  </si>
  <si>
    <t>256 EMMITT AVE</t>
  </si>
  <si>
    <t>DB-20111227 0100848</t>
  </si>
  <si>
    <t>LOT 22 BLK I POWER &amp; ROTH MADISON PK</t>
  </si>
  <si>
    <t>DB-00002908 0000389</t>
  </si>
  <si>
    <t>268 EMMITT AVE</t>
  </si>
  <si>
    <t>DB-20120214 0012864</t>
  </si>
  <si>
    <t>LOT 27 BL I POWER&amp;ROTH SUB OF MADISON PK</t>
  </si>
  <si>
    <t>DB-00004272 0000959</t>
  </si>
  <si>
    <t>300 EMMITT AVE</t>
  </si>
  <si>
    <t>DB-20120426 0035729</t>
  </si>
  <si>
    <t>LOT 28 BL I POWER&amp;ROTH SUB OF MADISON PK</t>
  </si>
  <si>
    <t>DB-00003534 0000413</t>
  </si>
  <si>
    <t>304 EMMITT AVE</t>
  </si>
  <si>
    <t>DB-20120206 0010524</t>
  </si>
  <si>
    <t>LOT 29 BL I POWER&amp;ROTH SUB OF MADISON PK</t>
  </si>
  <si>
    <t>DB-00004694 0000588</t>
  </si>
  <si>
    <t>3760 MOSS ROSE DR</t>
  </si>
  <si>
    <t>DB-20120109 0002087</t>
  </si>
  <si>
    <t>LOT 79 MOSS ROSE ESTATES</t>
  </si>
  <si>
    <t>3756 MOSS ROSE DR</t>
  </si>
  <si>
    <t>DB-20120117 0004413</t>
  </si>
  <si>
    <t>LOT 78 MOSS ROSE ESTATES</t>
  </si>
  <si>
    <t>864 IDLEWILD DR</t>
  </si>
  <si>
    <t>DB-00009127 0000144</t>
  </si>
  <si>
    <t>PT LOT 11 COGGINS RESUB OF H.B. CHADWELL TRACT</t>
  </si>
  <si>
    <t>0 IDLEWILD DR</t>
  </si>
  <si>
    <t>PT LOT 11 COGGINS RESUB OF H. B. CHADWELL TRACK</t>
  </si>
  <si>
    <t>CD-00922126 0000000</t>
  </si>
  <si>
    <t>3606 GLENSHADE DR</t>
  </si>
  <si>
    <t>DB-00004089 0000910</t>
  </si>
  <si>
    <t>P/O LOT 28 RIVERWOOD SUB.</t>
  </si>
  <si>
    <t>723 MADISON BLVD</t>
  </si>
  <si>
    <t>DB-20210226 0024509</t>
  </si>
  <si>
    <t>LOT 1 RE-SUB PT LTS 13&amp;14 BLK L POWER &amp; ROTH MADISON PK</t>
  </si>
  <si>
    <t>PL-00005190 0000094</t>
  </si>
  <si>
    <t>727 MADISON BLVD</t>
  </si>
  <si>
    <t>DB-20210226 0024505</t>
  </si>
  <si>
    <t>LOT 2 RE-SUB PT LTS 13&amp;14 BLK L POWER &amp; ROTH MADISON PK</t>
  </si>
  <si>
    <t>731 MADISON BLVD</t>
  </si>
  <si>
    <t>DB-20210226 0024506</t>
  </si>
  <si>
    <t>LOT 3 RE-SUB PT LOTS 13 &amp; 14 BLK L POWER &amp; ROTH MADISON PK</t>
  </si>
  <si>
    <t>3811 SAUNDERS AVE</t>
  </si>
  <si>
    <t>DB-20190805 0077070</t>
  </si>
  <si>
    <t>1600 SECOND  AVE N</t>
  </si>
  <si>
    <t>LOT 2 RE-SUB LOTS 3 &amp; 4 MAPLEWOOD HEIGHTS</t>
  </si>
  <si>
    <t>3809 SAUNDERS AVE</t>
  </si>
  <si>
    <t>DB-20190806 0077833</t>
  </si>
  <si>
    <t>LOT 3 RE-SUB LOTS 3 &amp; 4 MAPLEWOOD HEIGHTS</t>
  </si>
  <si>
    <t>1225 ARDEE AVE</t>
  </si>
  <si>
    <t>DB-20240926 0074624</t>
  </si>
  <si>
    <t>LOT 38 BLK C SUNNYMEADE</t>
  </si>
  <si>
    <t>DB-00003029 0000507</t>
  </si>
  <si>
    <t>08</t>
  </si>
  <si>
    <t>2034 HOBSON PIKE</t>
  </si>
  <si>
    <t>ANTIOCH</t>
  </si>
  <si>
    <t>DB-20070730 0090030</t>
  </si>
  <si>
    <t>E/S HOBSON PIKE N OF PINHOOK ROAD</t>
  </si>
  <si>
    <t>6065 MT VIEW RD</t>
  </si>
  <si>
    <t>CHURCH</t>
  </si>
  <si>
    <t>DB-20240905 0068483</t>
  </si>
  <si>
    <t>S W CORNER OF HAMILTON CHURCH RD</t>
  </si>
  <si>
    <t>QC-20180222 0017056</t>
  </si>
  <si>
    <t>3133 HAMILTON CHURCH RD</t>
  </si>
  <si>
    <t>DB-00003434 0000071</t>
  </si>
  <si>
    <t>N OF MURFREESBORO PIKE W OF MT VIEW RD</t>
  </si>
  <si>
    <t>1900 HOBSON PIKE</t>
  </si>
  <si>
    <t>METRO GOV'T  S</t>
  </si>
  <si>
    <t>DB-00009699 0000468</t>
  </si>
  <si>
    <t>S.E. CORNER HOBSON PIKE AND PINHOOK ROAD.</t>
  </si>
  <si>
    <t>2087 HOBSON PIKE</t>
  </si>
  <si>
    <t>METRO GOV'T  S  JF KENNEDY MIDDLE</t>
  </si>
  <si>
    <t>DB-00011389 0000299</t>
  </si>
  <si>
    <t>W/S HOBSON PK N OF PINHOOK RD</t>
  </si>
  <si>
    <t>DB-00008464 0000146</t>
  </si>
  <si>
    <t>3820 MURFREESBORO PIKE</t>
  </si>
  <si>
    <t>METRO GOV'T  S  MT. VIEW</t>
  </si>
  <si>
    <t>DB-00001781 0000161</t>
  </si>
  <si>
    <t>LOT 1 MT VIEW SCHOOL SUB</t>
  </si>
  <si>
    <t>PL-20000309 0024287</t>
  </si>
  <si>
    <t>3132 SMITH SPRINGS RD</t>
  </si>
  <si>
    <t>METRO GOV'T  S  SMITH SPRING ELEMENTARY</t>
  </si>
  <si>
    <t>DB-20130911 0096000</t>
  </si>
  <si>
    <t>N SIDE SMITH SPRINGS RD E OF BELL ROAD</t>
  </si>
  <si>
    <t>OW-00000000 0000000</t>
  </si>
  <si>
    <t>6120 MT VIEW RD</t>
  </si>
  <si>
    <t>METRO GOV'T  S  THOMAS EDISON ELEMENTARY</t>
  </si>
  <si>
    <t>DB-20170424 0040137</t>
  </si>
  <si>
    <t>N/E CORNER HAMILTON CHURCH ROAD &amp; MT. VIEW ROAD</t>
  </si>
  <si>
    <t>QC-20040414 0042226</t>
  </si>
  <si>
    <t>6130 MT VIEW RD</t>
  </si>
  <si>
    <t>N OF HAMILTON CHURCH ROAD E/S  MT. VIEW ROAD</t>
  </si>
  <si>
    <t>QC-20040301 0023031</t>
  </si>
  <si>
    <t>3428 HAMILTON CHURCH RD</t>
  </si>
  <si>
    <t>DB-20031125 0171384</t>
  </si>
  <si>
    <t>N/S HAMILTON CHURCH PK E OF MT VIEW RD</t>
  </si>
  <si>
    <t>0 MURFREESBORO PIKE</t>
  </si>
  <si>
    <t>CD-00088300 0000000</t>
  </si>
  <si>
    <t>E OF MURFREESBORO PK S OF MAXWELL RD</t>
  </si>
  <si>
    <t>5404 HICKORY WOODS DR</t>
  </si>
  <si>
    <t>OR-00018848 0000000</t>
  </si>
  <si>
    <t>S. OF MAXWELL ROAD E. OF LAVERGNE COUCHVILLE RD.</t>
  </si>
  <si>
    <t>DB-00004435 0000009</t>
  </si>
  <si>
    <t>09</t>
  </si>
  <si>
    <t>2351 NEELYS BEND RD</t>
  </si>
  <si>
    <t>DB-20120430 0036798</t>
  </si>
  <si>
    <t>E OF NEELYS BEND RD S OF OVERTON RD</t>
  </si>
  <si>
    <t>OR-00092231 0000000</t>
  </si>
  <si>
    <t>321 NEELYS BEND RD</t>
  </si>
  <si>
    <t>METRO GOV'T   WW  WATER &amp; SEWER</t>
  </si>
  <si>
    <t>DB-20160616 0061137</t>
  </si>
  <si>
    <t>LOT 12 &amp; PT 11&amp;13 BLK A CRITTENDEN EST</t>
  </si>
  <si>
    <t>0 HILLCREST DR</t>
  </si>
  <si>
    <t>DB-00005414 0000345</t>
  </si>
  <si>
    <t>W SIDE HILLCREST DR N OF YOWELL AVENUE</t>
  </si>
  <si>
    <t>0 KINSEY BLVD</t>
  </si>
  <si>
    <t>CR-20050309 0026280</t>
  </si>
  <si>
    <t>IN CENTER OF KINSEY BOULEVARD NORTH OF WARD ROAD</t>
  </si>
  <si>
    <t>DB-00001303 0000515</t>
  </si>
  <si>
    <t>0 LARKIN SPRINGS RD</t>
  </si>
  <si>
    <t>CR-20041119 0139103</t>
  </si>
  <si>
    <t>W OF LARKIN SPRINGS ROAD, NORTH OF SANITARIUM ROAD</t>
  </si>
  <si>
    <t>DB-00001315 0000246</t>
  </si>
  <si>
    <t>415 MADISON STATION BLVD</t>
  </si>
  <si>
    <t>CD-00005533 0000000</t>
  </si>
  <si>
    <t>PT LOTS 17 &amp; 18 DOUGLAS-LEVINE</t>
  </si>
  <si>
    <t>DB-00005240 0000419</t>
  </si>
  <si>
    <t>610 GALLATIN PIKE</t>
  </si>
  <si>
    <t>METRO GOV'T  L MADISON BRANCH (NEW)</t>
  </si>
  <si>
    <t>DB-00003856 0000262</t>
  </si>
  <si>
    <t>W SIDE GALLATIN PIKE N OF WEBSTER ST</t>
  </si>
  <si>
    <t>DB-20111028 0084233</t>
  </si>
  <si>
    <t>110 NESBITT LN</t>
  </si>
  <si>
    <t>DB-00002546 0000483</t>
  </si>
  <si>
    <t>W OF GALLATIN PIKE N OF NESBITT LA</t>
  </si>
  <si>
    <t>221 MADISON STATION BLVD</t>
  </si>
  <si>
    <t>DB-00001877 0000413</t>
  </si>
  <si>
    <t>PT. LOTS 42, 43 DOUGLAS-LEVINE</t>
  </si>
  <si>
    <t>413 RANDY RD</t>
  </si>
  <si>
    <t>DB-00002276 0000065</t>
  </si>
  <si>
    <t>E SIDE RANDY RD N OF NEELEYS BEND ROAD</t>
  </si>
  <si>
    <t>132 HICKORY ST</t>
  </si>
  <si>
    <t>DB-00001127 0000001</t>
  </si>
  <si>
    <t>LOT 9 BLK I FOREST PARK</t>
  </si>
  <si>
    <t>818 N DUPONT AVE</t>
  </si>
  <si>
    <t>DB-00003531 0000227</t>
  </si>
  <si>
    <t>S SIDE OF DUPONT AVE W OF MCARTHUR DR</t>
  </si>
  <si>
    <t>2043 NEELYS BEND RD</t>
  </si>
  <si>
    <t>METRO GOV'T  P  E. N. PEELER</t>
  </si>
  <si>
    <t>DB-00003788 0000422</t>
  </si>
  <si>
    <t>E OF NEELYS BEND RD S OF MENEESE RD</t>
  </si>
  <si>
    <t>PL-20130403 0032914</t>
  </si>
  <si>
    <t>550 N DUPONT AVE</t>
  </si>
  <si>
    <t>METRO GOV'T  P  MADISON</t>
  </si>
  <si>
    <t>DB-00007501 0000386</t>
  </si>
  <si>
    <t>S/S DUPONT AVE E OF DELAWARE AVE</t>
  </si>
  <si>
    <t>516 NAWAKWA TRL</t>
  </si>
  <si>
    <t>QC-20151008 0102921</t>
  </si>
  <si>
    <t>P/O LOT 2 NAWAKWA HILLS WEST END SEC</t>
  </si>
  <si>
    <t>DB-00004225 0000583</t>
  </si>
  <si>
    <t>512 NAWAKWA TRL</t>
  </si>
  <si>
    <t>PT LOT 2 NAWAKWA HILLS WEST END SEC</t>
  </si>
  <si>
    <t>DB-00004096 0000428</t>
  </si>
  <si>
    <t>514 NAWAKWA TRL</t>
  </si>
  <si>
    <t>LOT 3 PT 1 &amp; 2 NAWAKWA HILLS WEST END SEC</t>
  </si>
  <si>
    <t>DB-00004142 0000260</t>
  </si>
  <si>
    <t>939 ANDERSON LN</t>
  </si>
  <si>
    <t>METRO GOV'T  Q  THORNTON</t>
  </si>
  <si>
    <t>OR-00040671 0000000</t>
  </si>
  <si>
    <t>N SIDE ANDERSON ROAD E OF SNOW AVE</t>
  </si>
  <si>
    <t>201 LARKIN SPRINGS RD</t>
  </si>
  <si>
    <t>DB-20051129 0143460</t>
  </si>
  <si>
    <t>E SIDE LARKIN SPRINGS RD, S OF OLD HICKORY BLVD</t>
  </si>
  <si>
    <t>DB-00003256 0000543</t>
  </si>
  <si>
    <t>DB-00002635 0000188</t>
  </si>
  <si>
    <t>205 LARKIN SPRINGS RD</t>
  </si>
  <si>
    <t>DB-00004495 0000692</t>
  </si>
  <si>
    <t>319 ANDERSON LN</t>
  </si>
  <si>
    <t>METRO GOV'T  S  AMQUI</t>
  </si>
  <si>
    <t>DB-00001044 0000350</t>
  </si>
  <si>
    <t>LOT 1 AMQUI SCHOOL</t>
  </si>
  <si>
    <t>PL-20000309 0024172</t>
  </si>
  <si>
    <t>1251 NEELYS BEND RD</t>
  </si>
  <si>
    <t>METRO GOV'T  S  NEELEYS BEND</t>
  </si>
  <si>
    <t>DB-00003346 0000566</t>
  </si>
  <si>
    <t>N OF NEELYS BEND RD E OF LARKIN SPGS RD</t>
  </si>
  <si>
    <t>1300 NEELYS BEND RD</t>
  </si>
  <si>
    <t>DB-00002102 0000141</t>
  </si>
  <si>
    <t>S/E COR NEELYS BEND RD &amp; SCHOOL PASS</t>
  </si>
  <si>
    <t>345 DINWIDDIE DR</t>
  </si>
  <si>
    <t>DB-20130326 0029398</t>
  </si>
  <si>
    <t>LOT 39 STANLEY HGTS &amp; ACREAGE TRACT</t>
  </si>
  <si>
    <t>QC-20130326 0029397</t>
  </si>
  <si>
    <t>1051 N DUPONT AVE</t>
  </si>
  <si>
    <t>DB-00010275 0000630</t>
  </si>
  <si>
    <t>LOT 18 ARCHWOOD ANNEX SUB</t>
  </si>
  <si>
    <t>PL-00006200 0000066</t>
  </si>
  <si>
    <t>1053 N DUPONT AVE</t>
  </si>
  <si>
    <t>DB-00010275 0000633</t>
  </si>
  <si>
    <t>LOT 19 ARCHWOOD ANNEX SUB</t>
  </si>
  <si>
    <t>1055 N DUPONT AVE</t>
  </si>
  <si>
    <t>DB-00010275 0000636</t>
  </si>
  <si>
    <t>LOT 20 ARCHWOOD ANNEX SUB</t>
  </si>
  <si>
    <t>203 MAPLE ST</t>
  </si>
  <si>
    <t>DB-20160616 0061083</t>
  </si>
  <si>
    <t>LOTS 45&amp;46 BLK B FOREST PARK</t>
  </si>
  <si>
    <t>DB-00001025 0000123</t>
  </si>
  <si>
    <t>204 ELM ST</t>
  </si>
  <si>
    <t>DB-20160725 0076527</t>
  </si>
  <si>
    <t>LOT PT 13 BLK I FOREST PARK</t>
  </si>
  <si>
    <t>DB-00001304 0000321</t>
  </si>
  <si>
    <t>206 ELM ST</t>
  </si>
  <si>
    <t>DB-20160613 0059806</t>
  </si>
  <si>
    <t>DB-00004882 0000181</t>
  </si>
  <si>
    <t>210 ELM ST</t>
  </si>
  <si>
    <t>DB-20170822 0085947</t>
  </si>
  <si>
    <t>LOT 14 BLK I FOREST PARK</t>
  </si>
  <si>
    <t>DB-00002923 0000303</t>
  </si>
  <si>
    <t>0 HICKORY ST</t>
  </si>
  <si>
    <t>DB-20160711 0070387</t>
  </si>
  <si>
    <t>LOT PT 11 BLK I FOREST PARK</t>
  </si>
  <si>
    <t>DB-00003701 0000087</t>
  </si>
  <si>
    <t>204 HICKORY ST</t>
  </si>
  <si>
    <t>DB-20250115 0003184</t>
  </si>
  <si>
    <t>LOT 39 BLK D CRITTENDEN ESTATES</t>
  </si>
  <si>
    <t>DB-00004812 0000462</t>
  </si>
  <si>
    <t>301 NEELYS BEND RD</t>
  </si>
  <si>
    <t>DB-20160608 0057746</t>
  </si>
  <si>
    <t>LOT 9 &amp; PT 8 BLK A CRITTENDEN ESTATES</t>
  </si>
  <si>
    <t>319 NEELYS BEND RD</t>
  </si>
  <si>
    <t>DB-20160707 0069504</t>
  </si>
  <si>
    <t>LOT 10 &amp; PT 11 BLK A CRITTENDEN ESTATES</t>
  </si>
  <si>
    <t>323 NEELYS BEND RD</t>
  </si>
  <si>
    <t>DB-20160616 0061136</t>
  </si>
  <si>
    <t>LOT 14 &amp; PT 13 BLK A CRITTENDEN ESTATES</t>
  </si>
  <si>
    <t>724 CENTER ST</t>
  </si>
  <si>
    <t>DB-20130603 0055489</t>
  </si>
  <si>
    <t>W S CENTER ST N BERWICK TR MADISON HGTS SEC 2 PART 2</t>
  </si>
  <si>
    <t>DB-00003099 0000089</t>
  </si>
  <si>
    <t>914 BERWICK TRL</t>
  </si>
  <si>
    <t>DB-20140307 0019468</t>
  </si>
  <si>
    <t>LOT 16 SEC 2 PART 5 MADISON HGTS</t>
  </si>
  <si>
    <t>DB-00002343 0000548</t>
  </si>
  <si>
    <t>928 BERWICK TRL</t>
  </si>
  <si>
    <t>DB-20130520 0050510</t>
  </si>
  <si>
    <t>LOT 20 SEC 2 PT 5 MADISON HGTS</t>
  </si>
  <si>
    <t>DB-00004340 0000659</t>
  </si>
  <si>
    <t>1218 BERWICK TRL</t>
  </si>
  <si>
    <t>DB-00004276 0000102</t>
  </si>
  <si>
    <t>S. SIDE BERWICK TRAIL W. OF SCHOOL PASS</t>
  </si>
  <si>
    <t>484 CANTON PASS</t>
  </si>
  <si>
    <t>DB-20180927 0095846</t>
  </si>
  <si>
    <t>LOT 127 SEQUOIA VALLEY SEC. 3</t>
  </si>
  <si>
    <t>DB-00004525 0000081</t>
  </si>
  <si>
    <t>LOT 40 BLK D CRITTENDEN ESTATES</t>
  </si>
  <si>
    <t>DB-00004644 0000394</t>
  </si>
  <si>
    <t>0 CHERRY ST</t>
  </si>
  <si>
    <t>QC-20160303 0020478</t>
  </si>
  <si>
    <t>LOT 38 BLK C CRITTENDEN ESTATES</t>
  </si>
  <si>
    <t>DB-00002026 0000065</t>
  </si>
  <si>
    <t>161 HARRINGTON AVE</t>
  </si>
  <si>
    <t>DB-20190524 0049379</t>
  </si>
  <si>
    <t>LOT 1 BLK B CRITTENDEN ESTATES &amp; PT CL ST</t>
  </si>
  <si>
    <t>OR-00088493 0000000</t>
  </si>
  <si>
    <t>LOT 2 BLK B CRITTENDEN ESTATES</t>
  </si>
  <si>
    <t>DB-00002270 0000569</t>
  </si>
  <si>
    <t>164 HARRINGTON AVE</t>
  </si>
  <si>
    <t>DB-20160725 0076526</t>
  </si>
  <si>
    <t>LOT 40 BLK A CRITTENDEN ESTATES</t>
  </si>
  <si>
    <t>DB-00001680 0000395</t>
  </si>
  <si>
    <t>597 HIDDEN ACRES DR</t>
  </si>
  <si>
    <t>DB-00007044 0000613</t>
  </si>
  <si>
    <t>RES. PAR D. NEELEY'S BEND ACRES SEC. 1</t>
  </si>
  <si>
    <t>DB-00004182 0000546</t>
  </si>
  <si>
    <t>1225 PIERCE RD</t>
  </si>
  <si>
    <t>DB-20130325 0029105</t>
  </si>
  <si>
    <t>LOT 1 DIXIE PURE FOOD</t>
  </si>
  <si>
    <t>DB-00002495 0000255</t>
  </si>
  <si>
    <t>227 HARRINGTON AVE</t>
  </si>
  <si>
    <t>DB-20171011 0104275</t>
  </si>
  <si>
    <t>LOT 5 BLK B CRITTENDEN ESTATES</t>
  </si>
  <si>
    <t>DB-00003834 0000943</t>
  </si>
  <si>
    <t>226 HARRINGTON AVE</t>
  </si>
  <si>
    <t>DB-20160601 0054984</t>
  </si>
  <si>
    <t>LOTS 36 &amp; 37 BLK A CRITTENDEN ESTATES</t>
  </si>
  <si>
    <t>QC-20141203 0110697</t>
  </si>
  <si>
    <t>1221 SYLVIA DR</t>
  </si>
  <si>
    <t>DB-20130814 0085558</t>
  </si>
  <si>
    <t>LOT 1 OAKWOOD SUB</t>
  </si>
  <si>
    <t>PL-00005210 0000149</t>
  </si>
  <si>
    <t>1220 SYLVIA DR</t>
  </si>
  <si>
    <t>DB-20130430 0043129</t>
  </si>
  <si>
    <t>LOT 12 OAKWOOD SUBD</t>
  </si>
  <si>
    <t>37201 N DUPONT AVE</t>
  </si>
  <si>
    <t>DB-00010275 0000618</t>
  </si>
  <si>
    <t>LOT 12 ARCHWOOD ANNEX SUB</t>
  </si>
  <si>
    <t>1041 N DUPONT AVE</t>
  </si>
  <si>
    <t>DB-00010275 0000621</t>
  </si>
  <si>
    <t>LOT 13 ARCHWOOD ANNEX SUB</t>
  </si>
  <si>
    <t>1043 N DUPONT AVE</t>
  </si>
  <si>
    <t>DB-00010275 0000624</t>
  </si>
  <si>
    <t>LOT 14 ARCHWOOD ANNEX SUB</t>
  </si>
  <si>
    <t>1049 N DUPONT AVE</t>
  </si>
  <si>
    <t>DB-00010275 0000627</t>
  </si>
  <si>
    <t>LOT 17 ARCHWOOD ANNEX SUB</t>
  </si>
  <si>
    <t>127 MAPLE ST</t>
  </si>
  <si>
    <t>DB-20160701 0067489</t>
  </si>
  <si>
    <t>LOTS 43 &amp; 44 BLK B FOREST PARK</t>
  </si>
  <si>
    <t>DB-00004828 0000406</t>
  </si>
  <si>
    <t>DB-20160609 0058373</t>
  </si>
  <si>
    <t>LOT 1 BLK E CRITTENDEN EST</t>
  </si>
  <si>
    <t>DB-00003701 0000075</t>
  </si>
  <si>
    <t>209 HICKORY ST</t>
  </si>
  <si>
    <t>LOTS 2&amp;3 BLK E CRITTENDEN EST.</t>
  </si>
  <si>
    <t>212 ELM ST</t>
  </si>
  <si>
    <t>SA-20170915 0094538</t>
  </si>
  <si>
    <t>LOT 15 BLK I FOREST PARK</t>
  </si>
  <si>
    <t>DB-00000996 0000295</t>
  </si>
  <si>
    <t>261 NEELYS BEND RD</t>
  </si>
  <si>
    <t>DB-20190213 0013473</t>
  </si>
  <si>
    <t>LOT 7 &amp; PT 6 BLK A CRITTENDEN ESTATES</t>
  </si>
  <si>
    <t>PT LOT 8 BLK A CRITTENDEN ESTATES</t>
  </si>
  <si>
    <t>430 MYATT DR</t>
  </si>
  <si>
    <t>METRO TRANSIT AUTHORITY</t>
  </si>
  <si>
    <t>DB-20101217 0100496</t>
  </si>
  <si>
    <t>LOT 1 430 AND 488 MYATT DRIVE</t>
  </si>
  <si>
    <t>PL-20131021 0109495</t>
  </si>
  <si>
    <t>0 MANSKER DR</t>
  </si>
  <si>
    <t>CR-20131219 0128442</t>
  </si>
  <si>
    <t>S/S L &amp; N R. R. E. OF MANSKER DRIVE</t>
  </si>
  <si>
    <t>DB-00002300 0000087</t>
  </si>
  <si>
    <t>220 SHAKESPEARE AVE</t>
  </si>
  <si>
    <t>CR-20060418 0044147</t>
  </si>
  <si>
    <t>LOT 11 BLK F EDENWOLD CITY SUB</t>
  </si>
  <si>
    <t>DB-00004293 0000657</t>
  </si>
  <si>
    <t>0 APPLE VALLEY RD</t>
  </si>
  <si>
    <t>CR-20131022 0110193</t>
  </si>
  <si>
    <t>N E CORNER WOODLAKE DR. &amp; APPLE VALLEY RD</t>
  </si>
  <si>
    <t>DB-00003400 0000599</t>
  </si>
  <si>
    <t>2522 TINNIN RD</t>
  </si>
  <si>
    <t>CR-20120330 0027177</t>
  </si>
  <si>
    <t>E OF TINNIN RD N OF BAKER STATION RD</t>
  </si>
  <si>
    <t>OR-00092332 0000000</t>
  </si>
  <si>
    <t>0 BAKER RD</t>
  </si>
  <si>
    <t>CR-20131022 0110195</t>
  </si>
  <si>
    <t>ES BAKER RD N OF LICKTON PK</t>
  </si>
  <si>
    <t>DB-00003865 0000615</t>
  </si>
  <si>
    <t>2401 BAKER RD</t>
  </si>
  <si>
    <t>CR-20131022 0110197</t>
  </si>
  <si>
    <t>E. S. BAKERS ROAD N. OF LICKTON PIKE</t>
  </si>
  <si>
    <t>DB-00003894 0000512</t>
  </si>
  <si>
    <t>2396 BAKER RD</t>
  </si>
  <si>
    <t>CR-20131022 0110194</t>
  </si>
  <si>
    <t>E/S BAKERS ROAD N OF BAKER STATION RD.</t>
  </si>
  <si>
    <t>DB-00003836 0000212</t>
  </si>
  <si>
    <t>7774 OLD SPRINGFIELD PIKE</t>
  </si>
  <si>
    <t>DB-20180404 0031583</t>
  </si>
  <si>
    <t>P. O. BOX 196300</t>
  </si>
  <si>
    <t>LOT 2 BILLY HITT SUB-DIVISION</t>
  </si>
  <si>
    <t>PL-00007900 0000232</t>
  </si>
  <si>
    <t>0 OLD SPRINGFIELD PIKE</t>
  </si>
  <si>
    <t>N SIDE OLD DICKERSON PK W OF DICKERSON PK</t>
  </si>
  <si>
    <t>DB-00003833 0000354</t>
  </si>
  <si>
    <t>7744 OLD SPRINGFIELD PIKE</t>
  </si>
  <si>
    <t>N SIDE OLD SPRINGFIELD ROAD AND W OF DICKERSON PIKE</t>
  </si>
  <si>
    <t>116 OLD BRICK CHURCH PIKE</t>
  </si>
  <si>
    <t>DB-00001422 0000640</t>
  </si>
  <si>
    <t>S SIDE OLD BRICK CH PK E OF GRAVES RD</t>
  </si>
  <si>
    <t>GO</t>
  </si>
  <si>
    <t>831 DICKERSON PIKE</t>
  </si>
  <si>
    <t>DB-00002291 0000153</t>
  </si>
  <si>
    <t>W SIDE DICKERSON PIKE AND, N OF OLD DICKERSON PIKE</t>
  </si>
  <si>
    <t>540 W CAMPBELL RD</t>
  </si>
  <si>
    <t>DB-00003377 0000219</t>
  </si>
  <si>
    <t>LOT 1 BLAIR MANOR</t>
  </si>
  <si>
    <t>OR-00009985 0000000</t>
  </si>
  <si>
    <t>0 E CAMPBELL RD</t>
  </si>
  <si>
    <t>FEDERAL OTHER THAN OFC, SCHOOL, HOSP, PARK</t>
  </si>
  <si>
    <t>DB-00008825 0000546</t>
  </si>
  <si>
    <t>LOT PT 2 BRANSFORD REALTY CO AMQUI SUBD</t>
  </si>
  <si>
    <t>674 MYATT DR</t>
  </si>
  <si>
    <t>DB-00004467 0000022</t>
  </si>
  <si>
    <t>LOT 1 NASHVILLE ELECTRIC SERV. SUBSTATION SITE</t>
  </si>
  <si>
    <t>OR-00901221 0000000</t>
  </si>
  <si>
    <t>123 HARRIS ST</t>
  </si>
  <si>
    <t>DB-00003164 0000487</t>
  </si>
  <si>
    <t>N SIDE HARRIS STREET W OF DICKERSON PK</t>
  </si>
  <si>
    <t>PL-20191112 0116375</t>
  </si>
  <si>
    <t>0 FRENCH ST</t>
  </si>
  <si>
    <t xml:space="preserve">GO  </t>
  </si>
  <si>
    <t>104 E CAMPBELL RD</t>
  </si>
  <si>
    <t>DB-00008811 0000598</t>
  </si>
  <si>
    <t>N SIDE CAMPBELL RD W OF GALLATIN PIKE</t>
  </si>
  <si>
    <t>QC-20020409 0043734</t>
  </si>
  <si>
    <t>1524 MONTICELLO AVE</t>
  </si>
  <si>
    <t>METRO GOV'T  S  GATE WAY</t>
  </si>
  <si>
    <t>DB-00002992 0000599</t>
  </si>
  <si>
    <t>LOTS 31, 33, 35 ALTA LOMA SUB.</t>
  </si>
  <si>
    <t>514 DONALD AVE</t>
  </si>
  <si>
    <t>METRO GOV'T  S  GOODLETTSVILLE ELEM.</t>
  </si>
  <si>
    <t>DB-00003066 0000571</t>
  </si>
  <si>
    <t>SOUTH OF RIVERGATE PKWY  &amp;  EAST OF DONALD AVE</t>
  </si>
  <si>
    <t>PL-20110120 0005715</t>
  </si>
  <si>
    <t>205 RIVERGATE PKWY</t>
  </si>
  <si>
    <t>LOT 1 GOODLETTSVILLE LIBRARY</t>
  </si>
  <si>
    <t>300 S MAIN ST</t>
  </si>
  <si>
    <t>METRO GOV'T  S  GOODLETTSVILLE HIGH</t>
  </si>
  <si>
    <t>DB-00000576 0000268</t>
  </si>
  <si>
    <t>N E COR INTER DICKERSON PK &amp; ROSCOE ST</t>
  </si>
  <si>
    <t>0 E CEDAR ST</t>
  </si>
  <si>
    <t>SATELLITE CITY OTHER THAN OFC, SCHOOL, HOSP, PARK</t>
  </si>
  <si>
    <t>DB-00004283 0000021</t>
  </si>
  <si>
    <t>N/S EAST CEDAR ST E OF I-65</t>
  </si>
  <si>
    <t>1770 UNION HILL RD</t>
  </si>
  <si>
    <t>DB-00003762 0000037</t>
  </si>
  <si>
    <t>N OF UNION HILL ROAD E OF GREER ROAD</t>
  </si>
  <si>
    <t>45 EDENWOLD RD</t>
  </si>
  <si>
    <t>DB-00008980 0000041</t>
  </si>
  <si>
    <t>LOTS 3 4 5 BLK 8 EDENWOLD CENTER</t>
  </si>
  <si>
    <t>DB-00002195 0000055</t>
  </si>
  <si>
    <t>0 EDENWOLD RD</t>
  </si>
  <si>
    <t>DB-20090401 0029452</t>
  </si>
  <si>
    <t>S SIDE EDENWOLD RD, E OF L &amp; N R. R. R. O. W.</t>
  </si>
  <si>
    <t>DB-00004669 0000929</t>
  </si>
  <si>
    <t>DB-00002999 0000487</t>
  </si>
  <si>
    <t>LOTS 10 THRU 14 BLK 8 EDENWOLD CENTER &amp; CLOSED R.O.W.</t>
  </si>
  <si>
    <t>OR-20240555 0000000</t>
  </si>
  <si>
    <t>53 EDENWOLD RD</t>
  </si>
  <si>
    <t>DB-00008980 0000037</t>
  </si>
  <si>
    <t>LTS 6 7 8 9 20 THRU 23 BLK 8 LTS 6 THRU 9 &amp; 20 BLK 10IN REAR</t>
  </si>
  <si>
    <t>DB-00004683 0000537</t>
  </si>
  <si>
    <t>130 CUMBERLAND BLVD</t>
  </si>
  <si>
    <t>DB-00003000 0000047</t>
  </si>
  <si>
    <t>LOTS 20 21 22 BLK 9 EDENWOLD CENTER &amp; CLOSED R.O.W.</t>
  </si>
  <si>
    <t>122 CUMBERLAND BLVD</t>
  </si>
  <si>
    <t>LOTS 24 THRU 28 BLK 8 EDENWOLD CENTER &amp; CLOSED R.O.W.</t>
  </si>
  <si>
    <t>123 CUMBERLAND BLVD</t>
  </si>
  <si>
    <t>LOTS 10 THRU 14 BLK 10 EDENWOLD CENTER &amp; CLOSED R.O.W.</t>
  </si>
  <si>
    <t>DB-00009013 0000414</t>
  </si>
  <si>
    <t>E OF EDENWOLD RD S SIDE L &amp; N R R R O W</t>
  </si>
  <si>
    <t>DB-00003402 0000597</t>
  </si>
  <si>
    <t>0 MYATT DR</t>
  </si>
  <si>
    <t>E. SIDE MYATT DRIVE S. OF EDENWOLD RD.</t>
  </si>
  <si>
    <t>43 EDENWOLD RD</t>
  </si>
  <si>
    <t>DB-00008475 0000562</t>
  </si>
  <si>
    <t>LTS 1 2 15 THRU 19 BLK 8 LTS 1 THRU 5 REAR BLK 10 &amp; PT CL ST</t>
  </si>
  <si>
    <t>OR-02000438 0000000</t>
  </si>
  <si>
    <t>41 A EDENWOLD RD</t>
  </si>
  <si>
    <t>DB-00008980 0000045</t>
  </si>
  <si>
    <t>S SIDE EDENWOLD RD W OF THIRD STREET &amp; PT OF CL ST</t>
  </si>
  <si>
    <t>DB-00008475 0000559</t>
  </si>
  <si>
    <t>S SIDE UNNAMED RD E. OF MYATT DR. &amp; PT CL ST</t>
  </si>
  <si>
    <t>61 EDENWOLD RD</t>
  </si>
  <si>
    <t>S SIDE EDENWOLD RD E OF THIRD ST &amp; CLOSED R.O.W.</t>
  </si>
  <si>
    <t>51 EDENWOLD RD</t>
  </si>
  <si>
    <t>S SIDE UNNAMED RD E OF MYATT DR &amp; CLOSED R.O.W.</t>
  </si>
  <si>
    <t>35 EDENWOLD RD</t>
  </si>
  <si>
    <t>S SIDE EDENWOLD RD, E OF L &amp; N R. R. R. O. W. &amp; CLOSED R.O.W.</t>
  </si>
  <si>
    <t>1191 GENELLE DR</t>
  </si>
  <si>
    <t>DB-20220624 0072647</t>
  </si>
  <si>
    <t>RES. PAR. B PLANTATION ESTATES SEC. 3.</t>
  </si>
  <si>
    <t>DB-00003992 0000902</t>
  </si>
  <si>
    <t>0 RIFLE RANGE RD</t>
  </si>
  <si>
    <t>OLD HICKORY</t>
  </si>
  <si>
    <t>OR-20110000 1635000</t>
  </si>
  <si>
    <t>W OF RIFLE RANGE N OF RINER COURT</t>
  </si>
  <si>
    <t>DB-00000929 0000348</t>
  </si>
  <si>
    <t>0 KINGS WAY DR</t>
  </si>
  <si>
    <t>W OF KINGS WAY DR S OF RINER CT</t>
  </si>
  <si>
    <t>DB-00010401 0000750</t>
  </si>
  <si>
    <t>0 RINER DR</t>
  </si>
  <si>
    <t>W OF RIFLE RANGE RD S OF RINER CT</t>
  </si>
  <si>
    <t>CR-20090305 0019940</t>
  </si>
  <si>
    <t>0 ROBINSON RD</t>
  </si>
  <si>
    <t>DB-00009443 0000736</t>
  </si>
  <si>
    <t>W SIDE ROBINSON RD S OF OLD HICKORY BLVD</t>
  </si>
  <si>
    <t>DB-20130924 0100322</t>
  </si>
  <si>
    <t>0 HURST DR</t>
  </si>
  <si>
    <t>DB-20140128 0007792</t>
  </si>
  <si>
    <t>E OF HURST DR S OF RAYBURN DR</t>
  </si>
  <si>
    <t>DB-00010879 0000458</t>
  </si>
  <si>
    <t>116 D RAY AVE</t>
  </si>
  <si>
    <t>S OF MEADOW ST W OF RAY AVE</t>
  </si>
  <si>
    <t>CR-00081366 0000000</t>
  </si>
  <si>
    <t>0 RAY AVE</t>
  </si>
  <si>
    <t>S MEADOW ST W OF RAY AV</t>
  </si>
  <si>
    <t>DB-00009869 0000162</t>
  </si>
  <si>
    <t>QC-20020821 0101350</t>
  </si>
  <si>
    <t>114 C RAY AVE</t>
  </si>
  <si>
    <t>RURAL COMBO</t>
  </si>
  <si>
    <t>LOT 2 CLIFTON SUBDIVISION</t>
  </si>
  <si>
    <t>PL-20050801 0089900</t>
  </si>
  <si>
    <t>N/S PITTS AVE S OF OLD HICKORY BLVD</t>
  </si>
  <si>
    <t>DB-00004320 0000620</t>
  </si>
  <si>
    <t>111 MCARTHUR DR</t>
  </si>
  <si>
    <t>S END OF MCARTHUR DR W OF MEADOW ST</t>
  </si>
  <si>
    <t>DB-00002394 0000481</t>
  </si>
  <si>
    <t>0 MCARTHUR DR</t>
  </si>
  <si>
    <t>S. OF TERESA DRIVE W. OF MEADOW STREET</t>
  </si>
  <si>
    <t>DB-00004125 0000675</t>
  </si>
  <si>
    <t>0 SWINGING BRIDGE RD</t>
  </si>
  <si>
    <t>DB-00009931 0000451</t>
  </si>
  <si>
    <t>N W COR OLD HICKORY BLVD &amp; SWINGING BRIDGE RD</t>
  </si>
  <si>
    <t>DB-00000749 0000249</t>
  </si>
  <si>
    <t>0 WOODSIDE DR</t>
  </si>
  <si>
    <t>DB-00008153 0000539</t>
  </si>
  <si>
    <t>RES PAR B WOODSIDE SUB SEC 2</t>
  </si>
  <si>
    <t>PL-00005200 0000664</t>
  </si>
  <si>
    <t>0 CAPITAL ST</t>
  </si>
  <si>
    <t>CR-20130822 0088818</t>
  </si>
  <si>
    <t>PT LOTS 14 16 18 20 22 &amp; 24, HADLEY BEND CITY BLK W</t>
  </si>
  <si>
    <t>DB-00003220 0000004</t>
  </si>
  <si>
    <t>CR-20150702 0064016</t>
  </si>
  <si>
    <t>RES PAR B SOUTHFORK SEC 1</t>
  </si>
  <si>
    <t>PL-00006250 0000384</t>
  </si>
  <si>
    <t>1000 DONELSON AVE</t>
  </si>
  <si>
    <t>METRO GOV'T  F  FIRE</t>
  </si>
  <si>
    <t>DB-00006916 0000149</t>
  </si>
  <si>
    <t>N/W COR DONELSON AV &amp; HADLEY ST</t>
  </si>
  <si>
    <t>1010 JONES ST</t>
  </si>
  <si>
    <t>METRO GOV'T  L  OLD HICKORY BRANCH</t>
  </si>
  <si>
    <t>DB-00005489 0000888</t>
  </si>
  <si>
    <t>N/W COR JONES ST &amp; 11TH &amp; PT L 1 RE-SUB P/O SEC B VIL O.H.</t>
  </si>
  <si>
    <t>1216 BRYAN ST</t>
  </si>
  <si>
    <t>DB-00002703 0000086</t>
  </si>
  <si>
    <t>LTS 345,6,7,8,PAR A SEC C VLGE OLD HICKORY&amp;TR N 13THE/SMERIT</t>
  </si>
  <si>
    <t>3313 OLD HICKORY BLVD</t>
  </si>
  <si>
    <t>DB-00002042 0000123</t>
  </si>
  <si>
    <t>PT LOT 24 BLK 2 L&amp;C INS CO SUB OF, DABBS AND ELLIOTT PROP</t>
  </si>
  <si>
    <t>DB-00004976 0000143</t>
  </si>
  <si>
    <t>319 PITTS AVE</t>
  </si>
  <si>
    <t>N SIDE PITTS AVE E OF RIFLE RANGE ROAD</t>
  </si>
  <si>
    <t>DB-00004867 0000426</t>
  </si>
  <si>
    <t>1700 GOLF CLUB RD</t>
  </si>
  <si>
    <t>CR-20130712 0072370</t>
  </si>
  <si>
    <t>N/E COR OLD HICKORY BLVD&amp;HADLEY AVE SEC E VILLAGE OLD HICKRY</t>
  </si>
  <si>
    <t>DB-00002813 0000445</t>
  </si>
  <si>
    <t>0 UNIVERSITY AVE</t>
  </si>
  <si>
    <t>DB-00005414 0000281</t>
  </si>
  <si>
    <t>LOT 8 BLK W HADLEY BEND CITY</t>
  </si>
  <si>
    <t>DB-00004689 0000154</t>
  </si>
  <si>
    <t>DB-00005414 0000265</t>
  </si>
  <si>
    <t>PT LOTS 10 &amp; 12 BLK W HADLEY BEND CITY</t>
  </si>
  <si>
    <t>708 COBBLESTONE CT</t>
  </si>
  <si>
    <t>DB-00008543 0000942</t>
  </si>
  <si>
    <t>RES PAR A SOUTHFORK SEC 2</t>
  </si>
  <si>
    <t>PL-00006250 0000386</t>
  </si>
  <si>
    <t>114 B RAY AVE</t>
  </si>
  <si>
    <t>W SIDE RAY AV S OF MEADOW ST</t>
  </si>
  <si>
    <t>110 SHUTE LN</t>
  </si>
  <si>
    <t>METRO GOV'T  S  ANDREW JACKSON</t>
  </si>
  <si>
    <t>DB-00002156 0000325</t>
  </si>
  <si>
    <t>S E CORNER OLD HICKORY BLVD &amp; SHUTE LN &amp; P/O CLOSED ST.</t>
  </si>
  <si>
    <t>1901 OLD HICKORY BLVD</t>
  </si>
  <si>
    <t>METRO GOV'T  S  DUPONT</t>
  </si>
  <si>
    <t>DB-00001018 0000033</t>
  </si>
  <si>
    <t>INTERSECTION OF OLD HICKORY BLVD AND 20TH STREET</t>
  </si>
  <si>
    <t>OR-00017376 0000000</t>
  </si>
  <si>
    <t>1311 NINTH ST</t>
  </si>
  <si>
    <t>DB-00001583 0000243</t>
  </si>
  <si>
    <t>SOUTHEAST CORNER 9TH STREET &amp; LIVINGSTON STREET</t>
  </si>
  <si>
    <t>405 OLD HICKORY BLVD</t>
  </si>
  <si>
    <t>E SIDE OLD HICKORY BLVD N OF DONELSON AVENUE</t>
  </si>
  <si>
    <t>DB-00003504 0000502</t>
  </si>
  <si>
    <t>1050 DONELSON AVE</t>
  </si>
  <si>
    <t>NS DONELSON AV W/S HADLEY ST</t>
  </si>
  <si>
    <t>415 OLD HICKORY BLVD</t>
  </si>
  <si>
    <t>E OLD HICKORY BLVD N DONELSON AVE VILLAGE OLD HICKORY SEC G</t>
  </si>
  <si>
    <t>DB-00002027 0000579</t>
  </si>
  <si>
    <t>1610 MERRITT ST</t>
  </si>
  <si>
    <t>S OF OLD HICKORY BLVD E OF ROBINSON RD</t>
  </si>
  <si>
    <t>125 LEGION DR</t>
  </si>
  <si>
    <t>QC-20030801 0109145</t>
  </si>
  <si>
    <t>W OF OLD HICKORY BV N OF HADLEY BEND BV</t>
  </si>
  <si>
    <t>OR-00093733 0000000</t>
  </si>
  <si>
    <t>4603 WOODSIDE DR</t>
  </si>
  <si>
    <t>OR-00000093 7330000</t>
  </si>
  <si>
    <t>UNNUMBERED TRACT WOODSIDE SUB SEC 1</t>
  </si>
  <si>
    <t>PL-00005050 0000075</t>
  </si>
  <si>
    <t>115 COMMERCE ST</t>
  </si>
  <si>
    <t>DB-20171221 0130087</t>
  </si>
  <si>
    <t>LOTS 11 AND 12 BLK D HADLEY BEND CITY</t>
  </si>
  <si>
    <t>DB-00001684 0000564</t>
  </si>
  <si>
    <t>0 JONES ST</t>
  </si>
  <si>
    <t>E OF JONES ST S OF 6TH STREET</t>
  </si>
  <si>
    <t>1201 ELLISTON ST</t>
  </si>
  <si>
    <t>LOTS 54 &amp; 55 SEC C VILLAGE OLD HICKORY</t>
  </si>
  <si>
    <t>DB-00002813 0000495</t>
  </si>
  <si>
    <t>1308 FULLER ST</t>
  </si>
  <si>
    <t>W/S MERRITT S OF 13TH ST SEC C 2 VILLAGE OF OLD HICKORY</t>
  </si>
  <si>
    <t>0 DODSON ST</t>
  </si>
  <si>
    <t>W SIDE DODSON ST N OF 13TH ST</t>
  </si>
  <si>
    <t>0 THIRTEENTH ST</t>
  </si>
  <si>
    <t>N SIDE 13TH ST W OF DODSON ST SEC C, VILLAGE OF OLD HICKORY</t>
  </si>
  <si>
    <t>DB-00002813 0000405</t>
  </si>
  <si>
    <t>METRO GOV'T BT BACK TAX SALE</t>
  </si>
  <si>
    <t>CR-20220602 0063782</t>
  </si>
  <si>
    <t>W SIDE TENNESSEE CENTRAL R R &amp; S OF HILL LANE</t>
  </si>
  <si>
    <t>DB-00000509 0000063</t>
  </si>
  <si>
    <t>3411 FERRELL DR</t>
  </si>
  <si>
    <t>PARKING LOT</t>
  </si>
  <si>
    <t>METRO GOV'T L LIBRARY</t>
  </si>
  <si>
    <t>LOT 2 O'DELL BINKLEY SUBDIVISION</t>
  </si>
  <si>
    <t>PL-20041112 0136219</t>
  </si>
  <si>
    <t>3401 FERRELL DR</t>
  </si>
  <si>
    <t>OFFICE BLDG (ONE OR TWO STORIES)</t>
  </si>
  <si>
    <t>S END OF FERRELL DR W/S L&amp;N R.R.</t>
  </si>
  <si>
    <t>DB-20190312 0022526</t>
  </si>
  <si>
    <t>W SIDE RIFLE RANGE RD S OF RAY AVE</t>
  </si>
  <si>
    <t>DB-00002879 0000300</t>
  </si>
  <si>
    <t>121 COMMERCE ST</t>
  </si>
  <si>
    <t>DB-20181106 0109899</t>
  </si>
  <si>
    <t>LOTS 7 AND 8 BLK D HADLEY BEND CITY</t>
  </si>
  <si>
    <t>DB-00002036 0000537</t>
  </si>
  <si>
    <t>119 COMMERCE ST</t>
  </si>
  <si>
    <t>DB-20190103 0000709</t>
  </si>
  <si>
    <t>LOTS 9 &amp; 10 BLK D HADLEY BEND CITY</t>
  </si>
  <si>
    <t>DB-00004736 0000545</t>
  </si>
  <si>
    <t>0 UNION ST</t>
  </si>
  <si>
    <t>DB-20190118 0005359</t>
  </si>
  <si>
    <t>LOTS 13 TH 24 BLK D HADLEY BEND CITY</t>
  </si>
  <si>
    <t>4945 SHADOWLAWN DR</t>
  </si>
  <si>
    <t>HERMITAGE</t>
  </si>
  <si>
    <t>DB-20220321 0032067</t>
  </si>
  <si>
    <t>LOT 47 HIDDEN HILL SUB</t>
  </si>
  <si>
    <t>PL-00004860 0000043</t>
  </si>
  <si>
    <t>4949 SHADOWLAWN DR</t>
  </si>
  <si>
    <t>DB-20220321 0032069</t>
  </si>
  <si>
    <t>RESERVED PARCEL HIDDEN HILL SUB</t>
  </si>
  <si>
    <t>4941 SHADOWLAWN DR</t>
  </si>
  <si>
    <t>DB-20220405 0039187</t>
  </si>
  <si>
    <t>LOT 46 HIDDEN HILL SUB</t>
  </si>
  <si>
    <t>4937 SHADOWLAWN DR</t>
  </si>
  <si>
    <t>DB-20201021 0122435</t>
  </si>
  <si>
    <t>LOT 45 HIDDEN HILL SUB</t>
  </si>
  <si>
    <t>4933 SHADOWLAWN DR</t>
  </si>
  <si>
    <t>DB-20170522 0050682</t>
  </si>
  <si>
    <t>LOT 44 HIDDEN HILL SUB</t>
  </si>
  <si>
    <t>0 EVANS HILL WAY</t>
  </si>
  <si>
    <t>QC-20230207 0008911</t>
  </si>
  <si>
    <t>E/S TULIP GROVE RD N OF CENTRAL PK</t>
  </si>
  <si>
    <t>PL-20220617 0069868</t>
  </si>
  <si>
    <t>E SIDE TULIP GROVE RD N OF CENTRAL PK</t>
  </si>
  <si>
    <t>AM-20230207 0008749</t>
  </si>
  <si>
    <t>3805 DODSON CHAPEL RD</t>
  </si>
  <si>
    <t>DB-20000314 0026101</t>
  </si>
  <si>
    <t>LOT 3 ALTA LAKE</t>
  </si>
  <si>
    <t>PL-20000302 0020462</t>
  </si>
  <si>
    <t>0 HUNTERS POINT CT</t>
  </si>
  <si>
    <t>CR-20090928 0090019</t>
  </si>
  <si>
    <t>RES PAR  HUNTER'S POINT SUB</t>
  </si>
  <si>
    <t>PL-00005200 0000736</t>
  </si>
  <si>
    <t>0 CENTRAL PIKE</t>
  </si>
  <si>
    <t>VACANT RESIENTIAL LAND</t>
  </si>
  <si>
    <t>DB-20150630 0063290</t>
  </si>
  <si>
    <t>S SIDE OF CENTRAL PIKE E OF INTERSTATE HWY</t>
  </si>
  <si>
    <t>4401 CHANDLER RD</t>
  </si>
  <si>
    <t>METRO GOV'T  S  DODSON</t>
  </si>
  <si>
    <t>DB-00009428 0000496</t>
  </si>
  <si>
    <t>S/S CHANDLER RD N OF OLD LEBANON DIRT RD &amp; PT LT 1 M.W.SMITH</t>
  </si>
  <si>
    <t>0 JOHN HAGAR RD</t>
  </si>
  <si>
    <t>METRO GOV'T  S  RUBY MAJOR</t>
  </si>
  <si>
    <t>DB-20020531 0066355</t>
  </si>
  <si>
    <t>S OF JOHN HAGER RD E OF NEW HOPE RD</t>
  </si>
  <si>
    <t>DB-00005772 0000591</t>
  </si>
  <si>
    <t>5141 JOHN HAGAR RD</t>
  </si>
  <si>
    <t>S/S OF JOHN HAGER ROAD E. OF NEW HOPE ROAD</t>
  </si>
  <si>
    <t>DB-00004250 0000223</t>
  </si>
  <si>
    <t>0 PLEASANT HILL RD</t>
  </si>
  <si>
    <t>DB-00005029 0000977</t>
  </si>
  <si>
    <t>PT PHASE 2 THE LAKES APARTMENTS P-1</t>
  </si>
  <si>
    <t>PL-00005200 0000728</t>
  </si>
  <si>
    <t>5124 HUNTERS POINT LN</t>
  </si>
  <si>
    <t>DB-00009404 0000443</t>
  </si>
  <si>
    <t>LOT 7  HUNTER'S POINT SUB</t>
  </si>
  <si>
    <t>5305 ROXBOROUGH PASS</t>
  </si>
  <si>
    <t>DB-20030801 0109147</t>
  </si>
  <si>
    <t>E SIDE OF ROXBOROUGH PASS S OF I-40</t>
  </si>
  <si>
    <t>QC-00008631 0000751</t>
  </si>
  <si>
    <t>0 ROXBOROUGH DR</t>
  </si>
  <si>
    <t>QC-20030801 0109147</t>
  </si>
  <si>
    <t>N SIDE OF ROXBOROUGH DR W OF ROXBOROUGH PASS</t>
  </si>
  <si>
    <t>0 BELL RD</t>
  </si>
  <si>
    <t>QC-20030801 0109146</t>
  </si>
  <si>
    <t>S SIDE BELL ROAD E OF OLD HICKORY BLVD.</t>
  </si>
  <si>
    <t>DB-00004914 0000466</t>
  </si>
  <si>
    <t>5168 HUNTERS POINT LN</t>
  </si>
  <si>
    <t>DB-20170926 0098336</t>
  </si>
  <si>
    <t>LOT 30-B HUNTER'S POINT SUB ZONE LOT DIV</t>
  </si>
  <si>
    <t>PL-00006250 0000774</t>
  </si>
  <si>
    <t>5128 HUNTERS POINT LN</t>
  </si>
  <si>
    <t>LOT 8  HUNTER'S POINT SUB</t>
  </si>
  <si>
    <t>5132 HUNTERS POINT LN</t>
  </si>
  <si>
    <t>LOT 9  HUNTER'S POINT SUB</t>
  </si>
  <si>
    <t>5121 HUNTERS POINT LN</t>
  </si>
  <si>
    <t>LOT 50  HUNTER'S POINT SUB</t>
  </si>
  <si>
    <t>5117 HUNTERS POINT LN</t>
  </si>
  <si>
    <t>LOT 51  HUNTER'S POINT SUB</t>
  </si>
  <si>
    <t>5170 HUNTERS POINT LN</t>
  </si>
  <si>
    <t>DB-20170926 0098345</t>
  </si>
  <si>
    <t>LOT 30-A HUNTER'S POINT SUB ZONE LOT DIV</t>
  </si>
  <si>
    <t>5113 HUNTERS POINT LN</t>
  </si>
  <si>
    <t>DB-20091215 0114310</t>
  </si>
  <si>
    <t>LOT 52  HUNTER'S POINT SUB</t>
  </si>
  <si>
    <t>4040 MILLS RD</t>
  </si>
  <si>
    <t>TRANSMITTING TOWERS</t>
  </si>
  <si>
    <t>QC-20040310 0027429</t>
  </si>
  <si>
    <t>W SIDE OF MILLS ROAD AND N OF STEWARTS FERRY PIKE</t>
  </si>
  <si>
    <t>DC-00011283 0000913</t>
  </si>
  <si>
    <t xml:space="preserve">GSD </t>
  </si>
  <si>
    <t>345 BURNING TREE DR</t>
  </si>
  <si>
    <t>APARTMENT: LOW RISE (BUILT SINCE 1960)</t>
  </si>
  <si>
    <t>METROPOLITAN DEVELOPMENT AND HOUSING</t>
  </si>
  <si>
    <t>QC-20250319 0019910</t>
  </si>
  <si>
    <t>701 S SIXTH ST</t>
  </si>
  <si>
    <t>N/S CENTRAL PIKE E OF OLD HICKORY BLVD</t>
  </si>
  <si>
    <t>DB-00005193 0000816</t>
  </si>
  <si>
    <t>0 ELM HILL PIKE</t>
  </si>
  <si>
    <t>DB-00008973 0000290</t>
  </si>
  <si>
    <t>S SIDE ELM HILL PK E OF TRAILS END LN</t>
  </si>
  <si>
    <t>136 UNA RECREATION RD</t>
  </si>
  <si>
    <t>DB-20061011 0126246</t>
  </si>
  <si>
    <t>LOT 2 UNA PARK</t>
  </si>
  <si>
    <t>PL-20060711 0083184</t>
  </si>
  <si>
    <t>5240 HARDING PL</t>
  </si>
  <si>
    <t>QC-20141209 0112490</t>
  </si>
  <si>
    <t>PT. LOT 9 METROPOLITAN NASHVILLE AIRPORT AUTHORITY</t>
  </si>
  <si>
    <t>2437 PULLEY RD</t>
  </si>
  <si>
    <t>METRO GOV'T  AIRPORT AUTHORITY</t>
  </si>
  <si>
    <t>DB-20201218 0150266</t>
  </si>
  <si>
    <t>140 BNA PARK DR</t>
  </si>
  <si>
    <t>LOT 1 ED GOODWIN SUB</t>
  </si>
  <si>
    <t>PL-00005060 0000191</t>
  </si>
  <si>
    <t>0 WEMBERTON DR</t>
  </si>
  <si>
    <t>CR-20131219 0128429</t>
  </si>
  <si>
    <t>RES PAR RE-SUB LARCHWOOD SEC. 2</t>
  </si>
  <si>
    <t>PL-00005200 0000208</t>
  </si>
  <si>
    <t>0 MCGAVOCK PIKE</t>
  </si>
  <si>
    <t>METRO GOV'T  BT  BACK TAX SALE  AG EXTENSION</t>
  </si>
  <si>
    <t>CR-20131219 0128435</t>
  </si>
  <si>
    <t>E/S MCGAVOCK PK S OF MURFREESBORO RD</t>
  </si>
  <si>
    <t>DB-00008273 0000877</t>
  </si>
  <si>
    <t>1320 VULTEE BLVD</t>
  </si>
  <si>
    <t>METRO GOV'T  F  ENG. CO. 22</t>
  </si>
  <si>
    <t>DB-00003347 0000299</t>
  </si>
  <si>
    <t>PT OF RES COMMERCIAL TRACT MIRO MEADOWS</t>
  </si>
  <si>
    <t>1266 DONELSON PIKE</t>
  </si>
  <si>
    <t>QC-00010831 0000067</t>
  </si>
  <si>
    <t>S OF MURFREESBORO PK &amp; W OF DONELSON PK</t>
  </si>
  <si>
    <t>QC-20100730 0060007</t>
  </si>
  <si>
    <t>2436 PULLEY RD</t>
  </si>
  <si>
    <t>DB-00010709 0000186</t>
  </si>
  <si>
    <t>PAR 9 CHESWICKE PARK</t>
  </si>
  <si>
    <t>PL-00006900 0000577</t>
  </si>
  <si>
    <t>793 KNIGHT VALLEY DR</t>
  </si>
  <si>
    <t>DB-00002281 0000513</t>
  </si>
  <si>
    <t>E OF MCGAVOCK PIKE, S OF MURFREESBORO PIKE</t>
  </si>
  <si>
    <t>1128 A MURFREESBORO PIKE</t>
  </si>
  <si>
    <t>DB-00001714 0000030</t>
  </si>
  <si>
    <t>N SIDE OF MURFREESBORO PK E OF THOMPSON PLACE</t>
  </si>
  <si>
    <t>1901 KAREN DR</t>
  </si>
  <si>
    <t>DB-00002991 0000146</t>
  </si>
  <si>
    <t>LOT 178 SEC 2 BEL AIR</t>
  </si>
  <si>
    <t>1417 WINTHORNE DR</t>
  </si>
  <si>
    <t>DB-00003428 0000267</t>
  </si>
  <si>
    <t>LOT 5A64 SEC 5A GLENGARRY PARK</t>
  </si>
  <si>
    <t>3474 MCGAVOCK PIKE</t>
  </si>
  <si>
    <t>METRO GOV'T  P  SEVEN OAKS</t>
  </si>
  <si>
    <t>DB-00003701 0000459</t>
  </si>
  <si>
    <t>S SIDE SCHOOL LN W OF MCGAVOCK PK</t>
  </si>
  <si>
    <t>DB-00003509 0000432</t>
  </si>
  <si>
    <t>W/S MCGAV PK. N OF CURREY RD.</t>
  </si>
  <si>
    <t>2068 SMITH SPRINGS RD</t>
  </si>
  <si>
    <t>DB-20020403 0040474</t>
  </si>
  <si>
    <t>N/S SMITH SPRINGS RD &amp; E OF REYNOLDS RD</t>
  </si>
  <si>
    <t>DB-20010404 0032969</t>
  </si>
  <si>
    <t>200 FINLEY DR</t>
  </si>
  <si>
    <t>METRO GOV'T  S  GLENGARRY</t>
  </si>
  <si>
    <t>DB-00003317 0000621</t>
  </si>
  <si>
    <t>PT LOT 1 TURBEVILLE LANDS</t>
  </si>
  <si>
    <t>1008 PATRICIA DR</t>
  </si>
  <si>
    <t>METRO GOV'T  S  GLENVIEW</t>
  </si>
  <si>
    <t>DB-20110328 0023836</t>
  </si>
  <si>
    <t>LOT 9 SEC 1 PATRICIA HEIGHTS</t>
  </si>
  <si>
    <t>DB-00002646 0000279</t>
  </si>
  <si>
    <t>1020 PATRICIA DR</t>
  </si>
  <si>
    <t>BD-00000000 0000069</t>
  </si>
  <si>
    <t>N E CORNER OF THOMPSON PLACE &amp; PATRICIA DR</t>
  </si>
  <si>
    <t>DB-00001757 0000531</t>
  </si>
  <si>
    <t>2018 OLD MURFREESBORO PIKE</t>
  </si>
  <si>
    <t>METRO GOV'T  S  UNA</t>
  </si>
  <si>
    <t>DB-00001941 0000217</t>
  </si>
  <si>
    <t>E SIDE MURFREESBORO PIKE, S OF SMITH SPRINGS ROAD</t>
  </si>
  <si>
    <t>1400 VULTEE BLVD</t>
  </si>
  <si>
    <t>DB-00001260 0000378</t>
  </si>
  <si>
    <t>COR OF BRILEY PKWY AND VULTEE BLVD</t>
  </si>
  <si>
    <t>0 PULLEY RD</t>
  </si>
  <si>
    <t>METRO NASHVILLE AIRPORT AUTHORITY</t>
  </si>
  <si>
    <t>QC-20200909 0102356</t>
  </si>
  <si>
    <t>1 TERMINAL DR STE 501</t>
  </si>
  <si>
    <t>W OF PLEASANT HILL RD S OF ELM HILL PK</t>
  </si>
  <si>
    <t>DB-00008671 0000083</t>
  </si>
  <si>
    <t>0 WAGGONER RD</t>
  </si>
  <si>
    <t>QC-20220629 0075214</t>
  </si>
  <si>
    <t>140 BNA PARK DR STE 250 C/O COMMERCIAL DEVELOPMENT</t>
  </si>
  <si>
    <t>W SIDE WAGGONER ROAD N OF PULLEY ROAD</t>
  </si>
  <si>
    <t>DB-00003799 0000078</t>
  </si>
  <si>
    <t>2410 PULLEY RD</t>
  </si>
  <si>
    <t>PAR 213 CHESWICKE PARK</t>
  </si>
  <si>
    <t>1304 CURREY RD</t>
  </si>
  <si>
    <t>DB-00007519 0000385</t>
  </si>
  <si>
    <t>LOT 3 AIRPORT ESTATES</t>
  </si>
  <si>
    <t>DB-00004581 0000855</t>
  </si>
  <si>
    <t>DB-20130215 0015938</t>
  </si>
  <si>
    <t>PT OF LOT 3 GOWER CENTER RESUB LOT 2</t>
  </si>
  <si>
    <t>402 BNA DR</t>
  </si>
  <si>
    <t>OFFICE BLDG (3 OR MORE STORIES)</t>
  </si>
  <si>
    <t>METROPOLITAN NASHVILLE AIRPORT AUTHORITY</t>
  </si>
  <si>
    <t>DB-00005169 0000396</t>
  </si>
  <si>
    <t>LOT 2 METROPOLITAN NASHVILLE AIRPORT AUTHORITY</t>
  </si>
  <si>
    <t>PL-20140624 0054937</t>
  </si>
  <si>
    <t>1300 MURFREESBORO PIKE</t>
  </si>
  <si>
    <t>DB-00004440 0000758</t>
  </si>
  <si>
    <t>1 TERMINAL DR STE 501  ATTN PROP DEPT</t>
  </si>
  <si>
    <t>NE COR MURFREESBORO PK &amp; MCGAVOCK PK</t>
  </si>
  <si>
    <t>DB-00004440 0000758A</t>
  </si>
  <si>
    <t>N/S MURFREESBORO PIKE E. OF MCGAVOCK PIKE</t>
  </si>
  <si>
    <t>1415 MURFREESBORO PIKE</t>
  </si>
  <si>
    <t>S W CORNER MURFREESBORO PK &amp; MCGAVOCK PK</t>
  </si>
  <si>
    <t>OR-00059175 0000000</t>
  </si>
  <si>
    <t>1287 SCHOOL LN</t>
  </si>
  <si>
    <t>DB-00008057 0000009</t>
  </si>
  <si>
    <t>DB-00002652 0000255</t>
  </si>
  <si>
    <t>1289 SCHOOL LN</t>
  </si>
  <si>
    <t>DB-00007998 0000120</t>
  </si>
  <si>
    <t>LOT 2 WALDON SUB</t>
  </si>
  <si>
    <t>DB-00003981 0000424</t>
  </si>
  <si>
    <t>1291 SCHOOL LN</t>
  </si>
  <si>
    <t>DB-00007988 0000136</t>
  </si>
  <si>
    <t>LOT 1 WALDON SUB</t>
  </si>
  <si>
    <t>DB-00002247 0000371</t>
  </si>
  <si>
    <t>1293 SCHOOL LN</t>
  </si>
  <si>
    <t>DB-00008028 0000726</t>
  </si>
  <si>
    <t>S OF SCHOOL LN W OF MCGAVOCK PK</t>
  </si>
  <si>
    <t>DB-00004048 0000980</t>
  </si>
  <si>
    <t>1295 SCHOOL LN</t>
  </si>
  <si>
    <t>DB-00008057 0000012</t>
  </si>
  <si>
    <t>DB-00002301 0000071</t>
  </si>
  <si>
    <t>301 FORRESTER DR</t>
  </si>
  <si>
    <t>DB-00007774 0000398</t>
  </si>
  <si>
    <t>LOT 176 AIRPORT ESTATES</t>
  </si>
  <si>
    <t>DB-00004233 0000603</t>
  </si>
  <si>
    <t>300 FORRESTER DR</t>
  </si>
  <si>
    <t>DB-00007765 0000874</t>
  </si>
  <si>
    <t>LOT 171 AIRPORT ESTATES</t>
  </si>
  <si>
    <t>DB-00003706 0000013</t>
  </si>
  <si>
    <t>303 FORRESTER DR</t>
  </si>
  <si>
    <t>DB-00007765 0000880</t>
  </si>
  <si>
    <t>LOT 177 AIRPORT ESTATES</t>
  </si>
  <si>
    <t>DB-00003888 0000154</t>
  </si>
  <si>
    <t>1311 SCHOOL LN</t>
  </si>
  <si>
    <t>DB-00007624 0000147</t>
  </si>
  <si>
    <t>LOT 170 AIRPORT ESTATES</t>
  </si>
  <si>
    <t>DB-00002546 0000211</t>
  </si>
  <si>
    <t>305 FORRESTER DR</t>
  </si>
  <si>
    <t>DB-00007763 0000969</t>
  </si>
  <si>
    <t>LOT 178 AIRPORT ESTATES</t>
  </si>
  <si>
    <t>DB-00002633 0000615</t>
  </si>
  <si>
    <t>1313 SCHOOL LN</t>
  </si>
  <si>
    <t>DB-00007602 0000047</t>
  </si>
  <si>
    <t>LOT 169 AIRPORT ESTATES</t>
  </si>
  <si>
    <t>DB-00004792 0000202</t>
  </si>
  <si>
    <t>307 FORRESTER DR</t>
  </si>
  <si>
    <t>DB-00008221 0000467</t>
  </si>
  <si>
    <t>LOT 179 AIRPORT ESTATES</t>
  </si>
  <si>
    <t>DB-00004140 0000264</t>
  </si>
  <si>
    <t>1315 SCHOOL LN</t>
  </si>
  <si>
    <t>DB-00007607 0000076</t>
  </si>
  <si>
    <t>LOT 168 AIRPORT ESTATES</t>
  </si>
  <si>
    <t>DB-00002740 0000105</t>
  </si>
  <si>
    <t>1317 SCHOOL LN</t>
  </si>
  <si>
    <t>DB-00007578 0000087</t>
  </si>
  <si>
    <t>LOT 167 AIRPORT ESTATES</t>
  </si>
  <si>
    <t>DB-00003406 0000041</t>
  </si>
  <si>
    <t>1319 SCHOOL LN</t>
  </si>
  <si>
    <t>DB-00007615 0000602</t>
  </si>
  <si>
    <t>LOT 166 AIRPORT ESTATES</t>
  </si>
  <si>
    <t>DB-00002804 0000611</t>
  </si>
  <si>
    <t>309 FORRESTER DR</t>
  </si>
  <si>
    <t>DB-00008045 0000129</t>
  </si>
  <si>
    <t>LOT 180 AIRPORT ESTATES</t>
  </si>
  <si>
    <t>DB-00004744 0000133</t>
  </si>
  <si>
    <t>1321 SCHOOL LN</t>
  </si>
  <si>
    <t>RD-00007140 0000133</t>
  </si>
  <si>
    <t>LOT 165 AIRPORT ESTATES</t>
  </si>
  <si>
    <t>DB-00001976 0000089</t>
  </si>
  <si>
    <t>1323 SCHOOL LN</t>
  </si>
  <si>
    <t>DB-00007279 0000528</t>
  </si>
  <si>
    <t>LOT 164 AIRPORT ESTATES</t>
  </si>
  <si>
    <t>DB-00004767 0000439</t>
  </si>
  <si>
    <t>302 FORRESTER DR</t>
  </si>
  <si>
    <t>DB-00007765 0000876</t>
  </si>
  <si>
    <t>LOT 172 AIRPORT ESTATES</t>
  </si>
  <si>
    <t>DB-00003643 0000578</t>
  </si>
  <si>
    <t>1325 SCHOOL LN</t>
  </si>
  <si>
    <t>DB-00007279 0000526</t>
  </si>
  <si>
    <t>LOT 163 AIRPORT ESTATES</t>
  </si>
  <si>
    <t>DB-00004735 0000005</t>
  </si>
  <si>
    <t>1327 SCHOOL LN</t>
  </si>
  <si>
    <t>DB-00007140 0000129</t>
  </si>
  <si>
    <t>LOT 162 AIRPORT ESTATES</t>
  </si>
  <si>
    <t>DB-00004517 0000617</t>
  </si>
  <si>
    <t>304 FORRESTER DR</t>
  </si>
  <si>
    <t>DB-00007763 0000971</t>
  </si>
  <si>
    <t>LOT 173 AIRPORT ESTATES</t>
  </si>
  <si>
    <t>DB-00004382 0000861</t>
  </si>
  <si>
    <t>311 FORRESTER DR</t>
  </si>
  <si>
    <t>DB-00007988 0000128</t>
  </si>
  <si>
    <t>LOT 181 AIRPORT ESTATES</t>
  </si>
  <si>
    <t>DB-00004550 0000942</t>
  </si>
  <si>
    <t>303 KNIGHT VALLEY DR</t>
  </si>
  <si>
    <t>DB-00007082 0000893</t>
  </si>
  <si>
    <t>LOT 160 AIRPORT ESTATES</t>
  </si>
  <si>
    <t>DB-00002440 0000497</t>
  </si>
  <si>
    <t>313 FORRESTER DR</t>
  </si>
  <si>
    <t>DB-00007988 0000132</t>
  </si>
  <si>
    <t>LOT 182 AIRPORT ESTATES</t>
  </si>
  <si>
    <t>DB-00001779 0000180</t>
  </si>
  <si>
    <t>306 FORRESTER DR</t>
  </si>
  <si>
    <t>DB-00007747 0000602</t>
  </si>
  <si>
    <t>LOT 174 AIRPORT ESTATES</t>
  </si>
  <si>
    <t>DB-00004385 0000329</t>
  </si>
  <si>
    <t>1316 CUMMINS DR</t>
  </si>
  <si>
    <t>DB-00007578 0000091</t>
  </si>
  <si>
    <t>PT LOT 152 AIRPORT ESTATES</t>
  </si>
  <si>
    <t>DB-00002930 0000021</t>
  </si>
  <si>
    <t>1314 CUMMINS DR</t>
  </si>
  <si>
    <t>DB-00007607 0000078</t>
  </si>
  <si>
    <t>LOT 151 PT LOT 152 AIRPORT ESTATES</t>
  </si>
  <si>
    <t>DB-00003507 0000485</t>
  </si>
  <si>
    <t>1312 CUMMINS DR</t>
  </si>
  <si>
    <t>DB-00007613 0000716</t>
  </si>
  <si>
    <t>LOT 150 AIRPORT ESTATES</t>
  </si>
  <si>
    <t>DB-00001637 0000073</t>
  </si>
  <si>
    <t>1318 CUMMINS DR</t>
  </si>
  <si>
    <t>DB-00007578 0000093</t>
  </si>
  <si>
    <t>LOT 153 AIRPORT ESTATES</t>
  </si>
  <si>
    <t>DB-00004139 0000689</t>
  </si>
  <si>
    <t>1320 CUMMINS DR</t>
  </si>
  <si>
    <t>DB-00007214 0000212</t>
  </si>
  <si>
    <t>LOT 154 AIRPORT ESTATES</t>
  </si>
  <si>
    <t>DB-00004506 0000692</t>
  </si>
  <si>
    <t>315 FORRESTER DR</t>
  </si>
  <si>
    <t>DB-00007965 0000850</t>
  </si>
  <si>
    <t>LOT 183 AIRPORT ESTATES</t>
  </si>
  <si>
    <t>DB-00004821 0000070</t>
  </si>
  <si>
    <t>1322 CUMMINS DR</t>
  </si>
  <si>
    <t>DB-00007294 0000057</t>
  </si>
  <si>
    <t>LOT 155 AIRPORT ESTATES</t>
  </si>
  <si>
    <t>DB-00002694 0000032</t>
  </si>
  <si>
    <t>1324 CUMMINS DR</t>
  </si>
  <si>
    <t>DB-00007222 0000399</t>
  </si>
  <si>
    <t>LOT 156 AIRPORT ESTATES</t>
  </si>
  <si>
    <t>DB-00002540 0000459</t>
  </si>
  <si>
    <t>1326 CUMMINS DR</t>
  </si>
  <si>
    <t>DB-00007116 0000355</t>
  </si>
  <si>
    <t>LOT 157 AIRPORT ESTATES</t>
  </si>
  <si>
    <t>DB-00004824 0000261</t>
  </si>
  <si>
    <t>1308 CUMMINS DR</t>
  </si>
  <si>
    <t>DB-00007774 0000391</t>
  </si>
  <si>
    <t>LOT 148 AIRPORT ESTATES</t>
  </si>
  <si>
    <t>DB-00004773 0000081</t>
  </si>
  <si>
    <t>308 FORRESTER DR</t>
  </si>
  <si>
    <t>DB-00007765 0000882</t>
  </si>
  <si>
    <t>LOT 175 AIRPORT ESTATES</t>
  </si>
  <si>
    <t>DB-00002593 0000238</t>
  </si>
  <si>
    <t>305 KNIGHT VALLEY DR</t>
  </si>
  <si>
    <t>DB-00007152 0000734</t>
  </si>
  <si>
    <t>LOT 159 AIRPORT ESTATES</t>
  </si>
  <si>
    <t>DB-00004506 0000526</t>
  </si>
  <si>
    <t>317 FORRESTER DR</t>
  </si>
  <si>
    <t>DB-00007989 0000105</t>
  </si>
  <si>
    <t>LOT 184 AIRPORT ESTATES</t>
  </si>
  <si>
    <t>DB-00004124 0000328</t>
  </si>
  <si>
    <t>1306 CUMMINS DR</t>
  </si>
  <si>
    <t>DB-00007792 0000961</t>
  </si>
  <si>
    <t>LOT 147 AIRPORT ESTATES</t>
  </si>
  <si>
    <t>DB-00002277 0000395</t>
  </si>
  <si>
    <t>1304 CUMMINS DR</t>
  </si>
  <si>
    <t>DB-00007763 0000967</t>
  </si>
  <si>
    <t>LOT 146 AIRPORT ESTATES</t>
  </si>
  <si>
    <t>DB-00001631 0000275</t>
  </si>
  <si>
    <t>310 FORRESTER DR</t>
  </si>
  <si>
    <t>DB-00007820 0000792</t>
  </si>
  <si>
    <t>LOT 144 AIRPORT ESTATES</t>
  </si>
  <si>
    <t>DB-00002095 0000321</t>
  </si>
  <si>
    <t>1302 CUMMINS DR</t>
  </si>
  <si>
    <t>DB-00007845 0000978</t>
  </si>
  <si>
    <t>LOT 145 AIRPORT ESTATES</t>
  </si>
  <si>
    <t>DB-00004127 0000189</t>
  </si>
  <si>
    <t>319 FORRESTER DR</t>
  </si>
  <si>
    <t>DB-00008083 0000943</t>
  </si>
  <si>
    <t>LOT 185 AIRPORT ESTATES</t>
  </si>
  <si>
    <t>DB-00002855 0000175</t>
  </si>
  <si>
    <t>1321 CUMMINS DR</t>
  </si>
  <si>
    <t>DB-00007170 0000980</t>
  </si>
  <si>
    <t>LOT 139 AIRPORT ESTATES</t>
  </si>
  <si>
    <t>DB-00003619 0000021</t>
  </si>
  <si>
    <t>1319 CUMMINS DR</t>
  </si>
  <si>
    <t>DB-00007648 0000755</t>
  </si>
  <si>
    <t>LOT 140 AIRPORT ESTATES</t>
  </si>
  <si>
    <t>DB-00004841 0000138</t>
  </si>
  <si>
    <t>1325 CUMMINS DR</t>
  </si>
  <si>
    <t>DB-00008327 0000977</t>
  </si>
  <si>
    <t>LOT 137 AIRPORT ESTATES</t>
  </si>
  <si>
    <t>DB-00003764 0000027</t>
  </si>
  <si>
    <t>1315 CUMMINS DR</t>
  </si>
  <si>
    <t>DB-00007607 0000074</t>
  </si>
  <si>
    <t>LOT 142 AIRPORT ESTATES</t>
  </si>
  <si>
    <t>DB-00002639 0000031</t>
  </si>
  <si>
    <t>1327 CUMMINS DR</t>
  </si>
  <si>
    <t>DB-00008214 0000169</t>
  </si>
  <si>
    <t>LOT 136 AIRPORT ESTATES</t>
  </si>
  <si>
    <t>DB-00002494 0000603</t>
  </si>
  <si>
    <t>309 KNIGHT VALLEY DR</t>
  </si>
  <si>
    <t>DB-00007251 0000865</t>
  </si>
  <si>
    <t>LOT 134 AIRPORT ESTATES</t>
  </si>
  <si>
    <t>DB-00002493 0000283</t>
  </si>
  <si>
    <t>1313 CUMMINS DR</t>
  </si>
  <si>
    <t>DB-00007632 0000725</t>
  </si>
  <si>
    <t>LOT 143 AIRPORT ESTATES</t>
  </si>
  <si>
    <t>DB-00004602 0000364</t>
  </si>
  <si>
    <t>321 FORRESTER DR</t>
  </si>
  <si>
    <t>DB-00008050 0000617</t>
  </si>
  <si>
    <t>LOT 186 AIRPORT ESTATES</t>
  </si>
  <si>
    <t>DB-00003130 0000175</t>
  </si>
  <si>
    <t>1309 CUMMINS DR</t>
  </si>
  <si>
    <t>DB-00007777 0000953</t>
  </si>
  <si>
    <t>LOT 116 AIRPORT ESTATES</t>
  </si>
  <si>
    <t>DB-00002398 0000389</t>
  </si>
  <si>
    <t>311 KNIGHT VALLEY DR</t>
  </si>
  <si>
    <t>DB-00009119 0000437</t>
  </si>
  <si>
    <t>LOT 133 AIRPORT ESTATES</t>
  </si>
  <si>
    <t>DB-00003938 0000409</t>
  </si>
  <si>
    <t>1307 CUMMINS DR</t>
  </si>
  <si>
    <t>DB-00007774 0000402</t>
  </si>
  <si>
    <t>LOT 117 AIRPORT ESTATES</t>
  </si>
  <si>
    <t>DB-00003907 0000945</t>
  </si>
  <si>
    <t>1305 CUMMINS DR</t>
  </si>
  <si>
    <t>DB-00007822 0000839</t>
  </si>
  <si>
    <t>LOT 118 AIRPORT ESTATES</t>
  </si>
  <si>
    <t>DB-00002645 0000381</t>
  </si>
  <si>
    <t>1324 CONVAIR CIR</t>
  </si>
  <si>
    <t>DB-00007602 0000050</t>
  </si>
  <si>
    <t>LOT 125 AIRPORT ESTATES</t>
  </si>
  <si>
    <t>DB-00004433 0000987</t>
  </si>
  <si>
    <t>1326 CONVAIR CIR</t>
  </si>
  <si>
    <t>DB-00007388 0000083</t>
  </si>
  <si>
    <t>LOT 126 AIRPORT ESTATES</t>
  </si>
  <si>
    <t>DB-00002398 0000403</t>
  </si>
  <si>
    <t>323 FORRESTER DR</t>
  </si>
  <si>
    <t>DB-00007988 0000134</t>
  </si>
  <si>
    <t>LOT 187 AIRPORT ESTATES</t>
  </si>
  <si>
    <t>DB-00004014 0000563</t>
  </si>
  <si>
    <t>1322 CONVAIR CIR</t>
  </si>
  <si>
    <t>DB-00007600 0000476</t>
  </si>
  <si>
    <t>LOT 124 AIRPORT ESTATES</t>
  </si>
  <si>
    <t>DB-00004409 0000091</t>
  </si>
  <si>
    <t>1328 CONVAIR CIR</t>
  </si>
  <si>
    <t>DB-00007082 0000897</t>
  </si>
  <si>
    <t>LOT 127 AIRPORT ESTATES</t>
  </si>
  <si>
    <t>DB-00004823 0000656</t>
  </si>
  <si>
    <t>1320 CONVAIR CIR</t>
  </si>
  <si>
    <t>DB-00007612 0000240</t>
  </si>
  <si>
    <t>LOT 123 AIRPORT ESTATES</t>
  </si>
  <si>
    <t>DB-00004149 0000310</t>
  </si>
  <si>
    <t>1303 CUMMINS DR</t>
  </si>
  <si>
    <t>DB-00009620 0000964</t>
  </si>
  <si>
    <t>LOT 119 AIRPORT ESTATES</t>
  </si>
  <si>
    <t>DB-00001553 0000365</t>
  </si>
  <si>
    <t>1332 CONVAIR CIR</t>
  </si>
  <si>
    <t>DB-00007094 0000808</t>
  </si>
  <si>
    <t>LOT 129 AIRPORT ESTATES</t>
  </si>
  <si>
    <t>DB-00004747 0000433</t>
  </si>
  <si>
    <t>1301 CUMMINS DR</t>
  </si>
  <si>
    <t>RD-00007813 0000982</t>
  </si>
  <si>
    <t>LOT 122 AIRPORT ESTATES</t>
  </si>
  <si>
    <t>DB-00004149 0000602</t>
  </si>
  <si>
    <t>1334 CONVAIR CIR</t>
  </si>
  <si>
    <t>DB-00007210 0000403</t>
  </si>
  <si>
    <t>LOT 130 AIRPORT ESTATES</t>
  </si>
  <si>
    <t>DB-00003399 0000155</t>
  </si>
  <si>
    <t>1616 MURFREESBORO PIKE</t>
  </si>
  <si>
    <t>DB-00009582 0000500</t>
  </si>
  <si>
    <t>LOT 6 METROPOLITAN NASHVILLE AIRPORT AUTHORITY</t>
  </si>
  <si>
    <t>313 KNIGHT VALLEY DR</t>
  </si>
  <si>
    <t>DB-00007129 0000522</t>
  </si>
  <si>
    <t>LOT 132 AIRPORT ESTATES</t>
  </si>
  <si>
    <t>DB-00004189 0000710</t>
  </si>
  <si>
    <t>325 FORRESTER DR</t>
  </si>
  <si>
    <t>DB-00008002 0000578</t>
  </si>
  <si>
    <t>PT LOT 188 AIRPORT ESTATES</t>
  </si>
  <si>
    <t>DB-00004286 0000109</t>
  </si>
  <si>
    <t>1315 CONVAIR CIR</t>
  </si>
  <si>
    <t>DB-00007870 0000197</t>
  </si>
  <si>
    <t>LOT 115 AIRPORT ESTATES</t>
  </si>
  <si>
    <t>DB-00003786 0000953</t>
  </si>
  <si>
    <t>324 FORRESTER DR</t>
  </si>
  <si>
    <t>DB-00007800 0000779</t>
  </si>
  <si>
    <t>LOT 121 AIRPORT ESTATES</t>
  </si>
  <si>
    <t>DB-00004615 0000931</t>
  </si>
  <si>
    <t>315 KNIGHT VALLEY DR</t>
  </si>
  <si>
    <t>DB-00007082 0000900</t>
  </si>
  <si>
    <t>LOT 131 AIRPORT ESTATES</t>
  </si>
  <si>
    <t>DB-00004418 0000792</t>
  </si>
  <si>
    <t>1317 CONVAIR CIR</t>
  </si>
  <si>
    <t>DB-00007617 0000068</t>
  </si>
  <si>
    <t>LOT 114 AIRPORT ESTATES</t>
  </si>
  <si>
    <t>DB-00001629 0000151</t>
  </si>
  <si>
    <t>1319 CONVAIR CIR</t>
  </si>
  <si>
    <t>DB-00007617 0000070</t>
  </si>
  <si>
    <t>LOT 113 AIRPORT ESTATES</t>
  </si>
  <si>
    <t>DB-00004409 0000567</t>
  </si>
  <si>
    <t>1321 CONVAIR CIR</t>
  </si>
  <si>
    <t>DB-00007600 0000472</t>
  </si>
  <si>
    <t>LOT 112 AIRPORT ESTATES</t>
  </si>
  <si>
    <t>DB-00001939 0000229</t>
  </si>
  <si>
    <t>326 FORRESTER DR</t>
  </si>
  <si>
    <t>DB-00007756 0000365</t>
  </si>
  <si>
    <t>LOT 120 AIRPORT ESTATES</t>
  </si>
  <si>
    <t>DB-00004677 0000123</t>
  </si>
  <si>
    <t>1323 CONVAIR CIR</t>
  </si>
  <si>
    <t>DB-00007382 0000674</t>
  </si>
  <si>
    <t>LOT 111 AIRPORT ESTATES</t>
  </si>
  <si>
    <t>DB-00001907 0000161</t>
  </si>
  <si>
    <t>1327 CONVAIR CIR</t>
  </si>
  <si>
    <t>DB-00007519 0000387</t>
  </si>
  <si>
    <t>LOT 109 AIRPORT ESTATES</t>
  </si>
  <si>
    <t>DB-00001515 0000516</t>
  </si>
  <si>
    <t>1329 CONVAIR CIR</t>
  </si>
  <si>
    <t>DB-00007388 0000085</t>
  </si>
  <si>
    <t>LOT 108 AIRPORT ESTATES</t>
  </si>
  <si>
    <t>DB-00001490 0000053</t>
  </si>
  <si>
    <t>1331 CONVAIR CIR</t>
  </si>
  <si>
    <t>DB-00007382 0000676</t>
  </si>
  <si>
    <t>LOT 107 AIRPORT ESTATES</t>
  </si>
  <si>
    <t>DB-00004508 0000966</t>
  </si>
  <si>
    <t>1333 CONVAIR CIR</t>
  </si>
  <si>
    <t>DB-00007400 0000413</t>
  </si>
  <si>
    <t>LOT 106 AIRPORT ESTATES</t>
  </si>
  <si>
    <t>DV-00000065 0000738</t>
  </si>
  <si>
    <t>319 KNIGHT VALLEY DR</t>
  </si>
  <si>
    <t>DB-00007460 0000261</t>
  </si>
  <si>
    <t>PT LOT 105 AIRPORT ESTATES</t>
  </si>
  <si>
    <t>OR-00092195 0000000</t>
  </si>
  <si>
    <t>1308 PORTVIEW DR</t>
  </si>
  <si>
    <t>DB-00007669 0000191</t>
  </si>
  <si>
    <t>LOT 89 AIRPORT ESTATES</t>
  </si>
  <si>
    <t>DB-00004847 0000036</t>
  </si>
  <si>
    <t>1304 PORTVIEW DR</t>
  </si>
  <si>
    <t>DB-00007975 0000263</t>
  </si>
  <si>
    <t>LOT 87 AIRPORT ESTATES</t>
  </si>
  <si>
    <t>DB-00004862 0000245</t>
  </si>
  <si>
    <t>1310 PORTVIEW DR</t>
  </si>
  <si>
    <t>DB-00007780 0000719</t>
  </si>
  <si>
    <t>LOT 90 AIRPORT ESTATES</t>
  </si>
  <si>
    <t>DB-00004854 0000498</t>
  </si>
  <si>
    <t>1302 PORTVIEW DR</t>
  </si>
  <si>
    <t>DB-00008030 0000721</t>
  </si>
  <si>
    <t>LOT 86 AIRPORT ESTATES</t>
  </si>
  <si>
    <t>DB-00004409 0000299</t>
  </si>
  <si>
    <t>1312 PORTVIEW DR</t>
  </si>
  <si>
    <t>DB-00007763 0000976</t>
  </si>
  <si>
    <t>LOT 91 AIRPORT ESTATES</t>
  </si>
  <si>
    <t>DB-00001816 0000457</t>
  </si>
  <si>
    <t>1300 PORTVIEW DR</t>
  </si>
  <si>
    <t>DB-00007975 0000261</t>
  </si>
  <si>
    <t>LOT 85 AIRPORT ESTATES</t>
  </si>
  <si>
    <t>DB-00004834 0000672</t>
  </si>
  <si>
    <t>1314 PORTVIEW DR</t>
  </si>
  <si>
    <t>DB-00007697 0000046</t>
  </si>
  <si>
    <t>LOT 92 AIRPORT ESTATES</t>
  </si>
  <si>
    <t>DB-00002744 0000065</t>
  </si>
  <si>
    <t>401 FORRESTER DR</t>
  </si>
  <si>
    <t>DB-00008062 0000247</t>
  </si>
  <si>
    <t>LOT 191 AIRPORT ESTATES</t>
  </si>
  <si>
    <t>DB-00004200 0000022</t>
  </si>
  <si>
    <t>1316 PORTVIEW DR</t>
  </si>
  <si>
    <t>DB-00007613 0000044</t>
  </si>
  <si>
    <t>LOT 93 AIRPORT ESTATES</t>
  </si>
  <si>
    <t>DB-00001779 0000141</t>
  </si>
  <si>
    <t>321 KNIGHT VALLEY DR</t>
  </si>
  <si>
    <t>DB-00007410 0000722</t>
  </si>
  <si>
    <t>PT LOT 104 AIRPORT ESTATES</t>
  </si>
  <si>
    <t>1318 PORTVIEW DR</t>
  </si>
  <si>
    <t>LOT 94 AIRPORT ESTATES</t>
  </si>
  <si>
    <t>1320 PORTVIEW DR</t>
  </si>
  <si>
    <t>DB-00007586 0000865</t>
  </si>
  <si>
    <t>LOT 95 AIRPORT ESTATES</t>
  </si>
  <si>
    <t>DB-00004164 0000731</t>
  </si>
  <si>
    <t>1322 PORTVIEW DR</t>
  </si>
  <si>
    <t>DB-00007430 0000696</t>
  </si>
  <si>
    <t>LOT 96 AIRPORT ESTATES</t>
  </si>
  <si>
    <t>DB-00004735 0000070</t>
  </si>
  <si>
    <t>1326 PORTVIEW DR</t>
  </si>
  <si>
    <t>RD-00007445 0000956</t>
  </si>
  <si>
    <t>LOT 98 AIRPORT ESTATES</t>
  </si>
  <si>
    <t>DB-00001712 0000153</t>
  </si>
  <si>
    <t>1328 PORTVIEW DR</t>
  </si>
  <si>
    <t>DB-00007445 0000627</t>
  </si>
  <si>
    <t>LOT 99 AIRPORT ESTATES</t>
  </si>
  <si>
    <t>DB-00003868 0000494</t>
  </si>
  <si>
    <t>1330 PORTVIEW DR</t>
  </si>
  <si>
    <t>DB-00007470 0000538</t>
  </si>
  <si>
    <t>LOT 100 AIRPORT ESTATES</t>
  </si>
  <si>
    <t>DB-00004534 0000956</t>
  </si>
  <si>
    <t>1332 PORTVIEW DR</t>
  </si>
  <si>
    <t>DB-00007470 0000536</t>
  </si>
  <si>
    <t>LOT 101 AIRPORT ESTATES</t>
  </si>
  <si>
    <t>DB-00001680 0000518</t>
  </si>
  <si>
    <t>403 FORRESTER DR</t>
  </si>
  <si>
    <t>DB-00007969 0000827</t>
  </si>
  <si>
    <t>LOT 192 AIRPORT ESTATES</t>
  </si>
  <si>
    <t>DB-00004275 0000039</t>
  </si>
  <si>
    <t>323 KNIGHT VALLEY DR</t>
  </si>
  <si>
    <t>DB-00007380 0000819</t>
  </si>
  <si>
    <t>1 TERMINAL DR STE  501</t>
  </si>
  <si>
    <t>PT LOT 103 AIRPORT ESTATES</t>
  </si>
  <si>
    <t>400 FORRESTER DR</t>
  </si>
  <si>
    <t>DB-00008008 0000137</t>
  </si>
  <si>
    <t>LOT 84 AIRPORT ESTATES</t>
  </si>
  <si>
    <t>DB-00004290 0000059</t>
  </si>
  <si>
    <t>1303 PORTVIEW DR</t>
  </si>
  <si>
    <t>DB-00007975 0000257</t>
  </si>
  <si>
    <t>LOT 83 AIRPORT ESTATES</t>
  </si>
  <si>
    <t>DB-00004576 0000294</t>
  </si>
  <si>
    <t>1305 PORTVIEW DR</t>
  </si>
  <si>
    <t>DB-00008002 0000580</t>
  </si>
  <si>
    <t>LOT 82 AIRPORT ESTATES</t>
  </si>
  <si>
    <t>DB-00003134 0000280</t>
  </si>
  <si>
    <t>1309 PORTVIEW DR</t>
  </si>
  <si>
    <t>DB-00007780 0000716</t>
  </si>
  <si>
    <t>LOT 80 AIRPORT ESTATES</t>
  </si>
  <si>
    <t>DB-00004671 0000360</t>
  </si>
  <si>
    <t>409 FORRESTER DR</t>
  </si>
  <si>
    <t>DB-00008028 0000730</t>
  </si>
  <si>
    <t>LOT 193 AIRPORT ESTATES</t>
  </si>
  <si>
    <t>DB-00001906 0000247</t>
  </si>
  <si>
    <t>1313 PORTVIEW DR</t>
  </si>
  <si>
    <t>RD-00007870 0000199</t>
  </si>
  <si>
    <t>LOT 78 AIRPORT ESTATES</t>
  </si>
  <si>
    <t>DB-00001878 0000256</t>
  </si>
  <si>
    <t>1315 PORTVIEW DR</t>
  </si>
  <si>
    <t>DB-00007787 0000810</t>
  </si>
  <si>
    <t>LOT 77 PT LOT 76 AIRPORT ESTATES</t>
  </si>
  <si>
    <t>DB-00004149 0000166</t>
  </si>
  <si>
    <t>402 FORRESTER DR</t>
  </si>
  <si>
    <t>DB-00007997 0000099</t>
  </si>
  <si>
    <t>LOT 44 AIRPORT ESTATES</t>
  </si>
  <si>
    <t>DB-00004201 0000702</t>
  </si>
  <si>
    <t>1319 PORTVIEW DR</t>
  </si>
  <si>
    <t>DB-00007612 0000242</t>
  </si>
  <si>
    <t>LOT 75 PT LOT 76 AIRPORT ESTATES</t>
  </si>
  <si>
    <t>DB-00002747 0000169</t>
  </si>
  <si>
    <t>1321 PORTVIEW DR</t>
  </si>
  <si>
    <t>DB-00007627 0000582</t>
  </si>
  <si>
    <t>LOT 74 AIRPORT ESTATES</t>
  </si>
  <si>
    <t>DB-00001682 0000483</t>
  </si>
  <si>
    <t>1323 PORTVIEW DR</t>
  </si>
  <si>
    <t>DB-00007368 0000933</t>
  </si>
  <si>
    <t>LOT 73 AIRPORT ESTATES</t>
  </si>
  <si>
    <t>DB-00001679 0000558</t>
  </si>
  <si>
    <t>1325 PORTVIEW DR</t>
  </si>
  <si>
    <t>DB-00007406 0000607</t>
  </si>
  <si>
    <t>LOT 72 AIRPORT ESTATES</t>
  </si>
  <si>
    <t>DB-00004749 0000249</t>
  </si>
  <si>
    <t>1327 PORTVIEW DR</t>
  </si>
  <si>
    <t>DB-00007580 0000945</t>
  </si>
  <si>
    <t>LOT 71 AIRPORT ESTATES</t>
  </si>
  <si>
    <t>DB-00004566 0000620</t>
  </si>
  <si>
    <t>1331 PORTVIEW DR</t>
  </si>
  <si>
    <t>DB-00007476 0000875</t>
  </si>
  <si>
    <t>LOT 69 AIRPORT ESTATES</t>
  </si>
  <si>
    <t>DB-00002549 0000025</t>
  </si>
  <si>
    <t>1333 PORTVIEW DR</t>
  </si>
  <si>
    <t>DB-00007545 0000515</t>
  </si>
  <si>
    <t>PT LOT 68 AIRPORT ESTATES</t>
  </si>
  <si>
    <t>1335 PORTVIEW DR</t>
  </si>
  <si>
    <t>DB-00008140 0000599</t>
  </si>
  <si>
    <t>PT LOTS 66 &amp; 67 AIRPORT ESTATES</t>
  </si>
  <si>
    <t>1302 PARRY DR</t>
  </si>
  <si>
    <t>DB-00007988 0000130</t>
  </si>
  <si>
    <t>LOT 45 AIRPORT ESTATES</t>
  </si>
  <si>
    <t>DB-00004816 0000388</t>
  </si>
  <si>
    <t>1304 PARRY DR</t>
  </si>
  <si>
    <t>DB-00008003 0000994</t>
  </si>
  <si>
    <t>LOT 46 AIRPORT ESTATES</t>
  </si>
  <si>
    <t>DB-00004448 0000411</t>
  </si>
  <si>
    <t>1306 PARRY DR</t>
  </si>
  <si>
    <t>DB-00008028 0000728</t>
  </si>
  <si>
    <t>LOT 47 AIRPORT ESTATES</t>
  </si>
  <si>
    <t>DB-00004534 0000829</t>
  </si>
  <si>
    <t>1308 PARRY DR</t>
  </si>
  <si>
    <t>DB-00007965 0000848</t>
  </si>
  <si>
    <t>LOT 48 AIRPORT ESTATES</t>
  </si>
  <si>
    <t>DB-00002399 0000341</t>
  </si>
  <si>
    <t>1310 PARRY DR</t>
  </si>
  <si>
    <t>DB-00008819 0000417</t>
  </si>
  <si>
    <t>LOT 49 AIRPORT ESTATES</t>
  </si>
  <si>
    <t>DB-00001217 0000588</t>
  </si>
  <si>
    <t>0 PARRY DR</t>
  </si>
  <si>
    <t>DB-00007787 0000805</t>
  </si>
  <si>
    <t>LOT 50 AIRPORT ESTATES</t>
  </si>
  <si>
    <t>DB-00003863 0000527</t>
  </si>
  <si>
    <t>1314 PARRY DR</t>
  </si>
  <si>
    <t>DB-00007820 0000790</t>
  </si>
  <si>
    <t>LOT 51 AIRPORT ESTATES</t>
  </si>
  <si>
    <t>DB-00004378 0000436</t>
  </si>
  <si>
    <t>1316 PARRY DR</t>
  </si>
  <si>
    <t>DB-00007798 0000962</t>
  </si>
  <si>
    <t>LOT 52 AIRPORT ESTATES</t>
  </si>
  <si>
    <t>DB-00004617 0000452</t>
  </si>
  <si>
    <t>1320 PARRY DR</t>
  </si>
  <si>
    <t>DB-00007683 0000592</t>
  </si>
  <si>
    <t>LOT 54 AIRPORT ESTATES</t>
  </si>
  <si>
    <t>DB-00002695 0000339</t>
  </si>
  <si>
    <t>1322 PARRY DR</t>
  </si>
  <si>
    <t>DB-00007597 0000324</t>
  </si>
  <si>
    <t>LOT 55 AIRPORT ESTATES</t>
  </si>
  <si>
    <t>DB-00002907 0000314</t>
  </si>
  <si>
    <t>1324 PARRY DR</t>
  </si>
  <si>
    <t>DB-00007445 0000629</t>
  </si>
  <si>
    <t>LOT 56 AIRPORT ESTATES</t>
  </si>
  <si>
    <t>DB-00002806 0000233</t>
  </si>
  <si>
    <t>1326 PARRY DR</t>
  </si>
  <si>
    <t>DB-00007407 0000649</t>
  </si>
  <si>
    <t>LOT 57 AIRPORT ESTATES</t>
  </si>
  <si>
    <t>DB-00004569 0000107</t>
  </si>
  <si>
    <t>408 FORRESTER DR</t>
  </si>
  <si>
    <t>DB-00008029 0000118</t>
  </si>
  <si>
    <t>LOT 43 AIRPORT ESTATES</t>
  </si>
  <si>
    <t>DB-00001815 0000441</t>
  </si>
  <si>
    <t>1328 PARRY DR</t>
  </si>
  <si>
    <t>DB-00007443 0000536</t>
  </si>
  <si>
    <t>LOT 58 AIRPORT ESTATES</t>
  </si>
  <si>
    <t>DB-00004239 0000146</t>
  </si>
  <si>
    <t>1330 PARRY DR</t>
  </si>
  <si>
    <t>DB-00007453 0000002</t>
  </si>
  <si>
    <t>LOT 59 AIRPORT ESTATES</t>
  </si>
  <si>
    <t>DB-00004823 0000920</t>
  </si>
  <si>
    <t>1332 PARRY DR</t>
  </si>
  <si>
    <t>DB-00007407 0000647</t>
  </si>
  <si>
    <t>PT LOT 60 AIRPORT ESTATES</t>
  </si>
  <si>
    <t>1303 PARRY DR</t>
  </si>
  <si>
    <t>DB-00007970 0000412</t>
  </si>
  <si>
    <t>LOT 41 AIRPORT ESTATES</t>
  </si>
  <si>
    <t>DB-00002134 0000232</t>
  </si>
  <si>
    <t>1305 PARRY DR</t>
  </si>
  <si>
    <t>DB-00008047 0000081</t>
  </si>
  <si>
    <t>LOT 40 AIRPORT ESTATES</t>
  </si>
  <si>
    <t>DB-00004378 0000046</t>
  </si>
  <si>
    <t>1307 PARRY DR</t>
  </si>
  <si>
    <t>DB-00007975 0000259</t>
  </si>
  <si>
    <t>LOT 39 AIRPORT ESTATES</t>
  </si>
  <si>
    <t>DB-00004681 0000646</t>
  </si>
  <si>
    <t>410 FORRESTER DR</t>
  </si>
  <si>
    <t>DB-00007996 0000907</t>
  </si>
  <si>
    <t>LOT 42 AIRPORT ESTATES</t>
  </si>
  <si>
    <t>DB-00002150 0000267</t>
  </si>
  <si>
    <t>1309 PARRY DR</t>
  </si>
  <si>
    <t>DB-00009628 0000035</t>
  </si>
  <si>
    <t>LOT 38 AIRPORT ESTATES</t>
  </si>
  <si>
    <t>DB-00002014 0000255</t>
  </si>
  <si>
    <t>1311 PARRY DR</t>
  </si>
  <si>
    <t>DB-00007774 0000400</t>
  </si>
  <si>
    <t>LOT 37 AIRPORT ESTATES</t>
  </si>
  <si>
    <t>DB-00003964 0000149</t>
  </si>
  <si>
    <t>413 FORRESTER DR</t>
  </si>
  <si>
    <t>DB-00007980 0000772</t>
  </si>
  <si>
    <t>LOT 195 AIRPORT ESTATES</t>
  </si>
  <si>
    <t>DB-00001734 0000552</t>
  </si>
  <si>
    <t>1313 PARRY DR</t>
  </si>
  <si>
    <t>DB-00007856 0000315</t>
  </si>
  <si>
    <t>LOT 36 AIRPORT ESTATES</t>
  </si>
  <si>
    <t>DB-00002744 0000079</t>
  </si>
  <si>
    <t>1315 PARRY DR</t>
  </si>
  <si>
    <t>DB-00007787 0000808</t>
  </si>
  <si>
    <t>LOT 35 AIRPORT ESTATES</t>
  </si>
  <si>
    <t>DB-00002536 0000533</t>
  </si>
  <si>
    <t>1319 PARRY DR</t>
  </si>
  <si>
    <t>DB-00007765 0000878</t>
  </si>
  <si>
    <t>LOT 33 AIRPORT ESTATES</t>
  </si>
  <si>
    <t>DB-00002706 0000061</t>
  </si>
  <si>
    <t>1321 PARRY DR</t>
  </si>
  <si>
    <t>DB-00008186 0000273</t>
  </si>
  <si>
    <t>LOT 32 AIRPORT ESTATES</t>
  </si>
  <si>
    <t>DB-00003402 0000327</t>
  </si>
  <si>
    <t>1323 PARRY DR</t>
  </si>
  <si>
    <t>DB-00007600 0000474</t>
  </si>
  <si>
    <t>LOT 31 AIRPORT ESTATES</t>
  </si>
  <si>
    <t>DB-00004878 0000920</t>
  </si>
  <si>
    <t>1325 PARRY DR</t>
  </si>
  <si>
    <t>DB-00007407 0000653</t>
  </si>
  <si>
    <t>LOT 30 AIRPORT ESTATES</t>
  </si>
  <si>
    <t>DB-00004820 0000333</t>
  </si>
  <si>
    <t>1327 PARRY DR</t>
  </si>
  <si>
    <t>DB-00007412 0000391</t>
  </si>
  <si>
    <t>LOT 29 AIRPORT ESTATES</t>
  </si>
  <si>
    <t>DB-00004210 0000350</t>
  </si>
  <si>
    <t>1329 PARRY DR</t>
  </si>
  <si>
    <t>DB-00007398 0000453</t>
  </si>
  <si>
    <t>LOT 28 AIRPORT ESTATES</t>
  </si>
  <si>
    <t>DB-00003942 0000465</t>
  </si>
  <si>
    <t>1331 PARRY DR</t>
  </si>
  <si>
    <t>DB-00007460 0000269</t>
  </si>
  <si>
    <t>LOT 27 AIRPORT ESTATES</t>
  </si>
  <si>
    <t>DB-00004852 0000017</t>
  </si>
  <si>
    <t>1333 PARRY DR</t>
  </si>
  <si>
    <t>DB-00007424 0000681</t>
  </si>
  <si>
    <t>PT LOTS 25 &amp; 26 AIRPORT ESTATES</t>
  </si>
  <si>
    <t>1300 CURREY RD</t>
  </si>
  <si>
    <t>DB-00008076 0000501</t>
  </si>
  <si>
    <t>LOT 1 AIRPORT ESTATES</t>
  </si>
  <si>
    <t>DB-00004682 0000285</t>
  </si>
  <si>
    <t>1302 CURREY RD</t>
  </si>
  <si>
    <t>RD-00008195 0000777</t>
  </si>
  <si>
    <t>LOT 2 AIRPORT ESTATES</t>
  </si>
  <si>
    <t>DB-00002860 0000287</t>
  </si>
  <si>
    <t>1306 CURREY RD</t>
  </si>
  <si>
    <t>DB-00008029 0000121</t>
  </si>
  <si>
    <t>LOT 4 AIRPORT ESTATES</t>
  </si>
  <si>
    <t>DB-00004202 0000237</t>
  </si>
  <si>
    <t>415 FORRESTER DR</t>
  </si>
  <si>
    <t>DB-00007970 0000410</t>
  </si>
  <si>
    <t>LOT 196 AIRPORT ESTATES</t>
  </si>
  <si>
    <t>DB-00004367 0000863</t>
  </si>
  <si>
    <t>1308 CURREY RD</t>
  </si>
  <si>
    <t>DB-00008010 0000034</t>
  </si>
  <si>
    <t>LOT 5 AIRPORT ESTATES</t>
  </si>
  <si>
    <t>DB-00004508 0000827</t>
  </si>
  <si>
    <t>1310 CURREY RD</t>
  </si>
  <si>
    <t>DB-00007666 0000664</t>
  </si>
  <si>
    <t>LOT 6 AIRPORT ESTATES</t>
  </si>
  <si>
    <t>DB-00003158 0000640</t>
  </si>
  <si>
    <t>1312 CURREY RD</t>
  </si>
  <si>
    <t>DB-00007646 0000274</t>
  </si>
  <si>
    <t>LOT 7 AIRPORT ESTATES</t>
  </si>
  <si>
    <t>DB-00004803 0000515</t>
  </si>
  <si>
    <t>1314 CURREY RD</t>
  </si>
  <si>
    <t>DB-00007430 0000694</t>
  </si>
  <si>
    <t>LOT 8 AIRPORT ESTATES</t>
  </si>
  <si>
    <t>DB-00004448 0000829</t>
  </si>
  <si>
    <t>1316 CURREY RD</t>
  </si>
  <si>
    <t>DB-00007747 0000604</t>
  </si>
  <si>
    <t>LOT 9 AIRPORT ESTATES</t>
  </si>
  <si>
    <t>DB-00001637 0000211</t>
  </si>
  <si>
    <t>1318 CURREY RD</t>
  </si>
  <si>
    <t>DB-00007602 0000045</t>
  </si>
  <si>
    <t>LOT 10 AIRPORT ESTATES</t>
  </si>
  <si>
    <t>DB-00003648 0000397</t>
  </si>
  <si>
    <t>1320 CURREY RD</t>
  </si>
  <si>
    <t>DB-00007597 0000321</t>
  </si>
  <si>
    <t>LOT 11 AIRPORT ESTATES</t>
  </si>
  <si>
    <t>DB-00004229 0000569</t>
  </si>
  <si>
    <t>1322 CURREY RD</t>
  </si>
  <si>
    <t>DB-00007408 0000978</t>
  </si>
  <si>
    <t>LOT 12 AIRPORT ESTATES</t>
  </si>
  <si>
    <t>DB-00002493 0000528</t>
  </si>
  <si>
    <t>1324 CURREY RD</t>
  </si>
  <si>
    <t>DB-00007388 0000984</t>
  </si>
  <si>
    <t>LOT 13 AIRPORT ESTATES</t>
  </si>
  <si>
    <t>DB-00004640 0000811</t>
  </si>
  <si>
    <t>1326 CURREY RD</t>
  </si>
  <si>
    <t>DB-00007426 0000741</t>
  </si>
  <si>
    <t>LOT 14 AIRPORT ESTATES</t>
  </si>
  <si>
    <t>DB-00001764 0000013</t>
  </si>
  <si>
    <t>1328 CURREY RD</t>
  </si>
  <si>
    <t>DB-00007475 0000021</t>
  </si>
  <si>
    <t>PT LOT 15 AIRPORT ESTATES</t>
  </si>
  <si>
    <t>0 KNIGHTS OF COLUMBUS BLVD</t>
  </si>
  <si>
    <t>LOT 1 METROPOLITAN NASHVILLE AIRPORT AUTHORITY</t>
  </si>
  <si>
    <t>325 KNIGHT VALLEY DR</t>
  </si>
  <si>
    <t>DB-00007383 0000670</t>
  </si>
  <si>
    <t>PT LOT 102 AIRPORT ESTATES</t>
  </si>
  <si>
    <t>1334 PARRY DR</t>
  </si>
  <si>
    <t>DB-00007405 0000450</t>
  </si>
  <si>
    <t>PT LOT 61 AIRPORT ESTATES</t>
  </si>
  <si>
    <t>1600 MURFREESBORO PIKE</t>
  </si>
  <si>
    <t>QC-00008376 0000839</t>
  </si>
  <si>
    <t>LOT 8 METROPOLITAN NASHVILLE AIRPORT AUTHORITY</t>
  </si>
  <si>
    <t>1430 PULLEY RD</t>
  </si>
  <si>
    <t>LOT 7 METROPOLITAN NASHVILLE AIRPORT AUTHORITY</t>
  </si>
  <si>
    <t>100 ARBOR CREEK BLVD</t>
  </si>
  <si>
    <t>W OF BRILEY PARKWAY S OF DABBS AVE</t>
  </si>
  <si>
    <t>DB-00005169 0000821</t>
  </si>
  <si>
    <t>QC-20010709 0073096</t>
  </si>
  <si>
    <t>LOT 4 METROPOLITAN NASHVILLE AIRPORT AUTHORITY</t>
  </si>
  <si>
    <t>701 DONELSON PIKE</t>
  </si>
  <si>
    <t>QC-20070309 0029370</t>
  </si>
  <si>
    <t>PT OF LOT 5 METROPOLITAN NASHVILLE AIRPORT AUTHORITY</t>
  </si>
  <si>
    <t>DB-20230127 0006343</t>
  </si>
  <si>
    <t>1 TERMINAL DR</t>
  </si>
  <si>
    <t>PT OF LOT 3 METROPOLITAN NASHVILLE AIRPORT AUTHORITY</t>
  </si>
  <si>
    <t>1330 DONELSON PIKE</t>
  </si>
  <si>
    <t>QC-00008661 0000492</t>
  </si>
  <si>
    <t>136 JACKSONIAN DR</t>
  </si>
  <si>
    <t>LOT 1 C.U.D. II CONSOLIDATION</t>
  </si>
  <si>
    <t>PL-20070119 0007909</t>
  </si>
  <si>
    <t>205 DOWNEYMEADE DR</t>
  </si>
  <si>
    <t>DB-20190516 0046448</t>
  </si>
  <si>
    <t>LOT 248 SEC 4, STANFORD COUNTRY CLUB ESTATES</t>
  </si>
  <si>
    <t>DB-00003342 0000601</t>
  </si>
  <si>
    <t>0 STONES RIVER RD</t>
  </si>
  <si>
    <t>DB-20120120 0005880</t>
  </si>
  <si>
    <t>S SIDE STONES RIVER RD W OF LEBANON PK</t>
  </si>
  <si>
    <t>DB-00003374 0000566</t>
  </si>
  <si>
    <t>3401 CENTRAL PIKE</t>
  </si>
  <si>
    <t>N SIDE STONES RIVER RD W OF EVERSONG LN</t>
  </si>
  <si>
    <t>QC-20120203 0009779</t>
  </si>
  <si>
    <t>0 LEBANON PIKE</t>
  </si>
  <si>
    <t>NW CORNER LEBANON PK &amp; DOWNEYMEADE DR</t>
  </si>
  <si>
    <t>DB-00006289 0000420</t>
  </si>
  <si>
    <t>0 BONNAFAIR DR</t>
  </si>
  <si>
    <t>CR-20170711 0069662</t>
  </si>
  <si>
    <t>RES LOT SEC 7 HERMITAGE HILLS</t>
  </si>
  <si>
    <t>PL-00003300 0000062</t>
  </si>
  <si>
    <t>0 LINDEN GRN</t>
  </si>
  <si>
    <t>DB-00008153 0000557</t>
  </si>
  <si>
    <t>PT LOT 144 HERMITAGE HILLS SEC 12</t>
  </si>
  <si>
    <t>PL-00005210 0000119</t>
  </si>
  <si>
    <t>4031 PLANTATION DR</t>
  </si>
  <si>
    <t>DB-00005245 0000077</t>
  </si>
  <si>
    <t>S W COR OLD HICKORY BLVD &amp; PLANTATION DRIVE</t>
  </si>
  <si>
    <t>DB-00002694 0000514</t>
  </si>
  <si>
    <t>3701 JAMES KAY LN</t>
  </si>
  <si>
    <t>DB-00010188 0000843</t>
  </si>
  <si>
    <t>N W COR OF CENTRAL PK &amp; DODSON CHAPEL RD</t>
  </si>
  <si>
    <t>DB-00010172 0000981</t>
  </si>
  <si>
    <t>8017 BONNAFAIR DR</t>
  </si>
  <si>
    <t>DB-00003428 0000263A</t>
  </si>
  <si>
    <t>LOT 664 SEC 7 HERMITAGE HILLS</t>
  </si>
  <si>
    <t>DB-00003428 0000263</t>
  </si>
  <si>
    <t>4940 OLD HICKORY BLVD</t>
  </si>
  <si>
    <t>DB-00003922 0000468</t>
  </si>
  <si>
    <t>HERMITAGE SUB-STA. SITE</t>
  </si>
  <si>
    <t>306 JACKSONIAN DR</t>
  </si>
  <si>
    <t>DB-00002928 0000524</t>
  </si>
  <si>
    <t>LOT 13 SEC 1 HERMITAGE HILLS</t>
  </si>
  <si>
    <t>3009 BRANDAU RD</t>
  </si>
  <si>
    <t>DB-00007865 0000585</t>
  </si>
  <si>
    <t>E. SIDE BRANDAU RD. S. OF L. &amp; N. R. R.</t>
  </si>
  <si>
    <t>DB-00004503 0000179</t>
  </si>
  <si>
    <t>219 STEWARTS FERRY PIKE</t>
  </si>
  <si>
    <t>DB-00005668 0000035</t>
  </si>
  <si>
    <t>N/E COR STEWARTS FERRY PIKE &amp; T C R R R.O.W.</t>
  </si>
  <si>
    <t>DB-20050309 0026288</t>
  </si>
  <si>
    <t>0 HOGGETT FORD RD</t>
  </si>
  <si>
    <t>N SIDE HOGGETT FORD RD E OF BRANDAU RD</t>
  </si>
  <si>
    <t>DB-00004491 0000936</t>
  </si>
  <si>
    <t>1266 STONES RIVER RD</t>
  </si>
  <si>
    <t>DB-20130114 0004447</t>
  </si>
  <si>
    <t>END OF STONES RIVER RD W OF LEBANON PK</t>
  </si>
  <si>
    <t>QC-20100226 0014830</t>
  </si>
  <si>
    <t>METRO GOV'T  P  STONES RIVER RD-GREENWAY</t>
  </si>
  <si>
    <t>DB-20001017 0103103</t>
  </si>
  <si>
    <t>S/S STONES RIVER ROAD N/S STONES RIVER</t>
  </si>
  <si>
    <t>DB-00005606 0000838</t>
  </si>
  <si>
    <t>1203 STONES RIVER RD</t>
  </si>
  <si>
    <t>DB-00002901 0000437</t>
  </si>
  <si>
    <t>1015 STONES RIVER RD</t>
  </si>
  <si>
    <t>DB-20070209 0017444</t>
  </si>
  <si>
    <t>S W CORNER LEBANON PK &amp; STONES RIVER RD</t>
  </si>
  <si>
    <t>OR-02009551 0000000</t>
  </si>
  <si>
    <t>1014 STONES RIVER RD</t>
  </si>
  <si>
    <t>LOT 1 CENTRAL PIKE ROW DEDICATION</t>
  </si>
  <si>
    <t>PL-20080902 0089494</t>
  </si>
  <si>
    <t>3300 LEBANON PIKE</t>
  </si>
  <si>
    <t>LOT 2 CENTRAL PIKE ROW DEDICATION</t>
  </si>
  <si>
    <t>431 TYLER DR</t>
  </si>
  <si>
    <t>DB-00003222 0000525</t>
  </si>
  <si>
    <t>W/S ANDREW JACKSON PKWY N/S TYLER LANE</t>
  </si>
  <si>
    <t>OR-00791323 0000000</t>
  </si>
  <si>
    <t>3800 PLANTATION DR</t>
  </si>
  <si>
    <t>METRO GOV'T  S  HERMITAGE</t>
  </si>
  <si>
    <t>DB-00003183 0000536</t>
  </si>
  <si>
    <t>N W COR PLANTATION DR &amp; BONNABROOK DR SEC 5 HERMITAGE HILLS</t>
  </si>
  <si>
    <t>QC-20190910 0091355</t>
  </si>
  <si>
    <t>6020 PANAMA DR</t>
  </si>
  <si>
    <t>LOT 1 C.U.D. I</t>
  </si>
  <si>
    <t>PL-20060818 0102112</t>
  </si>
  <si>
    <t>0 PANAMA DR</t>
  </si>
  <si>
    <t>LOT 2 C.U.D. I</t>
  </si>
  <si>
    <t>710 JOBEE CREEK CV</t>
  </si>
  <si>
    <t>DB-00004837 0000267</t>
  </si>
  <si>
    <t>N OF STEWARTS FERRY PIKE AND, W OF DODSON CHAPEL ROAD</t>
  </si>
  <si>
    <t>6024 PANAMA DR</t>
  </si>
  <si>
    <t>LOT 3 C.U.D. I</t>
  </si>
  <si>
    <t>3908 BONNAFIELD CT</t>
  </si>
  <si>
    <t>LOT 131 SEC 1 HERMITAGE HILLS</t>
  </si>
  <si>
    <t>DB-00004699 0000617</t>
  </si>
  <si>
    <t>4016 ANDREW JACKSON WAY</t>
  </si>
  <si>
    <t>DB-00010087 0000570</t>
  </si>
  <si>
    <t>130 NESTOR ST</t>
  </si>
  <si>
    <t>LOT 6 SULLIVAN COMMERCIAL CENTER SEC. 5</t>
  </si>
  <si>
    <t>OR-00009177 0000000</t>
  </si>
  <si>
    <t>DB-00011621 0000773</t>
  </si>
  <si>
    <t>RES PAR B" CUMBERLAND TRACE"</t>
  </si>
  <si>
    <t>PL-00005200 0000700</t>
  </si>
  <si>
    <t>0 MARRIOTT DR</t>
  </si>
  <si>
    <t>DB-00010228 0000025</t>
  </si>
  <si>
    <t>LOT 2 CENTURY CROSSROADS</t>
  </si>
  <si>
    <t>PL-00009700 0000575</t>
  </si>
  <si>
    <t>0 MASSMAN DR</t>
  </si>
  <si>
    <t>QC-20150813 0081001</t>
  </si>
  <si>
    <t>BUCHANAN STATION CEMETERY</t>
  </si>
  <si>
    <t>2714 OLD LEBANON PIKE</t>
  </si>
  <si>
    <t>DB-20190328 0028132</t>
  </si>
  <si>
    <t>LOT 2 DONELSON PLAZA SHOPPING CENTER</t>
  </si>
  <si>
    <t>OR-20181286 0000000</t>
  </si>
  <si>
    <t>2471 PENNINGTON BEND RD</t>
  </si>
  <si>
    <t>DB-20131227 0130502</t>
  </si>
  <si>
    <t>LOTS 113-117 RIVERVIEW SUB &amp; ADJ TRACT TO NORTH</t>
  </si>
  <si>
    <t>CO-20051208 0147780</t>
  </si>
  <si>
    <t>3005 FERNBROOK LN</t>
  </si>
  <si>
    <t>DB-20090820 0078432</t>
  </si>
  <si>
    <t>S/S FERNBROOK LANE-E. OF WINDEMERE CIRCLE</t>
  </si>
  <si>
    <t>DB-20021009 0123089</t>
  </si>
  <si>
    <t>CR-20110419 0030285</t>
  </si>
  <si>
    <t>RES PAR A" CUMBERLAND TRACE"</t>
  </si>
  <si>
    <t>0 RENEE DR</t>
  </si>
  <si>
    <t>DB-00004940 0000766</t>
  </si>
  <si>
    <t>PT LOTS 39 &amp; 40 SEC 2 SUNNY ACRES</t>
  </si>
  <si>
    <t>DB-00004354 0000241</t>
  </si>
  <si>
    <t>0 BRILEY PKWY</t>
  </si>
  <si>
    <t>CR-20140214 0012995</t>
  </si>
  <si>
    <t>E/S BRILEY PARKWAY</t>
  </si>
  <si>
    <t>DB-00005091 0000122</t>
  </si>
  <si>
    <t>0 HICKORY HILL CT</t>
  </si>
  <si>
    <t>CR-20220602 0063780</t>
  </si>
  <si>
    <t>RES LOT A  BIANCA SQUARE</t>
  </si>
  <si>
    <t>PL-00005200 0000661</t>
  </si>
  <si>
    <t>0 AIR LANE DR</t>
  </si>
  <si>
    <t>CR-20100429 0032781</t>
  </si>
  <si>
    <t>S/E COR AIR LANE DR &amp; ELM HILL PK</t>
  </si>
  <si>
    <t>PL-00005800 0000359</t>
  </si>
  <si>
    <t>2781 PENNINGTON BEND RD</t>
  </si>
  <si>
    <t>METRO GOV'T  F  ENGINE CO. #15</t>
  </si>
  <si>
    <t>DB-00005436 0000649</t>
  </si>
  <si>
    <t>E OF PENNINGTON BEND RD &amp;, N OF PLEASANT GREEN RD</t>
  </si>
  <si>
    <t>DB-00004106 0000946</t>
  </si>
  <si>
    <t>2394 LEBANON PIKE</t>
  </si>
  <si>
    <t>DB-00005219 0000266</t>
  </si>
  <si>
    <t>PT LOTS 4 &amp; 5 STANFORDS SUB LANNOM</t>
  </si>
  <si>
    <t>DB-00005216 0000266</t>
  </si>
  <si>
    <t>2315 LEBANON PIKE</t>
  </si>
  <si>
    <t>METRO GOV'T  L  DONELSON BRANCH</t>
  </si>
  <si>
    <t>DB-00003673 0000567</t>
  </si>
  <si>
    <t>LOT 11 MERRY OAKS</t>
  </si>
  <si>
    <t>METRO GOV'T  M  METRO TRANSIT AUTHORITY</t>
  </si>
  <si>
    <t>DB-20101230 0103925</t>
  </si>
  <si>
    <t>LOT 1 METRO TRANSIT AUTHORITY CONSOLIDATION PLAT</t>
  </si>
  <si>
    <t>PL-20100729 0059272</t>
  </si>
  <si>
    <t>295 DRIFTWOOD ST</t>
  </si>
  <si>
    <t>DB-00008410 0000150</t>
  </si>
  <si>
    <t>PT LOTS 4 5 6 OXMORE TRACT</t>
  </si>
  <si>
    <t>2410 MCGAVOCK PIKE</t>
  </si>
  <si>
    <t>QC-20170622 0063043</t>
  </si>
  <si>
    <t>S SIDE MCGAVOCK PK E OF CUMBERLAND RIVER</t>
  </si>
  <si>
    <t>OR-00081806 0000000</t>
  </si>
  <si>
    <t>2400 MCGAVOCK PIKE</t>
  </si>
  <si>
    <t>QC-20170622 0063048</t>
  </si>
  <si>
    <t>W OF PENNINGTON BEND RD E/S CUMBERLAND RIVER</t>
  </si>
  <si>
    <t>0 MICHAEL DR</t>
  </si>
  <si>
    <t>DB-00004623 0000585</t>
  </si>
  <si>
    <t>PT RES STRIP BLUEFIELDS SUB</t>
  </si>
  <si>
    <t>0 DAVID DR</t>
  </si>
  <si>
    <t>DB-00004633 0000589</t>
  </si>
  <si>
    <t>S OF DAVID DR E OF GRAYLYNN DR</t>
  </si>
  <si>
    <t>1201 FREIGHTLINER DR</t>
  </si>
  <si>
    <t>OPEN STORAGE</t>
  </si>
  <si>
    <t>METRO GOV'T  M  POLICE</t>
  </si>
  <si>
    <t>DB-00010164 0000174</t>
  </si>
  <si>
    <t>S OF PUMPING STATION RD W OF L&amp;N R.R.</t>
  </si>
  <si>
    <t>0 CUMBERLAND CIR</t>
  </si>
  <si>
    <t>DB-00004633 0000585</t>
  </si>
  <si>
    <t>PT RES STRIP BLUEFIELDS N OF CUMBERLAND CIR W OF DONELSON PK</t>
  </si>
  <si>
    <t>DB-00006508 0000070</t>
  </si>
  <si>
    <t>2836 DONNA HILL DR</t>
  </si>
  <si>
    <t>DB-00002598 0000127</t>
  </si>
  <si>
    <t>LOT 410 SEC 2 SUNSET VIEW SUB</t>
  </si>
  <si>
    <t>2271 RIDGELAND DR</t>
  </si>
  <si>
    <t>DB-00004529 0000733</t>
  </si>
  <si>
    <t>AT END OF RIDGELAND DR &amp; E OF BRILEY PARKWAY</t>
  </si>
  <si>
    <t>629 TRUXTON CT</t>
  </si>
  <si>
    <t>DB-00003368 0000564</t>
  </si>
  <si>
    <t>LOT 92 SEC 1 HICKORY BEND</t>
  </si>
  <si>
    <t>737 LEBANON PIKE</t>
  </si>
  <si>
    <t>DB-00001580 0000141</t>
  </si>
  <si>
    <t>LTS 7 THRU 19 HOSTETTLER SUB &amp; LD S OF LEBANON P W FESSLER L</t>
  </si>
  <si>
    <t>701 LEBANON PIKE</t>
  </si>
  <si>
    <t>DB-00001675 0000385</t>
  </si>
  <si>
    <t>S OF LEBANON PIKE W OF FESSLERS LANE</t>
  </si>
  <si>
    <t>2361 ELM HILL PIKE</t>
  </si>
  <si>
    <t>DB-00002157 0000251</t>
  </si>
  <si>
    <t>S/S ELM HILL PK WEST OF MCGAVOCK PK</t>
  </si>
  <si>
    <t>2821 TWIN LAWN DR</t>
  </si>
  <si>
    <t>DB-00002392 0000395</t>
  </si>
  <si>
    <t>LOT 152 TWIN LAWN</t>
  </si>
  <si>
    <t>728 MASSMAN DR</t>
  </si>
  <si>
    <t>DB-00004183 0000984</t>
  </si>
  <si>
    <t>LOT 2 METRO. IND. PARK SEC. 14</t>
  </si>
  <si>
    <t>2218 DEARBORN DR</t>
  </si>
  <si>
    <t>DB-00002276 0000505</t>
  </si>
  <si>
    <t>LOT 116 WALNUT GROVE</t>
  </si>
  <si>
    <t>0 MCCAMPBELL AVE</t>
  </si>
  <si>
    <t>DB-00002017 0000459</t>
  </si>
  <si>
    <t>1214 CHURCH ST C/O MR TIM KINKEAD</t>
  </si>
  <si>
    <t>N W COR MCCAMPBELL AV &amp; STEWARTS FERRY PK</t>
  </si>
  <si>
    <t>DB-20050309 0026287</t>
  </si>
  <si>
    <t>2624 PENNINGTON BEND RD</t>
  </si>
  <si>
    <t>DB-00003922 0000476</t>
  </si>
  <si>
    <t>S. OF PENNINGTON BEND ROAD E. SIDE OF BRILEY PARKWAY</t>
  </si>
  <si>
    <t>QC-20010711 0073980</t>
  </si>
  <si>
    <t>1926 LEBANON PIKE</t>
  </si>
  <si>
    <t>DB-00002902 0000167</t>
  </si>
  <si>
    <t>LOT 3 CREEKSIDE HGTS</t>
  </si>
  <si>
    <t>0 MCCRORY CREEK RD</t>
  </si>
  <si>
    <t>DB-00005414 0000273</t>
  </si>
  <si>
    <t>W/S MCCRORY CREEK RD N ELM HILL PK</t>
  </si>
  <si>
    <t>OR-00096212 0000000</t>
  </si>
  <si>
    <t>1628 ELM HILL PIKE</t>
  </si>
  <si>
    <t>DB-20021112 0139988</t>
  </si>
  <si>
    <t>N. SIDE ELM HILL PIKE W OF MASSMAN DRIVE</t>
  </si>
  <si>
    <t>DB-00004006 0000170</t>
  </si>
  <si>
    <t>3101 HEARTLAND DR</t>
  </si>
  <si>
    <t>0 TWO RIVERS CT</t>
  </si>
  <si>
    <t>METRO GOV'T  P  TWO RIVERS</t>
  </si>
  <si>
    <t>DB-00004087 0000007</t>
  </si>
  <si>
    <t>W. OF MCGAVOCK PIKE N. OF WINDEMERE DRIVE</t>
  </si>
  <si>
    <t>2320 TWO RIVERS PKWY</t>
  </si>
  <si>
    <t>W. OF MCGAVOCK PIKE W. OF WINDEMERE DRIVE</t>
  </si>
  <si>
    <t>W. SIDE MCGAVOCK PIKE N. OF WINDEMERE DRIVE</t>
  </si>
  <si>
    <t>3130 MCGAVOCK PIKE</t>
  </si>
  <si>
    <t>W SIDE MCGAVOCK PK N OF WINDEMERE DR</t>
  </si>
  <si>
    <t>DB-00002905 0000331</t>
  </si>
  <si>
    <t>S/END OF TWO RIVERS CT W OF BRILEY PW</t>
  </si>
  <si>
    <t>W/S MCGAVOCK PK N MARRIOTT DR</t>
  </si>
  <si>
    <t>0 DONELSON PIKE</t>
  </si>
  <si>
    <t>OR-00791250 0000000</t>
  </si>
  <si>
    <t>LOT D ADD'N TO LOTS 82-107-108-109 PERRY HEIGHTS</t>
  </si>
  <si>
    <t>PL-00005210 0000318</t>
  </si>
  <si>
    <t>STATE OTHER THAN OFC, SCHOOL, HOSP, OR PARK</t>
  </si>
  <si>
    <t>DB-00000267 0000218</t>
  </si>
  <si>
    <t>S/S LEBANON PK N/S STEWARTS FERRY PK</t>
  </si>
  <si>
    <t>DB-00001713 0000090</t>
  </si>
  <si>
    <t>110 STEWARTS FERRY PIKE</t>
  </si>
  <si>
    <t>METRO GOV'T  S  DONELSON HIGH</t>
  </si>
  <si>
    <t>DB-00002439 0000241</t>
  </si>
  <si>
    <t>LOT 1 HICKMAN SCHOOL SUB</t>
  </si>
  <si>
    <t>PL-00009700 0000826</t>
  </si>
  <si>
    <t>500 SPENCE LN</t>
  </si>
  <si>
    <t>METRO GOV'T  S  MARGARET ALLEN</t>
  </si>
  <si>
    <t>DB-00003672 0000561</t>
  </si>
  <si>
    <t>LOT 1 MARGARET ALLEN SCHOOL CONSOLIDATION PLAT</t>
  </si>
  <si>
    <t>PL-20010406 0033648</t>
  </si>
  <si>
    <t>275 MCGAVOCK PIKE</t>
  </si>
  <si>
    <t>METRO GOV'T  S  MCGAVOCK ELEM.</t>
  </si>
  <si>
    <t>DB-00002332 0000349</t>
  </si>
  <si>
    <t>E SIDE MCGAVOCK PK &amp; S OF TAMWORTH DRIVE</t>
  </si>
  <si>
    <t>3150 MCGAVOCK PIKE</t>
  </si>
  <si>
    <t>METRO GOV'T  S  MCGAVOCK HIGH</t>
  </si>
  <si>
    <t>1113 ELM HILL PIKE</t>
  </si>
  <si>
    <t>METRO GOV'T  S  MT. ZENO</t>
  </si>
  <si>
    <t>DB-00001783 0000049</t>
  </si>
  <si>
    <t>S SIDE ELM HILL PIKE E OF TRANSIT AVE</t>
  </si>
  <si>
    <t>2817 DONNA HILL DR</t>
  </si>
  <si>
    <t>METRO GOV'T  S  PENNINGTON BEND</t>
  </si>
  <si>
    <t>DB-00002645 0000053</t>
  </si>
  <si>
    <t>INTERSECTION DONNA HILLS &amp; WILFORD DR</t>
  </si>
  <si>
    <t>2417 MAPLECREST DR</t>
  </si>
  <si>
    <t>METRO GOV'T  S  STANFORD</t>
  </si>
  <si>
    <t>DB-00002086 0000468</t>
  </si>
  <si>
    <t>S W CORNER OF MAPLECREST DR &amp; FAIRWAY DRMAPLECREST</t>
  </si>
  <si>
    <t>2991 MCGAVOCK PIKE</t>
  </si>
  <si>
    <t>METRO GOV'T  S  TWO RIVERS</t>
  </si>
  <si>
    <t>DB-00002859 0000055</t>
  </si>
  <si>
    <t>LOT 9 SEC 3 SUNSET VIEW &amp; ACREAGE TRACT</t>
  </si>
  <si>
    <t>2811 PENNINGTON BEND RD</t>
  </si>
  <si>
    <t>DB-20120123 0006106</t>
  </si>
  <si>
    <t>LOT 90 RIVERVIEW SUB</t>
  </si>
  <si>
    <t>DB-00005471 0000287</t>
  </si>
  <si>
    <t>2807 PENNINGTON BEND RD</t>
  </si>
  <si>
    <t>DB-20120210 0011912</t>
  </si>
  <si>
    <t>LOT 1 RIVERVIEW RESUB LOTS 86 &amp; 87</t>
  </si>
  <si>
    <t>PL-20091120 0107013</t>
  </si>
  <si>
    <t>2708 A OLD LEBANON PIKE</t>
  </si>
  <si>
    <t>DB-00002699 0000507</t>
  </si>
  <si>
    <t>W OF CRESTWOOD RD N OF OLD LEBANON PIKE</t>
  </si>
  <si>
    <t>720 VISCO DR</t>
  </si>
  <si>
    <t>DB-00005395 0000531</t>
  </si>
  <si>
    <t>N/S VISCO DR W OF VISCO CT</t>
  </si>
  <si>
    <t>402 DRIFTWOOD ST</t>
  </si>
  <si>
    <t>DB-00009043 0000261</t>
  </si>
  <si>
    <t>LOT 1 METRO GOV'T METRO TRANSIT AUTHORITY SUB</t>
  </si>
  <si>
    <t>PL-00008250 0000321</t>
  </si>
  <si>
    <t>3181 HEARTLAND DR</t>
  </si>
  <si>
    <t>DB-00004454 0000233</t>
  </si>
  <si>
    <t>END OF STONE RIVER RD. E. OF WINDEMERE CIRCLE</t>
  </si>
  <si>
    <t>CR-00004454 0000230</t>
  </si>
  <si>
    <t>0 OMOHUNDRO PL</t>
  </si>
  <si>
    <t>DB-20061229 0160526</t>
  </si>
  <si>
    <t>LOT 2 FITZPATRICK PROPERTY</t>
  </si>
  <si>
    <t>PL-20061016 0127937</t>
  </si>
  <si>
    <t>2665 MIAMI AVE</t>
  </si>
  <si>
    <t>DB-20120109 0002089</t>
  </si>
  <si>
    <t>LOT 32 GOTHARD SUB</t>
  </si>
  <si>
    <t>DB-00001808 0000187</t>
  </si>
  <si>
    <t>2663 MIAMI AVE</t>
  </si>
  <si>
    <t>DB-20120109 0002090</t>
  </si>
  <si>
    <t>LOT 31 GOTHARD SUB</t>
  </si>
  <si>
    <t>DB-00002091 0000460</t>
  </si>
  <si>
    <t>2657 MIAMI AVE</t>
  </si>
  <si>
    <t>DC-20120328 0026265</t>
  </si>
  <si>
    <t>P/O LOT 28 GOTHARD SUB.</t>
  </si>
  <si>
    <t>DB-00001682 0000259</t>
  </si>
  <si>
    <t>2641 MIAMI AVE</t>
  </si>
  <si>
    <t>DB-20120117 0004418</t>
  </si>
  <si>
    <t>P/O LOTS 20 &amp; 21 GOTHARD SUB</t>
  </si>
  <si>
    <t>QC-20100920 0074465</t>
  </si>
  <si>
    <t>2623 MIAMI AVE</t>
  </si>
  <si>
    <t>DB-20120103 0000343</t>
  </si>
  <si>
    <t>LOT 12 PT 11 &amp; 13 GOTHARD SUB &amp; PT CL ST</t>
  </si>
  <si>
    <t>DB-00006457 0000206</t>
  </si>
  <si>
    <t>2619 MIAMI AVE</t>
  </si>
  <si>
    <t>DB-20120130 0008222</t>
  </si>
  <si>
    <t>LOT 10 &amp; PT. LOT 11 GOTHARD SUB. &amp; PT. CLOSED STREET</t>
  </si>
  <si>
    <t>DB-00002140 0000040</t>
  </si>
  <si>
    <t>2673 MIAMI AVE</t>
  </si>
  <si>
    <t>DB-20120206 0010522</t>
  </si>
  <si>
    <t>LOT 36 GOTHARD SUB. &amp; PT. CLOSED STREET</t>
  </si>
  <si>
    <t>DB-00004852 0000729</t>
  </si>
  <si>
    <t>0 MIAMI AVE</t>
  </si>
  <si>
    <t>DB-20120206 0010523</t>
  </si>
  <si>
    <t>LOT 37 GOTHARD SUB. &amp; PT. CLOSED STREET</t>
  </si>
  <si>
    <t>2683 MIAMI AVE</t>
  </si>
  <si>
    <t>DB-20180614 0057175</t>
  </si>
  <si>
    <t>PT. LOT 41 GOTHARD SUB. &amp; PT. CLOSED STREET</t>
  </si>
  <si>
    <t>DB-00004533 0000305</t>
  </si>
  <si>
    <t>2685 MIAMI AVE</t>
  </si>
  <si>
    <t>DB-20120206 0010521</t>
  </si>
  <si>
    <t>DB-00002094 0000409</t>
  </si>
  <si>
    <t>2691 MIAMI AVE</t>
  </si>
  <si>
    <t>DB-20120224 0016154</t>
  </si>
  <si>
    <t>DB-00004348 0000304</t>
  </si>
  <si>
    <t>2677 MIAMI AVE</t>
  </si>
  <si>
    <t>DB-20120130 0008224</t>
  </si>
  <si>
    <t>LOTS 38, 39 &amp; 40 GOTHARD SUB. &amp; PT. CLOSED STREET</t>
  </si>
  <si>
    <t>DB-00004189 0000358</t>
  </si>
  <si>
    <t>2405 PENNINGTON BEND RD</t>
  </si>
  <si>
    <t>DB-20120629 0057110</t>
  </si>
  <si>
    <t>LOT 65 RIVERVIEW SUB</t>
  </si>
  <si>
    <t>DB-00004756 0000235</t>
  </si>
  <si>
    <t>2403 PENNINGTON BEND RD</t>
  </si>
  <si>
    <t>LOT 64 RIVERVIEW SUB</t>
  </si>
  <si>
    <t>2325 PENNINGTON BEND RD</t>
  </si>
  <si>
    <t>DB-20130312 0024392</t>
  </si>
  <si>
    <t>LOTS 45 &amp; 46 RIVER VIEW</t>
  </si>
  <si>
    <t>DB-00004253 0000744</t>
  </si>
  <si>
    <t>2323 PENNINGTON BEND RD</t>
  </si>
  <si>
    <t>DB-20120817 0073789</t>
  </si>
  <si>
    <t>LOTS 42-43-44 RIVER VIEW</t>
  </si>
  <si>
    <t>2319 B PENNINGTON BEND RD</t>
  </si>
  <si>
    <t>DB-20120507 0039140</t>
  </si>
  <si>
    <t>LOT 38 RIVER VIEW</t>
  </si>
  <si>
    <t>DB-00004502 0000662</t>
  </si>
  <si>
    <t>2319 A PENNINGTON BEND RD</t>
  </si>
  <si>
    <t>LOT 37 RIVER VIEW</t>
  </si>
  <si>
    <t>2214 PENNINGTON BEND RD</t>
  </si>
  <si>
    <t>DB-20120620 0054100</t>
  </si>
  <si>
    <t>LOTS 17 &amp; 18 &amp; PT LOT 19 RIVER VIEW</t>
  </si>
  <si>
    <t>DB-00001345 0000194</t>
  </si>
  <si>
    <t>2325 A PENNINGTON BEND RD</t>
  </si>
  <si>
    <t>DB-20120626 0055891</t>
  </si>
  <si>
    <t>LOTS 34-35-36 RIVER VIEW</t>
  </si>
  <si>
    <t>2425 PENNINGTON BEND RD</t>
  </si>
  <si>
    <t>DB-20120103 0000339</t>
  </si>
  <si>
    <t>LOTS 78&amp;79 RIVERVIEW SUB</t>
  </si>
  <si>
    <t>2411 PENNINGTON BEND RD</t>
  </si>
  <si>
    <t>DB-20120618 0053128</t>
  </si>
  <si>
    <t>PT LOT 71 RIVERVIEW SUB</t>
  </si>
  <si>
    <t>DB-00004791 0000223</t>
  </si>
  <si>
    <t>2533 MIAMI AVE</t>
  </si>
  <si>
    <t>DB-20120227 0016554</t>
  </si>
  <si>
    <t>LOTS 13-14-15 MCCROLEY SUB</t>
  </si>
  <si>
    <t>2813 PENNINGTON BEND RD</t>
  </si>
  <si>
    <t>DB-20120123 0006107</t>
  </si>
  <si>
    <t>LOT 91 RIVERVIEW SUB</t>
  </si>
  <si>
    <t>2507 MIAMI AVE</t>
  </si>
  <si>
    <t>DB-20120130 0008228</t>
  </si>
  <si>
    <t>PT LOTS 1 &amp; 2 M C MCCROLEY SUB</t>
  </si>
  <si>
    <t>2505 MIAMI AVE</t>
  </si>
  <si>
    <t>DB-20120130 0008229</t>
  </si>
  <si>
    <t>LOT 25 &amp; PT 1 MCCAULEYS SUB &amp; ADDN TRACT</t>
  </si>
  <si>
    <t>DB-20000821 0082518</t>
  </si>
  <si>
    <t>2447 PENNINGTON BEND RD</t>
  </si>
  <si>
    <t>DB-20180703 0064549</t>
  </si>
  <si>
    <t>LOT 112 RIVER VIEW SUB</t>
  </si>
  <si>
    <t>DB-00003570 0000332</t>
  </si>
  <si>
    <t>2445 PENNINGTON BEND RD</t>
  </si>
  <si>
    <t>DB-20180703 0064553</t>
  </si>
  <si>
    <t>LOTS 110 &amp; 111 RIVER VIEW SUB</t>
  </si>
  <si>
    <t>DB-00003432 0000211</t>
  </si>
  <si>
    <t>2439 PENNINGTON BEND RD</t>
  </si>
  <si>
    <t>DB-20120117 0004417</t>
  </si>
  <si>
    <t>LOTS 102-103-104 RIVER VIEW SUB</t>
  </si>
  <si>
    <t>2819 PENNINGTON BEND RD</t>
  </si>
  <si>
    <t>DB-20120103 0000346</t>
  </si>
  <si>
    <t>LOTS 93, 94, 95 RIVERVIEW SUB.</t>
  </si>
  <si>
    <t>DB-00003813 0000177</t>
  </si>
  <si>
    <t>0 RIVER HILLS DR</t>
  </si>
  <si>
    <t>QC-00005833 0000137</t>
  </si>
  <si>
    <t>RES PAR RIVER HILLS IND PARK SEC 24</t>
  </si>
  <si>
    <t>PL-00005200 0000322</t>
  </si>
  <si>
    <t>0 CAVE RD</t>
  </si>
  <si>
    <t>BD-ZERO     0000907</t>
  </si>
  <si>
    <t>N OF CAVE RD E SIDE L &amp; N RR</t>
  </si>
  <si>
    <t>OR-00911623 0000000</t>
  </si>
  <si>
    <t>0 PUMPING STATION RD</t>
  </si>
  <si>
    <t>DB-00000089 0000163</t>
  </si>
  <si>
    <t>W END OF CAVE RD N OF LEBANON PK</t>
  </si>
  <si>
    <t>DB-00000089 0000164</t>
  </si>
  <si>
    <t>S/S PUMPING STATION RD E OF FESSLERS LN</t>
  </si>
  <si>
    <t>OR-00911622 0000000</t>
  </si>
  <si>
    <t>1450 LEBANON PIKE</t>
  </si>
  <si>
    <t>DB-20120827 0076918</t>
  </si>
  <si>
    <t>N SIDE LEBANON PIKE W OF L &amp; N RR</t>
  </si>
  <si>
    <t>1130 VISCO DR</t>
  </si>
  <si>
    <t>BD-00000000 0000903</t>
  </si>
  <si>
    <t>LOT 41 VISCO INDUSTRIAL SUB SEC 10 &amp; ACREAGE TRACT</t>
  </si>
  <si>
    <t>CO-20090202 0008759</t>
  </si>
  <si>
    <t>E/S OF OMOHUNDRO PL S OF PUMPING STATION RD</t>
  </si>
  <si>
    <t>OR-00911620 0000000</t>
  </si>
  <si>
    <t>1821 RIVER HILLS DR</t>
  </si>
  <si>
    <t>METRO GOV'T DEPT OF WASTE SERVICES</t>
  </si>
  <si>
    <t>DB-00006360 0000910</t>
  </si>
  <si>
    <t>S SIDE RIVER HILLS DR N OF L&amp;N R.R.-PT CL ST</t>
  </si>
  <si>
    <t>OR-00911609 0000000</t>
  </si>
  <si>
    <t>3134 BOULDER PARK DR</t>
  </si>
  <si>
    <t>DB-20211203 0160585</t>
  </si>
  <si>
    <t>LOT 11 HICKORY BEND SEC 3</t>
  </si>
  <si>
    <t>DB-00004610 0000841</t>
  </si>
  <si>
    <t>3052 BOULDER PARK DR</t>
  </si>
  <si>
    <t>DB-20211115 0151488</t>
  </si>
  <si>
    <t>LOT 32 HICKORY BEND SEC 3</t>
  </si>
  <si>
    <t>DB-00004847 0000576</t>
  </si>
  <si>
    <t>0 PENNINGTON BEND RD</t>
  </si>
  <si>
    <t>DC-20170120 0006715</t>
  </si>
  <si>
    <t>LOTS 7 &amp; 8 RIVER VIEW SUB</t>
  </si>
  <si>
    <t>DB-20120604 0048365</t>
  </si>
  <si>
    <t>2413 PENNINGTON BEND RD</t>
  </si>
  <si>
    <t>DB-20180709 0065809</t>
  </si>
  <si>
    <t>LOTS 72 &amp; 73 RIVERVIEW SUB</t>
  </si>
  <si>
    <t>DB-00004607 0000625</t>
  </si>
  <si>
    <t>2209 PENNINGTON BEND RD</t>
  </si>
  <si>
    <t>LOTS 9 &amp; 10 RIVER VIEW SUB</t>
  </si>
  <si>
    <t>0 ALLEN RD</t>
  </si>
  <si>
    <t>DB-00008676 0000653</t>
  </si>
  <si>
    <t>LOT 1 METRO NASHVILLE AIRPORT AUTHORITY CONSOLIDATION PLAT</t>
  </si>
  <si>
    <t>PL-00009700 0000117</t>
  </si>
  <si>
    <t>2913 LYNCREST DR</t>
  </si>
  <si>
    <t>DB-00008057 0000007</t>
  </si>
  <si>
    <t>LOTS 710 &amp; 711 SEC 9 CLOVERHILL</t>
  </si>
  <si>
    <t>2917 LYNCREST DR</t>
  </si>
  <si>
    <t>DB-00008399 0000157</t>
  </si>
  <si>
    <t>LOT 709 SEC 9 CLOVERHILL</t>
  </si>
  <si>
    <t>DB-00002998 0000057</t>
  </si>
  <si>
    <t>2901 LYNCREST DR</t>
  </si>
  <si>
    <t>DB-00008825 0000794</t>
  </si>
  <si>
    <t>LOT 9 HAPPY ACRES</t>
  </si>
  <si>
    <t>DB-00002595 0000057</t>
  </si>
  <si>
    <t>2911 LYNCREST DR</t>
  </si>
  <si>
    <t>DB-00008470 0000719</t>
  </si>
  <si>
    <t>LOT 712 SEC 9 CLOVERHILL</t>
  </si>
  <si>
    <t>DB-00002542 0000600</t>
  </si>
  <si>
    <t>2909 LYNCREST DR</t>
  </si>
  <si>
    <t>DB-00008731 0000316</t>
  </si>
  <si>
    <t>LOT 713 SEC 9 CLOVERHILL</t>
  </si>
  <si>
    <t>DB-00002447 0000469</t>
  </si>
  <si>
    <t>2905 LYNCREST DR</t>
  </si>
  <si>
    <t>DB-00008837 0000357</t>
  </si>
  <si>
    <t>LOT 68 HAPPY ACRES</t>
  </si>
  <si>
    <t>DB-00002448 0000203</t>
  </si>
  <si>
    <t>832 ALLEN RD</t>
  </si>
  <si>
    <t>DB-00008460 0000289</t>
  </si>
  <si>
    <t>LOT 708 SEC 9 CLOVERHILL</t>
  </si>
  <si>
    <t>DB-00002907 0000383</t>
  </si>
  <si>
    <t>2907 A LYNCREST DR</t>
  </si>
  <si>
    <t>DB-00008731 0000318</t>
  </si>
  <si>
    <t>LOT 714 SEC 9 CLOVERHILL</t>
  </si>
  <si>
    <t>DB-00003825 0000029</t>
  </si>
  <si>
    <t>905 COLFAX DR</t>
  </si>
  <si>
    <t>DB-00008675 0000506</t>
  </si>
  <si>
    <t>LOT 10 HAPPY ACRES</t>
  </si>
  <si>
    <t>DV-00000063 0000675</t>
  </si>
  <si>
    <t>836 ALLEN RD</t>
  </si>
  <si>
    <t>DB-00008487 0000952</t>
  </si>
  <si>
    <t>LOT 707 SEC 9 CLOVERHILL</t>
  </si>
  <si>
    <t>DB-00004793 0000062</t>
  </si>
  <si>
    <t>838 ALLEN RD</t>
  </si>
  <si>
    <t>DB-00008794 0000376</t>
  </si>
  <si>
    <t>LOT 706 SEC 9 CLOVERHILL</t>
  </si>
  <si>
    <t>DB-00002451 0000252</t>
  </si>
  <si>
    <t>840 ALLEN RD</t>
  </si>
  <si>
    <t>DB-00008349 0000264</t>
  </si>
  <si>
    <t>LOT 705 SEC 9 CLOVERHILL</t>
  </si>
  <si>
    <t>DB-00004542 0000675</t>
  </si>
  <si>
    <t>854 ALLEN RD</t>
  </si>
  <si>
    <t>DB-00008745 0000672</t>
  </si>
  <si>
    <t>LOT 12 HAPPY ACRES</t>
  </si>
  <si>
    <t>DB-00003071 0000369</t>
  </si>
  <si>
    <t>852 ALLEN RD</t>
  </si>
  <si>
    <t>RD-00008681 0000879</t>
  </si>
  <si>
    <t>LOT 700 SEC 9 CLOVERHILL</t>
  </si>
  <si>
    <t>DB-00002807 0000177</t>
  </si>
  <si>
    <t>842 ALLEN RD</t>
  </si>
  <si>
    <t>DB-00008477 0000813</t>
  </si>
  <si>
    <t>LOT 704 SEC 9 CLOVERHILL</t>
  </si>
  <si>
    <t>DB-00004643 0000576</t>
  </si>
  <si>
    <t>846 ALLEN RD</t>
  </si>
  <si>
    <t>DB-00008186 0000265</t>
  </si>
  <si>
    <t>LOT 702 SEC 9 CLOVERHILL</t>
  </si>
  <si>
    <t>DB-00003577 0000155</t>
  </si>
  <si>
    <t>844 ALLEN RD</t>
  </si>
  <si>
    <t>DB-00008692 0000054</t>
  </si>
  <si>
    <t>LOT 703 SEC 9 CLOVERHILL</t>
  </si>
  <si>
    <t>DB-00002590 0000041</t>
  </si>
  <si>
    <t>909 COLFAX DR</t>
  </si>
  <si>
    <t>DB-00008690 0000560</t>
  </si>
  <si>
    <t>LOT 11 HAPPY ACRES</t>
  </si>
  <si>
    <t>DB-00003958 0000785</t>
  </si>
  <si>
    <t>3010 BOULDER PARK DR</t>
  </si>
  <si>
    <t>DB-00008213 0000952</t>
  </si>
  <si>
    <t>LOT 228 HICKORY BEND SEC. 4</t>
  </si>
  <si>
    <t>DB-00004837 0000937</t>
  </si>
  <si>
    <t>3006 BOULDER PARK DR</t>
  </si>
  <si>
    <t>DB-00008263 0000929</t>
  </si>
  <si>
    <t>LOT 229 HICKORY BEND SEC. 4</t>
  </si>
  <si>
    <t>DB-00004368 0000182</t>
  </si>
  <si>
    <t>3005 BOULDER PARK DR</t>
  </si>
  <si>
    <t>DB-00008194 0000820</t>
  </si>
  <si>
    <t>LOT 234 HICKORY BEND SEC. 4</t>
  </si>
  <si>
    <t>842 MCCRORY CREEK RD</t>
  </si>
  <si>
    <t>DB-00008264 0000998</t>
  </si>
  <si>
    <t>LOT 264 HICKORY BEND SEC. 4</t>
  </si>
  <si>
    <t>3004 BOULDER PARK DR</t>
  </si>
  <si>
    <t>DB-00008243 0000196</t>
  </si>
  <si>
    <t>LOT 230-B HICKORY BEND SEC 4 ZONE LOT DIV</t>
  </si>
  <si>
    <t>PL-00006250 0000121</t>
  </si>
  <si>
    <t>846 MCCRORY CREEK RD</t>
  </si>
  <si>
    <t>DB-00008243 0000194</t>
  </si>
  <si>
    <t>LOT 233 HICKORY BEND SEC. 4</t>
  </si>
  <si>
    <t>838 MCCRORY CREEK RD</t>
  </si>
  <si>
    <t>DB-00008247 0000073</t>
  </si>
  <si>
    <t>LOT 263 HICKORY BEND SEC. 4</t>
  </si>
  <si>
    <t>DB-00004615 0000599</t>
  </si>
  <si>
    <t>3002 BOULDER PARK DR</t>
  </si>
  <si>
    <t>DB-00008243 0000198</t>
  </si>
  <si>
    <t>LOT 230-A HICKORY BEND SEC 4 ZONE LOT DIV</t>
  </si>
  <si>
    <t>836 MCCRORY CREEK RD</t>
  </si>
  <si>
    <t>DB-00008234 0000967</t>
  </si>
  <si>
    <t>LOT 262 HICKORY BEND SEC. 4</t>
  </si>
  <si>
    <t>DB-00004709 0000949</t>
  </si>
  <si>
    <t>832 MCCRORY CREEK RD</t>
  </si>
  <si>
    <t>DB-00008194 0000822</t>
  </si>
  <si>
    <t>LOT 261 HICKORY BEND SEC. 4</t>
  </si>
  <si>
    <t>DB-00004724 0000627</t>
  </si>
  <si>
    <t>828 MCCRORY CREEK RD</t>
  </si>
  <si>
    <t>DB-00008283 0000916</t>
  </si>
  <si>
    <t>LOT 260 HICKORY BEND SEC. 4</t>
  </si>
  <si>
    <t>DB-00004556 0000346</t>
  </si>
  <si>
    <t>856 MCCRORY CREEK RD</t>
  </si>
  <si>
    <t>DB-00008228 0000523</t>
  </si>
  <si>
    <t>LOT 1-B RUTH MCFARLAND SUB ZONE LOT DIV</t>
  </si>
  <si>
    <t>PL-00006250 0000424</t>
  </si>
  <si>
    <t>852 MCCRORY CREEK RD</t>
  </si>
  <si>
    <t>DB-00008255 0000534</t>
  </si>
  <si>
    <t>LOT 231-B HICKORY BEND SEC 4 ZONE LOT DIV</t>
  </si>
  <si>
    <t>854 MCCRORY CREEK RD</t>
  </si>
  <si>
    <t>DB-00008255 0000532</t>
  </si>
  <si>
    <t>LOT 231-A HICKORY BEND SEC 4 ZONE LOT DIV</t>
  </si>
  <si>
    <t>824 MCCRORY CREEK RD</t>
  </si>
  <si>
    <t>DB-00008260 0000723</t>
  </si>
  <si>
    <t>LOT 259 HICKORY BEND SEC. 4</t>
  </si>
  <si>
    <t>DB-00004529 0000126</t>
  </si>
  <si>
    <t>DB-00008228 0000525</t>
  </si>
  <si>
    <t>LOT 1-A RUTH MCFARLAND SUB ZONE LOT DIV</t>
  </si>
  <si>
    <t>3221 JONESBORO DR</t>
  </si>
  <si>
    <t>DB-00008330 0000676</t>
  </si>
  <si>
    <t>N. W. CORNER OF MCCRORY CREEK ROAD &amp; JONESBORO DRIVE</t>
  </si>
  <si>
    <t>DB-00003131 0000143</t>
  </si>
  <si>
    <t>820 MCCRORY CREEK RD</t>
  </si>
  <si>
    <t>DB-00008318 0000114</t>
  </si>
  <si>
    <t>LOT 258 HICKORY BEND SEC. 4</t>
  </si>
  <si>
    <t>DB-00004548 0000589</t>
  </si>
  <si>
    <t>808 MCCRORY CREEK RD</t>
  </si>
  <si>
    <t>DB-00008327 0000241</t>
  </si>
  <si>
    <t>NS MCCRORY CREEK RD WS JONESBORO DR</t>
  </si>
  <si>
    <t>DB-00003430 0000569</t>
  </si>
  <si>
    <t>860 MCCRORY CREEK RD</t>
  </si>
  <si>
    <t>DB-00008228 0000521</t>
  </si>
  <si>
    <t>LOT 2 RUTH MCFARLAND SUB</t>
  </si>
  <si>
    <t>PL-00006200 0000086</t>
  </si>
  <si>
    <t>812 MCCRORY CREEK RD</t>
  </si>
  <si>
    <t>DB-00008303 0000980</t>
  </si>
  <si>
    <t>LOT 200 HICKORY BEND SEC. 4</t>
  </si>
  <si>
    <t>DB-00004727 0000607</t>
  </si>
  <si>
    <t>900 MCCRORY CREEK RD</t>
  </si>
  <si>
    <t>RD-00008288 0000945</t>
  </si>
  <si>
    <t>LOT 1 RE-SUB LOT 61 SHADY BROOK SEC 3 &amp; PT CLOSED RD</t>
  </si>
  <si>
    <t>904 MCCRORY CREEK RD</t>
  </si>
  <si>
    <t>DB-00008179 0000294</t>
  </si>
  <si>
    <t>LOT 2 RE-SUB LOT 61 SHADY BROOK SEC 3</t>
  </si>
  <si>
    <t>PL-00005190 0000225</t>
  </si>
  <si>
    <t>908 MCCRORY CREEK RD</t>
  </si>
  <si>
    <t>DB-00008134 0000455</t>
  </si>
  <si>
    <t>LOT 60 SEC 3 SHADY BROOK</t>
  </si>
  <si>
    <t>DB-00003829 0000811</t>
  </si>
  <si>
    <t>912 MCCRORY CREEK RD</t>
  </si>
  <si>
    <t>DB-00008170 0000430</t>
  </si>
  <si>
    <t>LOT 59 SEC 3 SHADY BROOK</t>
  </si>
  <si>
    <t>DB-00004510 0000033</t>
  </si>
  <si>
    <t>916 MCCRORY CREEK RD</t>
  </si>
  <si>
    <t>DB-00008104 0000280</t>
  </si>
  <si>
    <t>LOT 58 SEC 3 SHADY BROOK</t>
  </si>
  <si>
    <t>DB-00004367 0000474</t>
  </si>
  <si>
    <t>920 MCCRORY CREEK RD</t>
  </si>
  <si>
    <t>DB-00008220 0000108</t>
  </si>
  <si>
    <t>LOT 57 SEC 3 SHADY BROOK</t>
  </si>
  <si>
    <t>DB-00004173 0000846</t>
  </si>
  <si>
    <t>938 MCCRORY CREEK RD</t>
  </si>
  <si>
    <t>DB-20150113 0003553</t>
  </si>
  <si>
    <t>LOT 1 RESUB. SHADYBROOK SEC. 3</t>
  </si>
  <si>
    <t>DB-00004516 0000122</t>
  </si>
  <si>
    <t>924 MCCRORY CREEK RD</t>
  </si>
  <si>
    <t>DB-00008152 0000983</t>
  </si>
  <si>
    <t>LOT 56 SEC 3 SHADY BROOK</t>
  </si>
  <si>
    <t>DB-00004706 0000135</t>
  </si>
  <si>
    <t>930 MCCRORY CREEK RD</t>
  </si>
  <si>
    <t>DB-00008106 0000107</t>
  </si>
  <si>
    <t>LOT 55 SEC 3 SHADY BROOK</t>
  </si>
  <si>
    <t>DB-00004074 0000430</t>
  </si>
  <si>
    <t>945 COLFAX DR</t>
  </si>
  <si>
    <t>DB-00008202 0000371</t>
  </si>
  <si>
    <t>LOT 51 HAPPY ACRES</t>
  </si>
  <si>
    <t>DB-00004161 0000197</t>
  </si>
  <si>
    <t>2905 HARPER PL</t>
  </si>
  <si>
    <t>DB-00008199 0000975</t>
  </si>
  <si>
    <t>LOT 50 HAPPY ACRES</t>
  </si>
  <si>
    <t>DB-00004349 0000543</t>
  </si>
  <si>
    <t>946 MCCRORY CREEK RD</t>
  </si>
  <si>
    <t>DB-00008057 0000014</t>
  </si>
  <si>
    <t>LOT 51 SEC 3 SHADY BROOK</t>
  </si>
  <si>
    <t>DB-00004847 0000151</t>
  </si>
  <si>
    <t>2907 HARPER PL</t>
  </si>
  <si>
    <t>DB-00008316 0000844</t>
  </si>
  <si>
    <t>LOT 49 HAPPY ACRES</t>
  </si>
  <si>
    <t>DB-00004439 0000794</t>
  </si>
  <si>
    <t>947 COLFAX DR</t>
  </si>
  <si>
    <t>DB-00008220 0000106</t>
  </si>
  <si>
    <t>LOT 52 HAPPY ACRES</t>
  </si>
  <si>
    <t>DB-00002549 0000005</t>
  </si>
  <si>
    <t>2909 HARPER PL</t>
  </si>
  <si>
    <t>DB-00008221 0000469</t>
  </si>
  <si>
    <t>LOT 8 SEC 2 SHADY BROOK</t>
  </si>
  <si>
    <t>DB-00004728 0000664</t>
  </si>
  <si>
    <t>2911 HARPER PL</t>
  </si>
  <si>
    <t>DB-00008265 0000490</t>
  </si>
  <si>
    <t>LOT 7 SEC 2 SHADY BROOK</t>
  </si>
  <si>
    <t>DB-00004196 0000990</t>
  </si>
  <si>
    <t>2900 ELM HILL PIKE</t>
  </si>
  <si>
    <t>DB-00008256 0000233</t>
  </si>
  <si>
    <t>LOT 53 HAPPY ACRES</t>
  </si>
  <si>
    <t>DB-00002643 0000363</t>
  </si>
  <si>
    <t>948 MCCRORY CREEK RD</t>
  </si>
  <si>
    <t>DB-00008039 0000574</t>
  </si>
  <si>
    <t>LOT 50 SEC 3 SHADY BROOK</t>
  </si>
  <si>
    <t>DB-00004799 0000603</t>
  </si>
  <si>
    <t>2904 ELM HILL PIKE</t>
  </si>
  <si>
    <t>RD-00010087 0000357</t>
  </si>
  <si>
    <t>LOT 54 HAPPY ACRES</t>
  </si>
  <si>
    <t>DB-00004565 0000137</t>
  </si>
  <si>
    <t>2906 ELM HILL PIKE</t>
  </si>
  <si>
    <t>DB-00008434 0000414</t>
  </si>
  <si>
    <t>N SIDE OF ELM HILL PIKE E OF COLFAX DR</t>
  </si>
  <si>
    <t>DB-00003797 0000612</t>
  </si>
  <si>
    <t>939 MCCRORY CREEK RD</t>
  </si>
  <si>
    <t>DB-00008220 0000102</t>
  </si>
  <si>
    <t>E/S MC CRORY CREEK RD N OF ELM HILL PK</t>
  </si>
  <si>
    <t>DB-00005984 0000614</t>
  </si>
  <si>
    <t>943 MCCRORY CREEK RD</t>
  </si>
  <si>
    <t>DB-00008312 0000264</t>
  </si>
  <si>
    <t>DB-00005984 0000616</t>
  </si>
  <si>
    <t>950 MCCRORY CREEK RD</t>
  </si>
  <si>
    <t>DB-00008291 0000026</t>
  </si>
  <si>
    <t>LOT 49 SEC 3 SHADY BROOK</t>
  </si>
  <si>
    <t>DB-00003929 0000201</t>
  </si>
  <si>
    <t>2916 ELM HILL PIKE</t>
  </si>
  <si>
    <t>DB-00008165 0000574</t>
  </si>
  <si>
    <t>LOT 43 SECTION 3 SHADYBROOK</t>
  </si>
  <si>
    <t>DB-00004127 0000449</t>
  </si>
  <si>
    <t>949 MCCRORY CREEK RD</t>
  </si>
  <si>
    <t>DB-00008129 0000915</t>
  </si>
  <si>
    <t>E SIDE MCCRORY CREEK RD N OF ELM HILL PIKE</t>
  </si>
  <si>
    <t>DB-00005010 0000344</t>
  </si>
  <si>
    <t>2918 ELM HILL PIKE</t>
  </si>
  <si>
    <t>DB-00008104 0000846</t>
  </si>
  <si>
    <t>LOT 44 SEC 3 SHADY BROOK</t>
  </si>
  <si>
    <t>DB-00003898 0000300</t>
  </si>
  <si>
    <t>954 MCCRORY CREEK RD</t>
  </si>
  <si>
    <t>DB-00008162 0000087</t>
  </si>
  <si>
    <t>LOT 48 SEC 3 SHADY BROOK</t>
  </si>
  <si>
    <t>DB-00003982 0000518</t>
  </si>
  <si>
    <t>2905 ELM HILL PIKE</t>
  </si>
  <si>
    <t>DB-00008755 0000233</t>
  </si>
  <si>
    <t>PT. LOT 1 SEC. 1 SHADY BROOK</t>
  </si>
  <si>
    <t>DB-00003434 0000513</t>
  </si>
  <si>
    <t>2922 ELM HILL PIKE</t>
  </si>
  <si>
    <t>DB-00008066 0000343</t>
  </si>
  <si>
    <t>LOT 45 SEC 3 SHADY BROOK</t>
  </si>
  <si>
    <t>DB-00004309 0000783</t>
  </si>
  <si>
    <t>956 MCCRORY CREEK RD</t>
  </si>
  <si>
    <t>DB-00008076 0000499</t>
  </si>
  <si>
    <t>LOT 47 SEC 3 SHADY BROOK</t>
  </si>
  <si>
    <t>DB-00004355 0000241</t>
  </si>
  <si>
    <t>2907 ELM HILL PIKE</t>
  </si>
  <si>
    <t>DB-00009558 0000682</t>
  </si>
  <si>
    <t>LOT 2 SEC 1 SHADY BROOK</t>
  </si>
  <si>
    <t>DB-00004549 0000588</t>
  </si>
  <si>
    <t>2926 ELM HILL PIKE</t>
  </si>
  <si>
    <t>DB-00008910 0000571</t>
  </si>
  <si>
    <t>LOT 46 SEC 3 SHADY BROOK</t>
  </si>
  <si>
    <t>DB-00003921 0000956</t>
  </si>
  <si>
    <t>953 MCCRORY CREEK RD</t>
  </si>
  <si>
    <t>DB-00008186 0000269</t>
  </si>
  <si>
    <t>N E CORNER ELM HILL PK &amp; MCCRORY CRK RD</t>
  </si>
  <si>
    <t>960 MCCRORY CREEK RD</t>
  </si>
  <si>
    <t>DB-00008074 0000260</t>
  </si>
  <si>
    <t>UNIT 14 LOT 7 MCCRORY ESTATES</t>
  </si>
  <si>
    <t>PL-00005200 0000315</t>
  </si>
  <si>
    <t>962 MCCRORY CREEK RD</t>
  </si>
  <si>
    <t>DB-00008118 0000498</t>
  </si>
  <si>
    <t>UNIT 13 LOT 7 MCCRORY ESTATES</t>
  </si>
  <si>
    <t>DB-00009558 0000684</t>
  </si>
  <si>
    <t>LOT 5 SEC 1 SHADY BROOK</t>
  </si>
  <si>
    <t>DB-00004010 0000968</t>
  </si>
  <si>
    <t>964 MCCRORY CREEK RD</t>
  </si>
  <si>
    <t>DB-00008134 0000457</t>
  </si>
  <si>
    <t>UNIT 12 LOT 6 MCCRORY ESTATES</t>
  </si>
  <si>
    <t>966 MCCRORY CREEK RD</t>
  </si>
  <si>
    <t>DB-00008133 0000870</t>
  </si>
  <si>
    <t>UNIT 11 LOT 6 MCCRORY ESTATES</t>
  </si>
  <si>
    <t>968 MCCRORY CREEK RD</t>
  </si>
  <si>
    <t>DB-00008095 0000538</t>
  </si>
  <si>
    <t>UNIT 10 LOT 5 MCCRORY ESTATES</t>
  </si>
  <si>
    <t>970 MCCRORY CREEK RD</t>
  </si>
  <si>
    <t>DB-00008106 0000106</t>
  </si>
  <si>
    <t>UNIT 9 LOT 5 MCCRORY ESTATES</t>
  </si>
  <si>
    <t>2930 ELM HILL PIKE</t>
  </si>
  <si>
    <t>DB-00008116 0000032</t>
  </si>
  <si>
    <t>UNIT 1 LOT 1 MCCRORY ESTATES</t>
  </si>
  <si>
    <t>2932 ELM HILL PIKE</t>
  </si>
  <si>
    <t>DB-00008074 0000267</t>
  </si>
  <si>
    <t>UNIT 2 LOT 1 MCCRORY ESTATES</t>
  </si>
  <si>
    <t>972 MCCRORY CREEK RD</t>
  </si>
  <si>
    <t>DB-00008128 0000798</t>
  </si>
  <si>
    <t>UNIT 8 LOT 4 MCCRORY ESTATES</t>
  </si>
  <si>
    <t>974 MCCRORY CREEK RD</t>
  </si>
  <si>
    <t>DB-00008074 0000265</t>
  </si>
  <si>
    <t>UNIT 7 LOT 4 MCCRORY ESTATES</t>
  </si>
  <si>
    <t>2934 ELM HILL PIKE</t>
  </si>
  <si>
    <t>DB-00008062 0000804</t>
  </si>
  <si>
    <t>UNIT 3 LOT 2 MCCRORY ESTATES</t>
  </si>
  <si>
    <t>2936 ELM HILL PIKE</t>
  </si>
  <si>
    <t>DB-00008141 0000134</t>
  </si>
  <si>
    <t>UNIT 4 LOT 2 MCCRORY ESTATES</t>
  </si>
  <si>
    <t>2940 ELM HILL PIKE</t>
  </si>
  <si>
    <t>DB-00008074 0000262</t>
  </si>
  <si>
    <t>UNIT 6 LOT 3 MCCRORY ESTATES</t>
  </si>
  <si>
    <t>2938 ELM HILL PIKE</t>
  </si>
  <si>
    <t>DB-00008039 0000576</t>
  </si>
  <si>
    <t>UNIT 5 LOT 3 MCCRORY ESTATES</t>
  </si>
  <si>
    <t>2985 ELM HILL PIKE</t>
  </si>
  <si>
    <t>DB-00008755 0000398</t>
  </si>
  <si>
    <t>S W CORNER ELM HILL PIKE AND MCCRORY CREEK ROAD</t>
  </si>
  <si>
    <t>DB-00004499 0000094</t>
  </si>
  <si>
    <t>DB-00008831 0000716</t>
  </si>
  <si>
    <t>N.E. COR. ELM HILL PK. &amp; MC CRORY CRK. RD</t>
  </si>
  <si>
    <t>DB-00004597 0000525</t>
  </si>
  <si>
    <t>DB-00009380 0000441</t>
  </si>
  <si>
    <t>S OF ELM HILL PK W OF MCCRORY CREEK RD</t>
  </si>
  <si>
    <t>DB-00003098 0000336</t>
  </si>
  <si>
    <t>85 GLENROSE AVE</t>
  </si>
  <si>
    <t>CR-20170711 0069661</t>
  </si>
  <si>
    <t>PT LOT 3 GLENROSE</t>
  </si>
  <si>
    <t>DB-00003795 0000210</t>
  </si>
  <si>
    <t>0 OLD GLENROSE AVE</t>
  </si>
  <si>
    <t>DB-20130327 0030100</t>
  </si>
  <si>
    <t>N SIDE OLD GLENROSE AVE E OF DODGE DR</t>
  </si>
  <si>
    <t>DB-00001247 0000466</t>
  </si>
  <si>
    <t>0 E THOMPSON LN</t>
  </si>
  <si>
    <t>DB-20111006 0077765</t>
  </si>
  <si>
    <t>W SIDE THOMPSON LN S OF WIMPOLE DR</t>
  </si>
  <si>
    <t>OR-02000135 0000000</t>
  </si>
  <si>
    <t>DB-20131028 0111928</t>
  </si>
  <si>
    <t>N W CORNER GLENROSE AVE &amp; DODGE DR</t>
  </si>
  <si>
    <t>DB-00001172 0000220</t>
  </si>
  <si>
    <t>S SIDE GLENROSE AVE W OF THOMPSON LN</t>
  </si>
  <si>
    <t>431 E THOMPSON LN</t>
  </si>
  <si>
    <t>600 MURFREESBORO PIKE</t>
  </si>
  <si>
    <t>DB-20141119 0106666</t>
  </si>
  <si>
    <t>LOT 1 PPOOL HEIGHTS SEC. 1</t>
  </si>
  <si>
    <t>618 MURFREESBORO PIKE</t>
  </si>
  <si>
    <t>PT RES PAR C P'POOL COMM SUB SEC 1 &amp; ADDN TRACT</t>
  </si>
  <si>
    <t>DB-00006948 0000843</t>
  </si>
  <si>
    <t>1134 MENZLER RD</t>
  </si>
  <si>
    <t>QC-20131220 0128711</t>
  </si>
  <si>
    <t>E SIDE FOSTER DR S OF MENZLER RD</t>
  </si>
  <si>
    <t>0 GLENROSE AVE</t>
  </si>
  <si>
    <t>CR-20170711 0069665</t>
  </si>
  <si>
    <t>N/W COR. GLENROSE AVENUE &amp; WHITSITT ROAD</t>
  </si>
  <si>
    <t>DB-00001272 0000604</t>
  </si>
  <si>
    <t>2222 SADLER AVE</t>
  </si>
  <si>
    <t>DB-00005413 0000986</t>
  </si>
  <si>
    <t>PT LOT 54 G. P. ROSE</t>
  </si>
  <si>
    <t>DB-00001472 0000009</t>
  </si>
  <si>
    <t>101 POLK AVE</t>
  </si>
  <si>
    <t>METRO GOV'T  F  ENG CO 13 TRUCK 8</t>
  </si>
  <si>
    <t>DB-00003499 0000437</t>
  </si>
  <si>
    <t>LOTS 7, 8, 9, 38, 39, 40 &amp; PT 6 &amp; 37 A. M. BROWN &amp; PT CL AL</t>
  </si>
  <si>
    <t>OR-00094962 0000000</t>
  </si>
  <si>
    <t>320 JOYNER AVE</t>
  </si>
  <si>
    <t>METRO GOV'T  F  ENG CO 21 TRUCK 7</t>
  </si>
  <si>
    <t>DB-00003400 0000629</t>
  </si>
  <si>
    <t>LOT 54&amp;92THRU95P/O CLOSED ALLEYS CUMBERLAND NURSERIES RE-SUB</t>
  </si>
  <si>
    <t>380 THOMPSON LN</t>
  </si>
  <si>
    <t>METRO GOV'T  L  THOMPSON LANE BRANCH</t>
  </si>
  <si>
    <t>DB-00003505 0000493</t>
  </si>
  <si>
    <t>LOT 1 PARKWAY SUB</t>
  </si>
  <si>
    <t>209 ROSE ST</t>
  </si>
  <si>
    <t>METRO GOV'T  M  WOODBINE HEALTH CENTER</t>
  </si>
  <si>
    <t>DB-00002855 0000320</t>
  </si>
  <si>
    <t>LOT 124 PT 125 OVERHILL CITY</t>
  </si>
  <si>
    <t>222 ORIEL AVE</t>
  </si>
  <si>
    <t>BD-ZERO     0001320</t>
  </si>
  <si>
    <t>LOTS 109 THRU 117 INCLUSIVE OVERHILL CITY</t>
  </si>
  <si>
    <t>PL-00000332 0000021</t>
  </si>
  <si>
    <t>240 VALERIA ST</t>
  </si>
  <si>
    <t>DB-00001247 0000300</t>
  </si>
  <si>
    <t>LOTS 61 62 63 OVERHILL CITY</t>
  </si>
  <si>
    <t>225 ORIEL AVE</t>
  </si>
  <si>
    <t>LOTS 83 &amp; 84 OVERHILL CITY</t>
  </si>
  <si>
    <t>0 MOORE AVE</t>
  </si>
  <si>
    <t>DB-00009956 0000924</t>
  </si>
  <si>
    <t>E. OF ENSLEY BLVD. S SIDE L &amp; N R. R.</t>
  </si>
  <si>
    <t>DB-00004434 0000979</t>
  </si>
  <si>
    <t>905 DEERVALE DR</t>
  </si>
  <si>
    <t>DB-00002963 0000382</t>
  </si>
  <si>
    <t>LOT 26 HILL-N-DALE ACRES &amp; PT. CLOSED ST.</t>
  </si>
  <si>
    <t>1137 VULTEE BLVD</t>
  </si>
  <si>
    <t>DB-00004737 0000780</t>
  </si>
  <si>
    <t>PT LOT 178 SEC 3 GLENCLIFF ESTATES</t>
  </si>
  <si>
    <t>308 BOWWOOD DR</t>
  </si>
  <si>
    <t>2629 B MASHBURN RD</t>
  </si>
  <si>
    <t>DB-00002248 0000465</t>
  </si>
  <si>
    <t>W OF MASHBURN RD &amp; N OF LIVE OAK ROAD</t>
  </si>
  <si>
    <t>9 AVERITT EXPRESS DR</t>
  </si>
  <si>
    <t>DB-00002028 0000205</t>
  </si>
  <si>
    <t>W SIDE OF GLENCLIFF RD S OF DOVER RD</t>
  </si>
  <si>
    <t>480 ALLIED DR</t>
  </si>
  <si>
    <t>DB-00004010 0000236</t>
  </si>
  <si>
    <t>LOT 5 ALLIED IND. PARK SEC. 2</t>
  </si>
  <si>
    <t>306 BOWWOOD DR</t>
  </si>
  <si>
    <t>LOT 1. RESUB OF LOT 179 GLENCLIFF ESTATES SEC. 3.</t>
  </si>
  <si>
    <t>3403 MIMOSA DR</t>
  </si>
  <si>
    <t>DB-00002156 0000037</t>
  </si>
  <si>
    <t>S OF ANTIOCH PK E END OF MIMOSA DR</t>
  </si>
  <si>
    <t>DB-00002152 0000565</t>
  </si>
  <si>
    <t>384 THOMPSON LN</t>
  </si>
  <si>
    <t>METRO GOV'T  P  COLEMAN</t>
  </si>
  <si>
    <t>DB-00000936 0000630</t>
  </si>
  <si>
    <t>N E COR OF NOLENSVILLE PK &amp; THOMPSON LN</t>
  </si>
  <si>
    <t>992 E THOMPSON LN</t>
  </si>
  <si>
    <t>METRO GOV'T  P  MILL CREEK-THOMPSON LANE</t>
  </si>
  <si>
    <t>DB-00005690 0000186</t>
  </si>
  <si>
    <t>E. SIDE OF L. &amp; N. RAILROAD S. OF CURREY</t>
  </si>
  <si>
    <t>DB-00004397 0000693</t>
  </si>
  <si>
    <t>210 DESOTO DR</t>
  </si>
  <si>
    <t>DB-00005413 0000926</t>
  </si>
  <si>
    <t>PT LOT 29 MERTIE MILWEE</t>
  </si>
  <si>
    <t>0 FOOTHILL DR</t>
  </si>
  <si>
    <t>DB-00005413 0000970</t>
  </si>
  <si>
    <t>PT. LT. 49 CRESCENT HGTS. S. OF MURF. PK. &amp; E. OF INTERSTATE</t>
  </si>
  <si>
    <t>DB-00002540 0000493</t>
  </si>
  <si>
    <t>208 DESOTO DR</t>
  </si>
  <si>
    <t>DB-00005413 0000934</t>
  </si>
  <si>
    <t>PT LOT 28 MERTIE MILWEE</t>
  </si>
  <si>
    <t>359 WIMPOLE DR</t>
  </si>
  <si>
    <t>DB-20040621 0073145</t>
  </si>
  <si>
    <t>LOT 114 SEC 5 GLENCLIFF ESTATES</t>
  </si>
  <si>
    <t>DB-00004012 0000145</t>
  </si>
  <si>
    <t>225 DESOTO DR</t>
  </si>
  <si>
    <t>DB-00005413 0000938</t>
  </si>
  <si>
    <t>PT LOT 38 MERTIE MILWEE</t>
  </si>
  <si>
    <t>DB-00002548 0000319</t>
  </si>
  <si>
    <t>355 A WIMPOLE DR</t>
  </si>
  <si>
    <t>DB-20040830 0104147</t>
  </si>
  <si>
    <t>LOT 112 SEC 5 GLENCLIFF ESTATES</t>
  </si>
  <si>
    <t>357 WIMPOLE DR</t>
  </si>
  <si>
    <t>DB-20040622 0073895</t>
  </si>
  <si>
    <t>LOT 113 SEC 5 GLENCLIFF ESTATES</t>
  </si>
  <si>
    <t>DB-00003678 0000169</t>
  </si>
  <si>
    <t>361 WIMPOLE DR</t>
  </si>
  <si>
    <t>DB-20040621 0073147</t>
  </si>
  <si>
    <t>LOT 115 SEC 5 GLENCLIFF EST</t>
  </si>
  <si>
    <t>363 WIMPOLE DR</t>
  </si>
  <si>
    <t>DB-20040621 0073143</t>
  </si>
  <si>
    <t>LOT 116 SEC 5 GLENCLIFF ESTATES</t>
  </si>
  <si>
    <t>DB-00004751 0000799</t>
  </si>
  <si>
    <t>365 WIMPOLE DR</t>
  </si>
  <si>
    <t>DB-20090625 0059081</t>
  </si>
  <si>
    <t>LOT 117 SEC 5 GLENCLIFF ESTATES</t>
  </si>
  <si>
    <t>DB-00003066 0000223</t>
  </si>
  <si>
    <t>367 WIMPOLE DR</t>
  </si>
  <si>
    <t>DB-20120302 0018452</t>
  </si>
  <si>
    <t>LOT 118 SEC 5 GLENCLIFF ESTATES</t>
  </si>
  <si>
    <t>DB-00004606 0000318</t>
  </si>
  <si>
    <t>369 WIMPOLE DR</t>
  </si>
  <si>
    <t>DB-20040622 0073891</t>
  </si>
  <si>
    <t>LOT 119 SEC 5 GLENCLIFF ESTATES</t>
  </si>
  <si>
    <t>DB-00004539 0000075</t>
  </si>
  <si>
    <t>DB-00005413 0000974</t>
  </si>
  <si>
    <t>PT. LT. 51 CRESCENT HGTS. S. OF MURF. PK. E. OF INTERSTATE</t>
  </si>
  <si>
    <t>DB-00002635 0000501</t>
  </si>
  <si>
    <t>DB-00005413 0000966</t>
  </si>
  <si>
    <t>PT. LT. 50 CRESCENT HGTS. S. OF MURF. PK. E. OF INTERSTATE</t>
  </si>
  <si>
    <t>DB-00002540 0000517</t>
  </si>
  <si>
    <t>371 WIMPOLE DR</t>
  </si>
  <si>
    <t>DB-20120302 0018460</t>
  </si>
  <si>
    <t>LOT 120 SEC 5 GLENCLIFF ESTATES</t>
  </si>
  <si>
    <t>DB-00004282 0000922</t>
  </si>
  <si>
    <t>116 DODGE DR</t>
  </si>
  <si>
    <t>DB-00005413 0000954</t>
  </si>
  <si>
    <t>LOT PT 52 CRESCENT HGTS</t>
  </si>
  <si>
    <t>DB-00002541 0000191</t>
  </si>
  <si>
    <t>373 WIMPOLE DR</t>
  </si>
  <si>
    <t>DB-20080908 0091956</t>
  </si>
  <si>
    <t>LOT PT 121 SEC 5 GLENCLIFF ESTATES &amp; PT CLOSED ROAD</t>
  </si>
  <si>
    <t>OR-00901338 0000000</t>
  </si>
  <si>
    <t>375 WIMPOLE DR</t>
  </si>
  <si>
    <t>DB-20040621 0073146</t>
  </si>
  <si>
    <t>LOT PT 122 SEC 5 GLENCLIFF ESTATE &amp; PT CLOSED RD</t>
  </si>
  <si>
    <t>377 WIMPOLE DR</t>
  </si>
  <si>
    <t>DB-20090626 0059835</t>
  </si>
  <si>
    <t>PT LOT 123 SEC 5 GLENCLIFF ESTATES</t>
  </si>
  <si>
    <t>DB-00003256 0000254</t>
  </si>
  <si>
    <t>379 WIMPOLE DR</t>
  </si>
  <si>
    <t>DB-20040813 0098361</t>
  </si>
  <si>
    <t>LOT 151 SEC 7 GLENCLIFF ESTATES</t>
  </si>
  <si>
    <t>DB-00002910 0000339</t>
  </si>
  <si>
    <t>381 WIMPOLE DR</t>
  </si>
  <si>
    <t>DB-20091118 0106216</t>
  </si>
  <si>
    <t>LOT 152 SEC 7 GLENCLIFF ESTATES</t>
  </si>
  <si>
    <t>DB-00004574 0000598</t>
  </si>
  <si>
    <t>383 WIMPOLE DR</t>
  </si>
  <si>
    <t>DB-20050503 0049246</t>
  </si>
  <si>
    <t>LOT 153 SEC 7 GLENCLIFF ESTATES</t>
  </si>
  <si>
    <t>DB-00004858 0000314</t>
  </si>
  <si>
    <t>DB-00005569 0000916</t>
  </si>
  <si>
    <t>PT. LOT 48 CRESCENT HEIGHTS</t>
  </si>
  <si>
    <t>DB-00002540 0000595</t>
  </si>
  <si>
    <t>385 WIMPOLE DR</t>
  </si>
  <si>
    <t>DB-20040621 0073144</t>
  </si>
  <si>
    <t>LOT 154 SEC 7 GLENCLIFF ESTATES</t>
  </si>
  <si>
    <t>DB-00002749 0000355</t>
  </si>
  <si>
    <t>387 WIMPOLE DR</t>
  </si>
  <si>
    <t>DB-20040621 0073142</t>
  </si>
  <si>
    <t>LOT 155 SEC 7 GLENCLIFF ESTATES</t>
  </si>
  <si>
    <t>DB-00002748 0000001</t>
  </si>
  <si>
    <t>0 THOMPSON LN</t>
  </si>
  <si>
    <t>METRO GOV'T  P  THOMPSON LANE-MILL CREEK</t>
  </si>
  <si>
    <t>S/S BRILEY PARKWAY &amp; E/S L &amp; N RAILROAD W OF MILL CREEK</t>
  </si>
  <si>
    <t>0 JAY ST</t>
  </si>
  <si>
    <t>DB-00001303 0000242</t>
  </si>
  <si>
    <t>PT LT 110 RESUB 3 4 PT 5 6 CUMBERLAND NURSERIES</t>
  </si>
  <si>
    <t>PT LOT 125 RESUB 3&amp;4 &amp; PT 5&amp;6 CUMBERLAND NURSERIES</t>
  </si>
  <si>
    <t>3138 GLENCLIFF RD</t>
  </si>
  <si>
    <t>DB-00007704 0000769</t>
  </si>
  <si>
    <t>S OF DRUMMOND DR W OF CROWDER COURT</t>
  </si>
  <si>
    <t>DB-00001227 0000294</t>
  </si>
  <si>
    <t>4 AVERITT EXPRESS DR</t>
  </si>
  <si>
    <t>METRO GOV'T  Q  GLENCLIFF</t>
  </si>
  <si>
    <t>DB-00003406 0000220</t>
  </si>
  <si>
    <t>E OF GLENCLIFF RD N OF DRUMMOND DR</t>
  </si>
  <si>
    <t>QC-20020318 0033673</t>
  </si>
  <si>
    <t>160 ANTIOCH PIKE</t>
  </si>
  <si>
    <t>METRO GOV'T  S  GLENCLIFF</t>
  </si>
  <si>
    <t>BD-ZERO     0001588</t>
  </si>
  <si>
    <t>LOT 77 SEC 1 SOUTHLAKE LTS 14,15 B.SMITH LANDS &amp; ACREAGE TR.</t>
  </si>
  <si>
    <t>120 ANTIOCH PIKE</t>
  </si>
  <si>
    <t>DB-00004379 0000071</t>
  </si>
  <si>
    <t>LOT 10, 11, 12, 13 BETTIE SMITH LANDS</t>
  </si>
  <si>
    <t>509 TANKSLEY AVE</t>
  </si>
  <si>
    <t>METRO GOV'T  S  TURNER</t>
  </si>
  <si>
    <t>DB-00002247 0000437</t>
  </si>
  <si>
    <t>LOTS 52&amp;53 PT LOT 54 SOUTHVALE SUB</t>
  </si>
  <si>
    <t>507 TANKSLEY AVE</t>
  </si>
  <si>
    <t>DB-00002101 0000011</t>
  </si>
  <si>
    <t>PT LOT 54 SOUTHVALE SUB</t>
  </si>
  <si>
    <t>110 WHITSETT RD</t>
  </si>
  <si>
    <t>METRO GOV'T  S  WHITSETT</t>
  </si>
  <si>
    <t>DB-00001781 0000197</t>
  </si>
  <si>
    <t>LT 1-4, LT 10 WHITSETT SUB &amp; ACREAGE TRACT</t>
  </si>
  <si>
    <t>233 ANTIOCH PIKE</t>
  </si>
  <si>
    <t>METRO GOV'T  S  WRIGHT</t>
  </si>
  <si>
    <t>BD-ZERO     0001586</t>
  </si>
  <si>
    <t>S SIDE ANTIOCH PIKE, E OF NOLENSVILLE PIKE</t>
  </si>
  <si>
    <t>CR-00004082 0000196</t>
  </si>
  <si>
    <t>501 INTERSTATE BLVD S</t>
  </si>
  <si>
    <t>METRO GOV'T  SM  MAINT. GARAGE</t>
  </si>
  <si>
    <t>CD-00016914 0000000</t>
  </si>
  <si>
    <t>LT 2 TRANSP CTR SEC 1 LT 131,133,PT LT 132 WOODY CREST SEC 2</t>
  </si>
  <si>
    <t>308 WIMPOLE DR</t>
  </si>
  <si>
    <t>DB-20230307 0016264</t>
  </si>
  <si>
    <t>LOT 68 SEC 4 GLENCLIFF ESTATES</t>
  </si>
  <si>
    <t>DB-00003247 0000347</t>
  </si>
  <si>
    <t>318 WIMPOLE DR</t>
  </si>
  <si>
    <t>DB-20200310 0026594</t>
  </si>
  <si>
    <t>LOT 63 SEC 4 GLENCLIFF ESTATES</t>
  </si>
  <si>
    <t>DB-00004543 0000711</t>
  </si>
  <si>
    <t>446 MCCLELLAN AVE</t>
  </si>
  <si>
    <t>QC-20030307 0030516</t>
  </si>
  <si>
    <t>W END OF MCCLELLAN AVE S OF PATTERSON ST</t>
  </si>
  <si>
    <t>DB-00003369 0000519</t>
  </si>
  <si>
    <t>0 HESTER AVE</t>
  </si>
  <si>
    <t>METRO GOV'T OF NASH</t>
  </si>
  <si>
    <t>QC-20210621 0083537</t>
  </si>
  <si>
    <t>S OF HESTER &amp; W OF RR ROW</t>
  </si>
  <si>
    <t>0 TWIN OAKS CT</t>
  </si>
  <si>
    <t>METRO GOV'T RP REAL PROPERTY SERVICES</t>
  </si>
  <si>
    <t>QC-20230313 0018176</t>
  </si>
  <si>
    <t>OPEN SPACE A  TWIN OAKS SEC 2 PH 2</t>
  </si>
  <si>
    <t>PL-20021206 0150674</t>
  </si>
  <si>
    <t>315 WIMPOLE DR</t>
  </si>
  <si>
    <t>DB-20240220 0011272</t>
  </si>
  <si>
    <t>LOT 23 SEC 4 GLENCLIFF ESTATES</t>
  </si>
  <si>
    <t>DB-00003284 0000293</t>
  </si>
  <si>
    <t>317 WIMPOLE DR</t>
  </si>
  <si>
    <t>DB-20200213 0016567</t>
  </si>
  <si>
    <t>LOT 24 SEC 4 GLENCLIFF ESTATES</t>
  </si>
  <si>
    <t>DB-00002098 0000199</t>
  </si>
  <si>
    <t>321 WIMPOLE DR</t>
  </si>
  <si>
    <t>DB-20240620 0046255</t>
  </si>
  <si>
    <t>LOT 26 SEC 4 GLENCLIFF ESTATES</t>
  </si>
  <si>
    <t>DB-00002451 0000115</t>
  </si>
  <si>
    <t>319 WIMPOLE DR</t>
  </si>
  <si>
    <t>DB-20211222 0169195</t>
  </si>
  <si>
    <t>LOT 25 SEC 4 GLENCLIFF ESTATES</t>
  </si>
  <si>
    <t>DB-00002292 0000011</t>
  </si>
  <si>
    <t>316 WIMPOLE DR</t>
  </si>
  <si>
    <t>DB-20230214 0010677</t>
  </si>
  <si>
    <t>LOT 64 SEC 4 GLENCLIFF ESTATES</t>
  </si>
  <si>
    <t>DB-00004347 0000858</t>
  </si>
  <si>
    <t>353 WIMPOLE DR</t>
  </si>
  <si>
    <t>DB-20230216 0011282</t>
  </si>
  <si>
    <t>LOT 111 SEC 5 GLENCLIFF ESTATES</t>
  </si>
  <si>
    <t>DB-00003611 0000121</t>
  </si>
  <si>
    <t>393 WIMPOLE DR</t>
  </si>
  <si>
    <t>DB-20210902 0118509</t>
  </si>
  <si>
    <t>LOT 158 SEC 7 GLENCLIFF ESTATES</t>
  </si>
  <si>
    <t>DB-00002693 0000631</t>
  </si>
  <si>
    <t>405 WIMPOLE DR</t>
  </si>
  <si>
    <t>DB-20220321 0032065</t>
  </si>
  <si>
    <t>LOT 162 SEC 7 GLENCLIFF ESTATES</t>
  </si>
  <si>
    <t>DB-00002797 0000189</t>
  </si>
  <si>
    <t>407 WIMPOLE DR</t>
  </si>
  <si>
    <t>DB-20210430 0058163</t>
  </si>
  <si>
    <t>LOT 163 SEC 7 GLENCLIFF ESTATES</t>
  </si>
  <si>
    <t>DB-00002877 0000069</t>
  </si>
  <si>
    <t>409 WIMPOLE DR</t>
  </si>
  <si>
    <t>DB-20200312 0027708</t>
  </si>
  <si>
    <t>LOT 164 SEC 7 GLENCLIFF ESTATES</t>
  </si>
  <si>
    <t>DB-00002879 0000114</t>
  </si>
  <si>
    <t>727 CURREY RD</t>
  </si>
  <si>
    <t>DB-20220310 0027496</t>
  </si>
  <si>
    <t>LOT 15 SEC 1 GLENCLIFF ESTATES</t>
  </si>
  <si>
    <t>DB-00002603 0000533</t>
  </si>
  <si>
    <t>729 CURREY RD</t>
  </si>
  <si>
    <t>DB-20220310 0027491</t>
  </si>
  <si>
    <t>LOT 16 SEC 1 GLENCLIFF EST. RE-SUB L. 16 &amp; 17</t>
  </si>
  <si>
    <t>WB-00000102 0000618</t>
  </si>
  <si>
    <t>731 CURREY RD</t>
  </si>
  <si>
    <t>DB-20230616 0046018</t>
  </si>
  <si>
    <t>LOT 17 SEC 1 GLENCLIFF EST. RESUB L. 16 &amp; 17</t>
  </si>
  <si>
    <t>DB-00004749 0000256</t>
  </si>
  <si>
    <t>733 CURREY RD</t>
  </si>
  <si>
    <t>DB-20200617 0063335</t>
  </si>
  <si>
    <t>LOT 18 SEC 1 GLENCLIFF ESTATES</t>
  </si>
  <si>
    <t>DB-00004586 0000630</t>
  </si>
  <si>
    <t>1248 FOSTER AVE</t>
  </si>
  <si>
    <t>METROPOLITAN BOARD OF PUBLIC EDUCATION</t>
  </si>
  <si>
    <t>QC-20140225 0016094</t>
  </si>
  <si>
    <t>2601 BRANSFORD AVE</t>
  </si>
  <si>
    <t>E SIDE FOSTER DR S OF MURFREESBORO PK</t>
  </si>
  <si>
    <t>334 WOODYCREST AVE</t>
  </si>
  <si>
    <t>METROPOLITAN GOV OF NASHVILLE &amp; DAVIDSON COUNTY</t>
  </si>
  <si>
    <t>DB-20240726 0056837</t>
  </si>
  <si>
    <t>PT LOT 132 SEC 2 WOODYCREST</t>
  </si>
  <si>
    <t>0 CREEK ST</t>
  </si>
  <si>
    <t>CR-20060418 0044149</t>
  </si>
  <si>
    <t>PT LOT 25 OLD FAIRGROUNDS</t>
  </si>
  <si>
    <t>DB-00004506 0000317</t>
  </si>
  <si>
    <t>2187 NOLENSVILLE PIKE</t>
  </si>
  <si>
    <t>DC-20150630 0062593</t>
  </si>
  <si>
    <t>PT LOT 3 CANNADYS WEST LAWN</t>
  </si>
  <si>
    <t>2138 CANADY AVE</t>
  </si>
  <si>
    <t>PT LOT 3 CANADY SUB WEST LAWN</t>
  </si>
  <si>
    <t>0 WEDGEWOOD AVE</t>
  </si>
  <si>
    <t>QC-20170626 0064276</t>
  </si>
  <si>
    <t>PT LOTS 89 TH 100 A BRANSFORD RLTY CO &amp; PT CLOSED ST</t>
  </si>
  <si>
    <t>SW-20171213 0127297</t>
  </si>
  <si>
    <t>117 CHARLES E DAVIS BLVD</t>
  </si>
  <si>
    <t>QC-00011368 0000114</t>
  </si>
  <si>
    <t>LOTS 200 THRU 205 MAURY &amp; CLAIBORNE ADDN.</t>
  </si>
  <si>
    <t>0 HAGAN ST</t>
  </si>
  <si>
    <t>DB-00000118 0000355</t>
  </si>
  <si>
    <t>LOTS 64 65 HAGAN &amp; MERRITT</t>
  </si>
  <si>
    <t>0 GREEN ST</t>
  </si>
  <si>
    <t>DB-00011150 0000277</t>
  </si>
  <si>
    <t>PT LOTS 10 &amp; 11 BLK B HERMITAGE ADDN</t>
  </si>
  <si>
    <t>DB-00002903 0000217</t>
  </si>
  <si>
    <t>DB-19991229 0307940</t>
  </si>
  <si>
    <t>PT LOT 10 BLK B HERMITAGE ADDN</t>
  </si>
  <si>
    <t>DB-00002998 0000029</t>
  </si>
  <si>
    <t>CR-20131219 0128438</t>
  </si>
  <si>
    <t>P O BPX 196300</t>
  </si>
  <si>
    <t>PT LOT 22 OLD FAIRGROUNDS</t>
  </si>
  <si>
    <t>CR-00005064 0000485</t>
  </si>
  <si>
    <t>0 JOHNSON AVE</t>
  </si>
  <si>
    <t>CR-20131219 0128439</t>
  </si>
  <si>
    <t>DB-00000181 0000099</t>
  </si>
  <si>
    <t>1240 LEWIS ST</t>
  </si>
  <si>
    <t>CR-20140214 0012989</t>
  </si>
  <si>
    <t>PT LOT 24 OLD FAIRGROUNDS</t>
  </si>
  <si>
    <t>DB-00004162 0000503</t>
  </si>
  <si>
    <t>CR-20131219 0128440</t>
  </si>
  <si>
    <t>DB-00000221 0000226</t>
  </si>
  <si>
    <t>CR-20131219 0128452</t>
  </si>
  <si>
    <t>PT LOTS 22 25 OLD FAIRGROUNDS</t>
  </si>
  <si>
    <t>DB-00000239 0000565</t>
  </si>
  <si>
    <t>CR-20131219 0128450</t>
  </si>
  <si>
    <t>DB-00000484 0000332</t>
  </si>
  <si>
    <t>CR-20131219 0128453</t>
  </si>
  <si>
    <t>PT LOT 25 OLD FIARGROUNDS</t>
  </si>
  <si>
    <t>DB-00000214 0000333</t>
  </si>
  <si>
    <t>54 WHARF AVE</t>
  </si>
  <si>
    <t>DB-00008249 0000430</t>
  </si>
  <si>
    <t>PT LOT 36 UNIVERSITY SUB</t>
  </si>
  <si>
    <t>DB-00009043 0000519</t>
  </si>
  <si>
    <t>0 ALLISON PL</t>
  </si>
  <si>
    <t>DB-00005413 0000990</t>
  </si>
  <si>
    <t>PT LOT 20 ALLISON SUB</t>
  </si>
  <si>
    <t>DB-00000259 0000290</t>
  </si>
  <si>
    <t>1101 8TH AVE S</t>
  </si>
  <si>
    <t>METRO GOV'T  F  ENG CO 8</t>
  </si>
  <si>
    <t>DB-00000243 0000135</t>
  </si>
  <si>
    <t>LOTS 1&amp;2  HIGHLAND PLAN &amp; PT CLOSED ALLEY</t>
  </si>
  <si>
    <t>OR-00821099 0000000</t>
  </si>
  <si>
    <t>807 OLYMPIC ST</t>
  </si>
  <si>
    <t>DB-00006301 0000051</t>
  </si>
  <si>
    <t>LOT 1  EDGEHILL ESTATES SEC 131</t>
  </si>
  <si>
    <t>PL-00005800 0000388</t>
  </si>
  <si>
    <t>1409 12TH AVE S</t>
  </si>
  <si>
    <t>METRO GOV'T  L  LIBRARY</t>
  </si>
  <si>
    <t>DB-00005029 0000001</t>
  </si>
  <si>
    <t>LOT 1-EDGEHILL EST SEC 23 &amp; L 12&amp;13 WELCHER-PT CL AL</t>
  </si>
  <si>
    <t>0 CRAIGHEAD ST</t>
  </si>
  <si>
    <t>METRO GOV'T  M  FAIR BOARD</t>
  </si>
  <si>
    <t>DB-00000410 0000385</t>
  </si>
  <si>
    <t>S/E COR CRAIGHEAD ST. &amp; NOLENSVILLE PIKE</t>
  </si>
  <si>
    <t>401 BENTON AVE</t>
  </si>
  <si>
    <t>METRO GOV'T  M  FAIR GROUNDS</t>
  </si>
  <si>
    <t>E SIDE RAINS AVE S OF WINGROVE ST</t>
  </si>
  <si>
    <t>OR-20210964 0000000</t>
  </si>
  <si>
    <t>401 WEDGEWOOD AVE</t>
  </si>
  <si>
    <t>300 RAINS AVE</t>
  </si>
  <si>
    <t>401 OAK ST</t>
  </si>
  <si>
    <t>METRO GOV'T  M  METRO CEMETERY</t>
  </si>
  <si>
    <t>DB-00000011 0000461</t>
  </si>
  <si>
    <t>W SIDE 4TH AVENUE SOUTH N OF CHESTNUT ST</t>
  </si>
  <si>
    <t>1441 12TH AVE S</t>
  </si>
  <si>
    <t>DB-20120224 0016332</t>
  </si>
  <si>
    <t>LOT 1 MIDTOWN HILLS POLICE PRECINCT</t>
  </si>
  <si>
    <t>PL-20140212 0012503</t>
  </si>
  <si>
    <t>18 MUSIC CIR E</t>
  </si>
  <si>
    <t>DB-00003097 0000457</t>
  </si>
  <si>
    <t>PT. LOT 326 MC.NAIRY WEST NASH.</t>
  </si>
  <si>
    <t>OR-00791476 0000000</t>
  </si>
  <si>
    <t>25 WHARF AVE</t>
  </si>
  <si>
    <t>DB-00002296 0000275</t>
  </si>
  <si>
    <t>LOTS 414 &amp; 417 MAURY &amp; CLAIBORNE PLAN</t>
  </si>
  <si>
    <t>1227 14TH AVE S</t>
  </si>
  <si>
    <t>LOTS 22 21 20 19 PT 18 SHIELDS SUB LOT 27 HAYES ROKEBY</t>
  </si>
  <si>
    <t>1301 14TH AVE S</t>
  </si>
  <si>
    <t>DB-00003277 0000629</t>
  </si>
  <si>
    <t>LOTS 11 12 O H SHIELDS SUB 38 HAYES ROKEBY</t>
  </si>
  <si>
    <t>1311 14TH AVE S</t>
  </si>
  <si>
    <t>DB-00003313 0000588</t>
  </si>
  <si>
    <t>LOT 10 O H SHIELDS SUB 38 HAYES ROKEBY</t>
  </si>
  <si>
    <t>1313 14TH AVE S</t>
  </si>
  <si>
    <t>DB-00003316 0000015</t>
  </si>
  <si>
    <t>LOT 9 O H SHIELDS SUB 38 HAYES ROKEBY</t>
  </si>
  <si>
    <t>1315 14TH AVE S</t>
  </si>
  <si>
    <t>DB-00003277 0000613</t>
  </si>
  <si>
    <t>LOT 8 O H SHIELDS SUB 38 HAYES ROKEBY</t>
  </si>
  <si>
    <t>2200 DUNN AVE</t>
  </si>
  <si>
    <t>DB-00006973 0000923</t>
  </si>
  <si>
    <t>LOT 1 CRAIGHEAD SUBSTATION SITE-NES</t>
  </si>
  <si>
    <t>PL-00006900 0000085</t>
  </si>
  <si>
    <t>2149 UTOPIA AVE</t>
  </si>
  <si>
    <t>DB-00003538 0000245</t>
  </si>
  <si>
    <t>LOT 74 PT 75 CORRINE PLACE</t>
  </si>
  <si>
    <t>900 4TH AVE S</t>
  </si>
  <si>
    <t>CD-10238000 0000000</t>
  </si>
  <si>
    <t>E/S 4TH AVE S&amp;N OF MCCANN</t>
  </si>
  <si>
    <t>1317 14TH AVE S</t>
  </si>
  <si>
    <t>DB-00003277 0000635</t>
  </si>
  <si>
    <t>PT. LOT 70. H. SHIELDS SUB. 38 HAYES ROKEBY</t>
  </si>
  <si>
    <t>305 CHESTNUT ST</t>
  </si>
  <si>
    <t>METRO GOV'T  P  DUDLEY</t>
  </si>
  <si>
    <t>DB-00000472 0000286</t>
  </si>
  <si>
    <t>LOTS 5 TO 11 PT. LOT 12 &amp; 13 JOHN NELSON ADDN.</t>
  </si>
  <si>
    <t>1000 EDGEHILL AVE</t>
  </si>
  <si>
    <t>METRO GOV'T  P  E. S. ROSE</t>
  </si>
  <si>
    <t>BD-ZERO     0001077</t>
  </si>
  <si>
    <t>LOTS 24,26,40 &amp; P/O LOT 41 CASTLE ADDN &amp; ACREAGE TRACT</t>
  </si>
  <si>
    <t>609 BASS ST</t>
  </si>
  <si>
    <t>METRO GOV'T  P  FORT NEGLEY</t>
  </si>
  <si>
    <t>DB-00004588 0000216</t>
  </si>
  <si>
    <t>LOTS 391 THRU 407 EWING &amp; WETMORE</t>
  </si>
  <si>
    <t>534 CHESTNUT ST</t>
  </si>
  <si>
    <t>DB-00001554 0000283C</t>
  </si>
  <si>
    <t>N. SIDE CHESTNUT ST. E. OF RIDLEY BLVD.</t>
  </si>
  <si>
    <t>1702 17TH AVE S</t>
  </si>
  <si>
    <t>METRO GOV'T  P  MISC.</t>
  </si>
  <si>
    <t>DB-00005250 0000881</t>
  </si>
  <si>
    <t>SW CORNER 16TH AVE. S &amp; DOROTHY PLACE</t>
  </si>
  <si>
    <t>DB-00004925 0000507</t>
  </si>
  <si>
    <t>1 MUSIC SQ E</t>
  </si>
  <si>
    <t>METRO GOV'T  P  MUSIC SQUARE</t>
  </si>
  <si>
    <t>DB-00004829 0000880</t>
  </si>
  <si>
    <t>LOTS 1 2 &amp; 3 O B HAYES 1ST ADDN</t>
  </si>
  <si>
    <t>0 VINE ST</t>
  </si>
  <si>
    <t>QC-00009115 0000867</t>
  </si>
  <si>
    <t>E SIDE VINE ST. W SIDE L &amp; N RR</t>
  </si>
  <si>
    <t>DB-00002693 0000573</t>
  </si>
  <si>
    <t>73 MAURY ST</t>
  </si>
  <si>
    <t>DB-00006076 0000178</t>
  </si>
  <si>
    <t>LOTS 160 161 &amp; 162, MAURY &amp; CLAIBORNE ADDN</t>
  </si>
  <si>
    <t>DB-00000670 0000666</t>
  </si>
  <si>
    <t>640 BASS ST</t>
  </si>
  <si>
    <t>DB-00005145 0000782</t>
  </si>
  <si>
    <t>NW COR BASS ST. &amp; VINE ST.</t>
  </si>
  <si>
    <t>1108 FALL ST</t>
  </si>
  <si>
    <t>DB-00005145 0000795</t>
  </si>
  <si>
    <t>NW COR RIDLEY BLVD. &amp; CHESTNUT ST.</t>
  </si>
  <si>
    <t>747 WEDGEWOOD AVE</t>
  </si>
  <si>
    <t>DB-00005200 0000310</t>
  </si>
  <si>
    <t>PT. LOTS 43 THRU 51 ROYCROFT ADDN.</t>
  </si>
  <si>
    <t>DB-00004297 0000489</t>
  </si>
  <si>
    <t>1910 8TH AVE S</t>
  </si>
  <si>
    <t>PT. LOTS 40 THRU 51 ROYCROFT ADDN. &amp; PT. CLOSED ST.</t>
  </si>
  <si>
    <t>PL-00005190 0000001</t>
  </si>
  <si>
    <t>1910 WEDGEWOOD AVE</t>
  </si>
  <si>
    <t>PT. LOTS 40, 41 ROYCROFT ADDN</t>
  </si>
  <si>
    <t>PL-00005200 0000310</t>
  </si>
  <si>
    <t>800 FORT NEGLEY BLVD</t>
  </si>
  <si>
    <t>DB-00005145 0000789A</t>
  </si>
  <si>
    <t>LEASEHOLD ON FORT NEGLEY PARK. METRO PROP.</t>
  </si>
  <si>
    <t>OR-00093722 0000000</t>
  </si>
  <si>
    <t>824 W ARGYLE AVE</t>
  </si>
  <si>
    <t>METRO GOV'T  P  RESERVOIR</t>
  </si>
  <si>
    <t>BD-ZERO     0001122</t>
  </si>
  <si>
    <t>W/S 8TH AV S N/S ARGYLE AV L 11-12-13 PT 10 WAVERLY PL</t>
  </si>
  <si>
    <t>OR-00200347 0000000</t>
  </si>
  <si>
    <t>1019 ARCHER ST</t>
  </si>
  <si>
    <t>METRO GOV'T  P  ROSE PARK</t>
  </si>
  <si>
    <t>DB-00006301 0000057</t>
  </si>
  <si>
    <t>LOT 1  EDGEHILL ESTATES  SEC 132</t>
  </si>
  <si>
    <t>PL-00006050 0000037</t>
  </si>
  <si>
    <t>50 MUSIC CIR E</t>
  </si>
  <si>
    <t>METRO GOV'T  P  TONY ROSE</t>
  </si>
  <si>
    <t>DB-00004679 0000155</t>
  </si>
  <si>
    <t>E. SIDE 15 AVE. S. N. SIDE. HAWKINS ST.</t>
  </si>
  <si>
    <t>91 ROBERTSON ST</t>
  </si>
  <si>
    <t>DB-00010146 0000700</t>
  </si>
  <si>
    <t>PT LOT 7 BLK F HERMITAGE ADDN</t>
  </si>
  <si>
    <t>DB-00000439 0000109</t>
  </si>
  <si>
    <t>2233 WINFORD AVE</t>
  </si>
  <si>
    <t>METRO GOV'T  S  BERRY</t>
  </si>
  <si>
    <t>DB-00001046 0000060</t>
  </si>
  <si>
    <t>W SIDE WINFORD AVE S OF ROSEDALE AVE</t>
  </si>
  <si>
    <t>1110 1ST AVE S</t>
  </si>
  <si>
    <t>METRO GOV'T  S  CAMERON</t>
  </si>
  <si>
    <t>BD-ZERO     0000893</t>
  </si>
  <si>
    <t>S W COR LAFAYETTE ST &amp; UNIVERSITY ST</t>
  </si>
  <si>
    <t>DB-00001066 0000553</t>
  </si>
  <si>
    <t>1142 OLYMPIC ST</t>
  </si>
  <si>
    <t>METRO GOV'T  S  CARTER LAWRENCE</t>
  </si>
  <si>
    <t>DB-00004678 0000858</t>
  </si>
  <si>
    <t>LTS 82-85 PT LTS 81, 86 T. D. OVERTON ADDN &amp; CL ALLEY</t>
  </si>
  <si>
    <t>1118 12TH AVE S</t>
  </si>
  <si>
    <t>BD-ZERO     0001076</t>
  </si>
  <si>
    <t>N E CORN EDGEHILL AVE &amp; 12TH AVE SO</t>
  </si>
  <si>
    <t>DB-00001110 0000178</t>
  </si>
  <si>
    <t>510 WEDGEWOOD AVE</t>
  </si>
  <si>
    <t>METRO GOV'T  S  HAMILTON-CENTRAL</t>
  </si>
  <si>
    <t>DB-00000535 0000109</t>
  </si>
  <si>
    <t>LOT 1 FALL-HAMILTON/WDCN SUB</t>
  </si>
  <si>
    <t>PL-20000105 0001444</t>
  </si>
  <si>
    <t>1200 2ND AVE S</t>
  </si>
  <si>
    <t>METRO GOV'T  S  JOHNSON</t>
  </si>
  <si>
    <t>BD-ZERO     0001099</t>
  </si>
  <si>
    <t>LTS 2 &amp; 16 J. TRIMBLE 1ST ADDN &amp; AC TRACT</t>
  </si>
  <si>
    <t>1400 14TH AVE S</t>
  </si>
  <si>
    <t>METRO GOV'T  S  MURRELL SCHOOL</t>
  </si>
  <si>
    <t>DB-00005192 0000709</t>
  </si>
  <si>
    <t>PT OF  LOT 29 &amp; LOTS 30 -32, 53 - 63 WELCKER SUB &amp; CL ST</t>
  </si>
  <si>
    <t>67 FAIRFIELD AVE</t>
  </si>
  <si>
    <t>METRO GOV'T  S  NAPIER</t>
  </si>
  <si>
    <t>DB-00003879 0000859</t>
  </si>
  <si>
    <t>LTS 1 2 3 10 THRU 14 BLK E PT 9 10 BLK D HERMTG ADDN &amp; AC TR</t>
  </si>
  <si>
    <t>801 OLYMPIC ST</t>
  </si>
  <si>
    <t>METRO GOV'T  S  ROSE PARK</t>
  </si>
  <si>
    <t>DB-00004384 0000709</t>
  </si>
  <si>
    <t>S/ SIDE OLYMPIC ST W. OF 8TH AVE. SO.</t>
  </si>
  <si>
    <t>DB-00006020 0000505</t>
  </si>
  <si>
    <t>1025 9TH AVE S</t>
  </si>
  <si>
    <t>BD-ZERO     0001082</t>
  </si>
  <si>
    <t>W S 9TH AVENUE SOUTH S S OLYPIC STREET</t>
  </si>
  <si>
    <t>DB-00003346 0000579</t>
  </si>
  <si>
    <t>41 LEWIS ST</t>
  </si>
  <si>
    <t>DB-00009487 0000884</t>
  </si>
  <si>
    <t>PT LOT 375 MAURY &amp; CLAIBORNE ADDN</t>
  </si>
  <si>
    <t>DB-00004457 0000191</t>
  </si>
  <si>
    <t>61 A TRIMBLE ST</t>
  </si>
  <si>
    <t>DB-00009453 0000272</t>
  </si>
  <si>
    <t>PT LOT 16 OLD FAIRGROUNDS</t>
  </si>
  <si>
    <t>DB-00004032 0000582</t>
  </si>
  <si>
    <t>1221 CREEK ST</t>
  </si>
  <si>
    <t>DB-00008885 0000430</t>
  </si>
  <si>
    <t>PT LOT 23 OLD FAIRGROUNDS</t>
  </si>
  <si>
    <t>DB-00004065 0000210</t>
  </si>
  <si>
    <t>CR-20100913 0072817</t>
  </si>
  <si>
    <t>1316 LEWIS ST</t>
  </si>
  <si>
    <t>BD-ZERO     0001134</t>
  </si>
  <si>
    <t>PT CLOSED ALLEY-E/S LEWIS ST N OF ANDREW T WHITMORE ST</t>
  </si>
  <si>
    <t>PL-00000021 0000116</t>
  </si>
  <si>
    <t>11/18/1870</t>
  </si>
  <si>
    <t>0 FACTORY ST</t>
  </si>
  <si>
    <t>QC-00011339 0000537</t>
  </si>
  <si>
    <t>LOT A LUMSDEN 3RD ADDN</t>
  </si>
  <si>
    <t>DB-00003534 0000625</t>
  </si>
  <si>
    <t>63 FACTORY ST</t>
  </si>
  <si>
    <t>LOT 2 LUMSDEN PLAN 2</t>
  </si>
  <si>
    <t>DB-00004526 0000558</t>
  </si>
  <si>
    <t>0 INDUSTRY ST</t>
  </si>
  <si>
    <t>LOT B LUMSDEN 3RD ADDN</t>
  </si>
  <si>
    <t>30 INDUSTRY ST</t>
  </si>
  <si>
    <t>DB-00007391 0000546</t>
  </si>
  <si>
    <t>PT LOT 19 LUMSDEN 3RD ADDN</t>
  </si>
  <si>
    <t>DB-00000917 0000215</t>
  </si>
  <si>
    <t>LOT C LUMSDEN 3RD ADDN</t>
  </si>
  <si>
    <t>26 CREEK ST</t>
  </si>
  <si>
    <t>DB-20000413 0037183</t>
  </si>
  <si>
    <t>PT LOTS 3 &amp; 4 LUMSDEN 3RD ADDN</t>
  </si>
  <si>
    <t>DB-00000676 0000225</t>
  </si>
  <si>
    <t>0 CULVERT ST</t>
  </si>
  <si>
    <t>LOT D LUMSDEN 3RD ADDN</t>
  </si>
  <si>
    <t>WB-00000063 0000135</t>
  </si>
  <si>
    <t>1401 8TH AVE S</t>
  </si>
  <si>
    <t>BD-00000000 0000551</t>
  </si>
  <si>
    <t>W SIDE 8TH AVENUE SOUTH N OF ARGYLE AVE</t>
  </si>
  <si>
    <t>QC-00011575 0000862</t>
  </si>
  <si>
    <t>1800 NOLENSVILLE PIKE</t>
  </si>
  <si>
    <t>DB-20120210 0011911</t>
  </si>
  <si>
    <t>LOTS 1,2,3,4,5,6 PT LOT 14 PRIGMORE SUB.</t>
  </si>
  <si>
    <t>DB-00004615 0000914</t>
  </si>
  <si>
    <t>0 12TH AVE S</t>
  </si>
  <si>
    <t>DB-00005413 0000874</t>
  </si>
  <si>
    <t>PT LOT 336 RESUB BELMONT LAND CO</t>
  </si>
  <si>
    <t>DB-00000467 0000576</t>
  </si>
  <si>
    <t>2010 12TH AVE S</t>
  </si>
  <si>
    <t>METRO GOV'T  F  ENG CO 15 TRUCK 6</t>
  </si>
  <si>
    <t>DB-00007622 0000931</t>
  </si>
  <si>
    <t>PT LOTS 11-12-13 A.B. HILL &amp; PT LOT 1 SEC 109 EDGEHILL EST</t>
  </si>
  <si>
    <t>2219 21ST AVE S</t>
  </si>
  <si>
    <t>METRO GOV'T  F  FIRE HALL #16</t>
  </si>
  <si>
    <t>CD-00003141 0000000</t>
  </si>
  <si>
    <t>LOT 1 JACOB SUB MANLEY</t>
  </si>
  <si>
    <t>CD-00000000 0003141</t>
  </si>
  <si>
    <t>2102 ASHWOOD AVE</t>
  </si>
  <si>
    <t>METRO GOV'T  F  FIREHALL</t>
  </si>
  <si>
    <t>DB-20060427 0048612</t>
  </si>
  <si>
    <t>LOT 2 JACOB SUB MANLEY</t>
  </si>
  <si>
    <t>DB-00003158 0000351</t>
  </si>
  <si>
    <t>2025 21ST AVE S</t>
  </si>
  <si>
    <t>DB-00010259 0000940</t>
  </si>
  <si>
    <t>LOT 4 ST. BERNARD'S SUBD RE-SUB OF LOTS 2,3,4</t>
  </si>
  <si>
    <t>PL-00009700 0000271</t>
  </si>
  <si>
    <t>2006 BLAIR BLVD</t>
  </si>
  <si>
    <t>DB-00002395 0000533</t>
  </si>
  <si>
    <t>PT LOT 6 BLAIR REVISED BELMONT HGTS</t>
  </si>
  <si>
    <t>1524 KIRKWOOD AVE</t>
  </si>
  <si>
    <t>LOTS 92 &amp; 93 VICTORIA PLACE</t>
  </si>
  <si>
    <t>METRO GOV'T  P  FANNIE MAE DEES</t>
  </si>
  <si>
    <t>PT LOTS 137-138 UNIVERSITY PLACE  &amp; PT CL ST</t>
  </si>
  <si>
    <t>OR-20200557 0000000</t>
  </si>
  <si>
    <t>1923 20TH AVE S</t>
  </si>
  <si>
    <t>PT. LOTS 67, 68 CHRISTOPHER &amp; KIRKMAN ADDN.</t>
  </si>
  <si>
    <t>DB-00004379 0000069</t>
  </si>
  <si>
    <t>0 PORTLAND AVE</t>
  </si>
  <si>
    <t>PT. LOTS 72, 73, 74 CHRISTOPHER &amp; KIRKMAN ADDN.</t>
  </si>
  <si>
    <t>1701 19TH AVE S</t>
  </si>
  <si>
    <t>PT LOTS 130 TH 135 &amp; LOT 15 UNIVERSITY PLACE</t>
  </si>
  <si>
    <t>QC-00008094 0000108</t>
  </si>
  <si>
    <t>2401 BLAKEMORE AVE</t>
  </si>
  <si>
    <t>DB-00005278 0000737</t>
  </si>
  <si>
    <t>LOT 1 UNIVERSITY CENTER ESTATES SEC. 2</t>
  </si>
  <si>
    <t>PL-00005200 0000035</t>
  </si>
  <si>
    <t>3021 LEALAND LN</t>
  </si>
  <si>
    <t>METRO GOV'T  P  SEVIER</t>
  </si>
  <si>
    <t>BD-ZERO     0001306</t>
  </si>
  <si>
    <t>S E COR OF KIRKWOOD AVE &amp; LEALAND LN</t>
  </si>
  <si>
    <t>PL-00000547 0000105</t>
  </si>
  <si>
    <t>2400 FAIRFAX AVE</t>
  </si>
  <si>
    <t>METRO GOV'T  S  CALVERT &amp; EAKIN</t>
  </si>
  <si>
    <t>DB-00000936 0000493</t>
  </si>
  <si>
    <t>N E CORNER OF FAIRFAX AVE &amp; 26TH AVE SO</t>
  </si>
  <si>
    <t>DB-00005255 0000343</t>
  </si>
  <si>
    <t>1706 26TH AVE S</t>
  </si>
  <si>
    <t>METRO GOV'T  S  HARRIS-HILLMAN</t>
  </si>
  <si>
    <t>DB-00004803 0000055</t>
  </si>
  <si>
    <t>LOT 1 SEC. 1 UNIVERSITY CENTER ESTATES</t>
  </si>
  <si>
    <t>2301 10TH AVE S</t>
  </si>
  <si>
    <t>METRO GOV'T  S  WAVERLY BELMONT</t>
  </si>
  <si>
    <t>DB-00000936 0000545</t>
  </si>
  <si>
    <t>N W CORNER 10TH AVE SO &amp; CARUTHERS AVE</t>
  </si>
  <si>
    <t>2060 15TH AVE S</t>
  </si>
  <si>
    <t>METRO GOV'T  SM  T.V. STUDIO &amp; TOWER</t>
  </si>
  <si>
    <t>DB-00003316 0000216A</t>
  </si>
  <si>
    <t>L 303-311 289-297 RESUB BELMONT LAND CO-PT CL 14TH AVE S</t>
  </si>
  <si>
    <t>0 LOVE CIR</t>
  </si>
  <si>
    <t>DB-00000700 0000135</t>
  </si>
  <si>
    <t>LOTS 128 &amp; 129 BRANSFORD REALTY CO WEST END HGTS</t>
  </si>
  <si>
    <t>0 ACKLEN AVE</t>
  </si>
  <si>
    <t>S W COR ACKLEN AVE &amp; MARLBOROUGH AVE</t>
  </si>
  <si>
    <t>LOTS 111 &amp; 112 BRANSFORD REALTY CO WEST END HGTS</t>
  </si>
  <si>
    <t>PT OF LOTS 113 &amp; 114 BRANSFORD REALTY CO WEST END HGTS</t>
  </si>
  <si>
    <t>OR-02005644 0000000</t>
  </si>
  <si>
    <t>3433 LOVE CIR</t>
  </si>
  <si>
    <t>PT OF LOTS 88 TO 90 BRANSFORD REALTY CO WEST END HGTS</t>
  </si>
  <si>
    <t>3449 LOVE CIR</t>
  </si>
  <si>
    <t>3441 LOVE CIR</t>
  </si>
  <si>
    <t>DB-00000716 0000174</t>
  </si>
  <si>
    <t>N SIDE ACKLEN AVE W OF 32ND AVE S</t>
  </si>
  <si>
    <t>1715 JO JOHNSTON AVE</t>
  </si>
  <si>
    <t>SA-20170918 0095532</t>
  </si>
  <si>
    <t>LOT 44 J R HUDSON PLAN</t>
  </si>
  <si>
    <t>DB-00004239 0000316</t>
  </si>
  <si>
    <t>1717 JO JOHNSTON AVE</t>
  </si>
  <si>
    <t>PT LOT 43 J R HUDSON PLAN</t>
  </si>
  <si>
    <t>DB-00004192 0000468</t>
  </si>
  <si>
    <t>0 ANTHES DR</t>
  </si>
  <si>
    <t>DB-20151221 0127585</t>
  </si>
  <si>
    <t>N SIDE HERMITAGE AVE &amp; E OF PEABODY ST</t>
  </si>
  <si>
    <t>DB-00002290 0000519</t>
  </si>
  <si>
    <t>N OF HERMITAGE AVE &amp; E OF PEABODY</t>
  </si>
  <si>
    <t>DB-00004367 0000291</t>
  </si>
  <si>
    <t>N OF ANTHES DR &amp; W OF I-40</t>
  </si>
  <si>
    <t>OR-00082883 0000000</t>
  </si>
  <si>
    <t>180 ANTHES DR</t>
  </si>
  <si>
    <t>N/S ANTHES DR &amp; W OF INTERSTATE</t>
  </si>
  <si>
    <t>OR-00082833 0000000</t>
  </si>
  <si>
    <t>723 4TH AVE S</t>
  </si>
  <si>
    <t>DB-20140908 0082198</t>
  </si>
  <si>
    <t>PT LOT 45 BARROW GROVE</t>
  </si>
  <si>
    <t>DB-00000481 0000096</t>
  </si>
  <si>
    <t>1008 DR MARTIN L KING JR BLVD</t>
  </si>
  <si>
    <t>QC-20200615 0060972</t>
  </si>
  <si>
    <t>P O BOX 196300 ATTN: TN DEPT OF PARKS</t>
  </si>
  <si>
    <t>LOT 7 CAPITOL VIEW CONSOLIDATION RESUB</t>
  </si>
  <si>
    <t>PL-20170501 0042561</t>
  </si>
  <si>
    <t>600 S 1ST ST</t>
  </si>
  <si>
    <t>QC-20230901 0068581</t>
  </si>
  <si>
    <t>LOT 14A TENNESSEE NFL STADIUM PHASE 2 UNIFIED PLAT OF SUB LOTS 6,13 &amp; 14</t>
  </si>
  <si>
    <t>PL-20100929 0077565</t>
  </si>
  <si>
    <t>501 S 2ND ST</t>
  </si>
  <si>
    <t>LOT 10 TENNESSEE NFL STADIUM PHASE 2</t>
  </si>
  <si>
    <t>PL-00009700 0000987</t>
  </si>
  <si>
    <t>115 WOODLAND ST</t>
  </si>
  <si>
    <t>LOT 3 TENNESSEE NFL STADIUM PHASE 2</t>
  </si>
  <si>
    <t>PL-00009700 0000986</t>
  </si>
  <si>
    <t>0 VICTORY AVE</t>
  </si>
  <si>
    <t>LOT 12 TENNESSEE NFL STADIUM PHASE 2</t>
  </si>
  <si>
    <t>600 S 2ND ST</t>
  </si>
  <si>
    <t>LOT 11 TENNESSEE NFL STADIUM PHASE 2</t>
  </si>
  <si>
    <t>501 S 1ST ST</t>
  </si>
  <si>
    <t>LOT 15 TENNESSEE NLF STADIUM PH 2 LOT 15</t>
  </si>
  <si>
    <t>PL-20100924 0076276</t>
  </si>
  <si>
    <t>20 VICTORY AVE</t>
  </si>
  <si>
    <t>LOT 13 TENNESSEE NFL STADIUM PHASE 2 UNIFIED PLAT OF SUB LOTS 6,13 &amp; 14</t>
  </si>
  <si>
    <t>109 S 2ND ST</t>
  </si>
  <si>
    <t>LOT 4 TENNESSEE NFL STADIUM PHASE 2 &amp; PT CLSD R.O.W.</t>
  </si>
  <si>
    <t>OR-20240297 0000000</t>
  </si>
  <si>
    <t>201 SHELBY AVE</t>
  </si>
  <si>
    <t>LOT 9 TENNESSEE NFL STADIUM PHASE 2 &amp; PT CLSD R.O.W.</t>
  </si>
  <si>
    <t>128 JOSEPHINE HOLLOWAY AVE</t>
  </si>
  <si>
    <t>QC-20200615 0060973</t>
  </si>
  <si>
    <t>LOT 5 CAPITOL VIEW RESUB OF LOTS 2,4 &amp; 5</t>
  </si>
  <si>
    <t>1412 11TH AVE N</t>
  </si>
  <si>
    <t>DB-00010228 0000001</t>
  </si>
  <si>
    <t>PT LOT 403 MCGAVOCK TOWN NORTH NASHVILLE</t>
  </si>
  <si>
    <t>DB-00003311 0000054</t>
  </si>
  <si>
    <t>1408 11TH AVE N</t>
  </si>
  <si>
    <t>DB-00010227 0000995</t>
  </si>
  <si>
    <t>PT LOT 404 MCGAVOCK TOWN NORTH NASHVILLE</t>
  </si>
  <si>
    <t>0 SHELBY AVE</t>
  </si>
  <si>
    <t>QC-20121207 0112884</t>
  </si>
  <si>
    <t>LOT 14B TENNESSEE NFL STADIUM PHASE 2 UNIFIED PLAT OF SUB LOTS 6,13 &amp; 14</t>
  </si>
  <si>
    <t>116 S 1ST ST</t>
  </si>
  <si>
    <t>LOT 5 TENNESSEE NFL STADIUM PHASE 2</t>
  </si>
  <si>
    <t>6 MAIN ST</t>
  </si>
  <si>
    <t>LOT 2 TENNESSEE NFL STADIUM PHASE 2</t>
  </si>
  <si>
    <t>1 TITANS WAY</t>
  </si>
  <si>
    <t>LOT 8 TENNESSEE NFL STADIUM PHASE 2 &amp; PT CLSD R.O.W.</t>
  </si>
  <si>
    <t>815 EWING AVE</t>
  </si>
  <si>
    <t>DB-20140618 0053186</t>
  </si>
  <si>
    <t>PT LOTS 87, 88, 89 &amp; 92 EWING &amp; WETMORE</t>
  </si>
  <si>
    <t>DB-20180306 0021169</t>
  </si>
  <si>
    <t>518 ASH ST</t>
  </si>
  <si>
    <t>CD-20141211 0113642</t>
  </si>
  <si>
    <t>PT OF LOT 118 BARROW GROVE</t>
  </si>
  <si>
    <t>QC-20160524 0051981</t>
  </si>
  <si>
    <t>1827 6TH AVE N</t>
  </si>
  <si>
    <t>DB-00005413 0000458</t>
  </si>
  <si>
    <t>LOT PT 438 NORTH NASH REAL ESTATE CO</t>
  </si>
  <si>
    <t>DB-00001148 0000078</t>
  </si>
  <si>
    <t>1615 10TH AVE N</t>
  </si>
  <si>
    <t>DB-00005413 0000506</t>
  </si>
  <si>
    <t>PT LOT 274 MCGAVOCKS TOWN NO NASHVILLE</t>
  </si>
  <si>
    <t>DB-00003404 0000200</t>
  </si>
  <si>
    <t>0 DR D B TODD JR BLVD</t>
  </si>
  <si>
    <t>DB-00008153 0000485</t>
  </si>
  <si>
    <t>PT LOT 10 SCRUGGS SUB BOSTICK</t>
  </si>
  <si>
    <t>OR-00081783 0000000</t>
  </si>
  <si>
    <t>601 KOREAN VETERANS BLVD</t>
  </si>
  <si>
    <t>METRO GOV'T  CC  CONVENTION CENTER AUTHORITY</t>
  </si>
  <si>
    <t>QC-20130805 0081336</t>
  </si>
  <si>
    <t>LOT 2 NES PEABODY SUBSTATION SUB</t>
  </si>
  <si>
    <t>PL-20130620 0063490</t>
  </si>
  <si>
    <t>CBID</t>
  </si>
  <si>
    <t>600 KOREAN VETERANS BLVD</t>
  </si>
  <si>
    <t>QC-20100421 0030263</t>
  </si>
  <si>
    <t>1 PUBLIC SQ STE 106</t>
  </si>
  <si>
    <t>LOT 1 MUSIC CITY CENTER 2ND REV</t>
  </si>
  <si>
    <t>PL-20170620 0061814</t>
  </si>
  <si>
    <t>201 REP JOHN LEWIS WAY S</t>
  </si>
  <si>
    <t>LOT 2 MUSIC CITY CENTER 2ND REV</t>
  </si>
  <si>
    <t>510 1ST AVE N</t>
  </si>
  <si>
    <t>METRO GOV'T  F  NEW HEADQUARTERS</t>
  </si>
  <si>
    <t>DB-00004726 0000602</t>
  </si>
  <si>
    <t>E SIDE 1ST AVE NO N OF JO JOHNSON</t>
  </si>
  <si>
    <t>110 JO JOHNSTON AVE</t>
  </si>
  <si>
    <t>LOT 1 METRO SUPPORTIVE HOUSING</t>
  </si>
  <si>
    <t>PL-20220810 0090797</t>
  </si>
  <si>
    <t>505 2ND AVE N</t>
  </si>
  <si>
    <t>PT LOT 20 ORIGINAL TOWN OF NASHVILLE</t>
  </si>
  <si>
    <t>500 2ND AVE N</t>
  </si>
  <si>
    <t>LOT 2 METRO SUPPORTIVE HOUSING</t>
  </si>
  <si>
    <t>100 WOODLAND ST</t>
  </si>
  <si>
    <t>METRO GOV'T  J  JUVENILE COURT</t>
  </si>
  <si>
    <t>DB-00008432 0000447</t>
  </si>
  <si>
    <t>PARCEL 3 METRO/DAVIDSON COUNTY JUVENILE JUSTICE CENTER &amp; PT CLSD R.O.W.</t>
  </si>
  <si>
    <t>615 CHURCH ST</t>
  </si>
  <si>
    <t>METRO GOV'T  L  DOWNTOWN</t>
  </si>
  <si>
    <t>QC-00007388 0000239</t>
  </si>
  <si>
    <t>DOWNTOWN LIBRARY SUB</t>
  </si>
  <si>
    <t>PL-00011700 0000013</t>
  </si>
  <si>
    <t>1001 MONROE ST</t>
  </si>
  <si>
    <t>METRO GOV'T  L  NORTH BRANCH</t>
  </si>
  <si>
    <t>LOT 74 75 MCGAVOCK TOWN NORTH NASHVILLE</t>
  </si>
  <si>
    <t>0 GAY ST</t>
  </si>
  <si>
    <t>DB-00005172 0000875</t>
  </si>
  <si>
    <t>LOT J GAY STREET CONNECTOR SUB</t>
  </si>
  <si>
    <t>PL-00004860 0000067</t>
  </si>
  <si>
    <t>LOT L GAY ST CONNECTOR SUB</t>
  </si>
  <si>
    <t>DB-00004788 0000710</t>
  </si>
  <si>
    <t>0 1ST AVE N</t>
  </si>
  <si>
    <t>LOT M GAY ST CONNECTOR SUB</t>
  </si>
  <si>
    <t>DB-00004558 0000559</t>
  </si>
  <si>
    <t>1 PUBLIC SQ</t>
  </si>
  <si>
    <t>METRO GOV'T  M  COURT HOUSE</t>
  </si>
  <si>
    <t>LOT I, 1 &amp; 2 &amp; K GAY ST CON SUB &amp; PT CLOSED STREET</t>
  </si>
  <si>
    <t>OR-20050598 0000000</t>
  </si>
  <si>
    <t>90 PEABODY ST</t>
  </si>
  <si>
    <t>METRO GOV'T  M  DISTRICT ENERGY</t>
  </si>
  <si>
    <t>DB-20020917 0113248</t>
  </si>
  <si>
    <t>LOT 2 PEABODY STREET TRACT K</t>
  </si>
  <si>
    <t>PL-20230512 0035449</t>
  </si>
  <si>
    <t>701 BROADWAY</t>
  </si>
  <si>
    <t>QC-00005643 0000786</t>
  </si>
  <si>
    <t>LOTS 3 4 SOUTHFIELD</t>
  </si>
  <si>
    <t>170 1ST AVE N</t>
  </si>
  <si>
    <t>METRO GOV'T  M  FORT NASHBORO</t>
  </si>
  <si>
    <t>DB-00000014 0000001</t>
  </si>
  <si>
    <t>N E CORNER 1ST AVE N &amp; BROADWAY</t>
  </si>
  <si>
    <t>PL-00005800 0000382</t>
  </si>
  <si>
    <t>700 PRESIDENT RONALD REAGAN WAY</t>
  </si>
  <si>
    <t>METRO GOV'T  M  GENERAL SERVICES</t>
  </si>
  <si>
    <t>DB-00001086 0000582</t>
  </si>
  <si>
    <t>S E CORNER OF 2ND AVE S &amp; MIDDLETON ST</t>
  </si>
  <si>
    <t>DB-00006041 0000129</t>
  </si>
  <si>
    <t>200 JAMES ROBERTSON PKWY</t>
  </si>
  <si>
    <t>DB-00005946 0000923</t>
  </si>
  <si>
    <t>LOTS 21-23 OF ORIGINAL TOWN OF NASH &amp; CLOSED ALLEY</t>
  </si>
  <si>
    <t>CO-20171212 0000000</t>
  </si>
  <si>
    <t>408 2ND AVE N</t>
  </si>
  <si>
    <t>DB-00001133 0000008B</t>
  </si>
  <si>
    <t>LOT 8 ORIGINAL TOWN OF NASHVILLE &amp; PT CLOSED ALLEY</t>
  </si>
  <si>
    <t>OR-00831136 0000000</t>
  </si>
  <si>
    <t>714 1ST AVE N</t>
  </si>
  <si>
    <t>METRO GOV'T  M  GENERAL SESSIONS COURT</t>
  </si>
  <si>
    <t>DB-00008398 0000819</t>
  </si>
  <si>
    <t>E/S 1ST AVE NO-N OF JO JOHNSTON AV</t>
  </si>
  <si>
    <t>METRO GOV'T  M  ISLAND-LOWER</t>
  </si>
  <si>
    <t>BD-00000042 0000555</t>
  </si>
  <si>
    <t>ISLAND IN RIVER S OF I 265</t>
  </si>
  <si>
    <t>DB-00000042 0000555</t>
  </si>
  <si>
    <t>11/5/1869</t>
  </si>
  <si>
    <t>1001 BROADWAY</t>
  </si>
  <si>
    <t>METRO GOV'T  M  M. D. H. A.</t>
  </si>
  <si>
    <t>QC-00006681 0000591</t>
  </si>
  <si>
    <t>S/W COR OF BROADWAY &amp; 10TH AVE. S. &amp; PT CL ST</t>
  </si>
  <si>
    <t>OR-00851058 0000000</t>
  </si>
  <si>
    <t>600 CHURCH ST</t>
  </si>
  <si>
    <t>DB-00011031 0000610</t>
  </si>
  <si>
    <t>LOT 113 ORIGINAL TOWN OF NASHVILLE</t>
  </si>
  <si>
    <t>310 1ST AVE S</t>
  </si>
  <si>
    <t>QC-00006417 0000949</t>
  </si>
  <si>
    <t>LOT 1 WEST RIVERFRONT RESURVEY</t>
  </si>
  <si>
    <t>PL-20150505 0040688</t>
  </si>
  <si>
    <t>417 4TH AVE N</t>
  </si>
  <si>
    <t>THEATER/AUDITORIUM</t>
  </si>
  <si>
    <t>METRO GOV'T  M  MUNICIPAL AUDITORIUM</t>
  </si>
  <si>
    <t>DB-00003071 0000134</t>
  </si>
  <si>
    <t>PT LOT A 1 CAPITOL HILL, REDEVELOPMENT PROJECT</t>
  </si>
  <si>
    <t>428 1ST AVE N</t>
  </si>
  <si>
    <t>METRO GOV'T  M  PARKING LOT</t>
  </si>
  <si>
    <t>DB-00003848 0000840</t>
  </si>
  <si>
    <t>E SIDE 1ST AVE N OF VICTORY MEMORIAL BRIDGE</t>
  </si>
  <si>
    <t>DB-00004196 0000373</t>
  </si>
  <si>
    <t>E SIDE GAY ST CONNECTOR N OF JAMES ROBERTSON PARKWAY</t>
  </si>
  <si>
    <t>0 MORRISON ST</t>
  </si>
  <si>
    <t>DB-00004583 0000945</t>
  </si>
  <si>
    <t>PT LOT 14 JOHNSON BRANSFORD SUB MCNAIRY</t>
  </si>
  <si>
    <t>88 HERMITAGE AVE</t>
  </si>
  <si>
    <t>METRO GOV'T  M MISC</t>
  </si>
  <si>
    <t>QC-20220922 0105583</t>
  </si>
  <si>
    <t>N SIDE HERMITAGE AVE. E. OF PEABODY ST.</t>
  </si>
  <si>
    <t>DB-00000048 0000059</t>
  </si>
  <si>
    <t>7 MAIN ST</t>
  </si>
  <si>
    <t>N MARGIN MEMORIAL BRIDGE, E OF CUMBERLAND RIVER</t>
  </si>
  <si>
    <t>3 MAIN ST</t>
  </si>
  <si>
    <t>N MARGIN MEMORIAL BRIDGE, E SIDE CUMBERLAND RIVER</t>
  </si>
  <si>
    <t>413 6TH AVE S</t>
  </si>
  <si>
    <t>DB-20121203 0110467</t>
  </si>
  <si>
    <t>LOT 1 NES PEABODY SUBSTATION SUB</t>
  </si>
  <si>
    <t>609 TAYLOR ST</t>
  </si>
  <si>
    <t>DB-00001416 0000581</t>
  </si>
  <si>
    <t>P/O LOT 35 NORTH NASH REAL ESTATE CO</t>
  </si>
  <si>
    <t>200 12TH AVE N</t>
  </si>
  <si>
    <t>QC-20101028 0086407</t>
  </si>
  <si>
    <t>PT LOT 100 &amp; LOTS 101 THRU 111 HYNES ADDN PT CL ALLEY &amp; ST</t>
  </si>
  <si>
    <t>OR-00871902 0000000</t>
  </si>
  <si>
    <t>DB-00001422 0000189</t>
  </si>
  <si>
    <t>LOTS 85 THRU 97 HYNES ADDN &amp; PT CLOSED ST &amp; ALLEY</t>
  </si>
  <si>
    <t>220 12TH AVE N</t>
  </si>
  <si>
    <t>PARKING GARAGE</t>
  </si>
  <si>
    <t>LOT 98-99 &amp; P/O LT 100 HYNES ADDN.&amp; PT CLOSED ST.&amp; ALLEY</t>
  </si>
  <si>
    <t>300 GEORGE L DAVIS BLVD</t>
  </si>
  <si>
    <t>DB-00001318 0000425</t>
  </si>
  <si>
    <t>LOTS 9-15 &amp; P/O 16-21 HYNES ADDN &amp; PT CLOSED ST.&amp; ALLEY</t>
  </si>
  <si>
    <t>308 12TH AVE N</t>
  </si>
  <si>
    <t>DB-00003340 0000226</t>
  </si>
  <si>
    <t>LOTS 1-25 HYNES CORP.PLAN &amp; PT CLOSED ALLEY &amp; ST.</t>
  </si>
  <si>
    <t>419 GAY ST</t>
  </si>
  <si>
    <t>DB-00001136 0000008</t>
  </si>
  <si>
    <t>PT LOT 6, 7 ORIGINAL TOWN OF NASH &amp; PT CLOSED ALLEY</t>
  </si>
  <si>
    <t>1009 PHILLIPS ST</t>
  </si>
  <si>
    <t>METRO GOV'T  P  HOPE GARDEN</t>
  </si>
  <si>
    <t>QC-20000127 0008739</t>
  </si>
  <si>
    <t>LOT B HASLAM PLAN</t>
  </si>
  <si>
    <t>DB-00004216 0000856</t>
  </si>
  <si>
    <t>411 HUME ST</t>
  </si>
  <si>
    <t>METRO GOV'T  P  MORGAN</t>
  </si>
  <si>
    <t>DB-00000410 0000251</t>
  </si>
  <si>
    <t>PT LTS 3 &amp; ALL LTS 4-19 HORTICULTURAL SOC.</t>
  </si>
  <si>
    <t>1515 3RD AVE N</t>
  </si>
  <si>
    <t>BD-ZERO     0000588</t>
  </si>
  <si>
    <t>LOTS 22 THRU 37 HORTICULTURAL SOCIETY</t>
  </si>
  <si>
    <t>PL-00000002 0000030</t>
  </si>
  <si>
    <t>5/23/1889</t>
  </si>
  <si>
    <t>1054 SCOVEL ST</t>
  </si>
  <si>
    <t>DB-00006417 0000953</t>
  </si>
  <si>
    <t>LTS 33 32 MCGAVOCK TOWN NORTH NASHVILLE</t>
  </si>
  <si>
    <t>WB-00000068 0000441</t>
  </si>
  <si>
    <t>DB-00005145 0000808</t>
  </si>
  <si>
    <t>LOT N-1 GAY ST CONNECTOR SUB</t>
  </si>
  <si>
    <t>DB-00004682 0000746</t>
  </si>
  <si>
    <t>1043 MONROE ST</t>
  </si>
  <si>
    <t>LOTS 92 &amp; 93 MCGAVOCK TOWN NORTH NASHVILLE</t>
  </si>
  <si>
    <t>103 GAY ST</t>
  </si>
  <si>
    <t>DB-00005145 0000801</t>
  </si>
  <si>
    <t>LOT N-2 GAY ST CONNECTOR SUB</t>
  </si>
  <si>
    <t>834 JANE ST</t>
  </si>
  <si>
    <t>DB-00005413 0000450</t>
  </si>
  <si>
    <t>PT LOT 294 296 NORTH NASH REAL ESTATE CO</t>
  </si>
  <si>
    <t>DB-00004153 0000610</t>
  </si>
  <si>
    <t>836 JANE ST</t>
  </si>
  <si>
    <t>DB-00005413 0000454</t>
  </si>
  <si>
    <t>PT LTS 294 296 NORTH NASH REAL ESTATE CO</t>
  </si>
  <si>
    <t>DB-00003220 0000009</t>
  </si>
  <si>
    <t>63 HERMITAGE AVE</t>
  </si>
  <si>
    <t>METRO GOV'T  P  SOUTH</t>
  </si>
  <si>
    <t>DB-00003768 0000615</t>
  </si>
  <si>
    <t>S/W CORNER OF ACADEMY PL &amp; HERMITAGE AV</t>
  </si>
  <si>
    <t>616 17TH AVE N</t>
  </si>
  <si>
    <t>METRO GOV'T  P  WATKINS</t>
  </si>
  <si>
    <t>DB-00000068 0000494</t>
  </si>
  <si>
    <t>N W COR JO JOHNSTON &amp; 16TH AVE N</t>
  </si>
  <si>
    <t>130 JOSEPHINE HOLLOWAY AVE</t>
  </si>
  <si>
    <t>METRO GOV'T  P PARKS</t>
  </si>
  <si>
    <t>QC-20160527 0053696</t>
  </si>
  <si>
    <t>P O BOX 196300 C/O DEPT OF PARKS &amp; RECREATION</t>
  </si>
  <si>
    <t>S/W CORNER OF JO JOHNSTON AV &amp; 10TH AV N &amp; PT OF CL ROW</t>
  </si>
  <si>
    <t>OR-20160185 0000000</t>
  </si>
  <si>
    <t>126 ROSA L PARKS BLVD</t>
  </si>
  <si>
    <t>CR-20060707 0081558</t>
  </si>
  <si>
    <t>PT LOT 152 ORIGINAL TOWN OF NASHVILLE &amp; PT OF CL ALLEY</t>
  </si>
  <si>
    <t>OR-02014672 0000000</t>
  </si>
  <si>
    <t>1531 9TH AVE N</t>
  </si>
  <si>
    <t>METRO GOV'T  S  BUENA VISTA</t>
  </si>
  <si>
    <t>BD-ZERO     0000553</t>
  </si>
  <si>
    <t>LT 235-241 PT LT 242&amp;176-186 MCGAVOCKS TOWN OF NO NASHVILLE</t>
  </si>
  <si>
    <t>PL-00000021 0000023</t>
  </si>
  <si>
    <t>6/1/1856</t>
  </si>
  <si>
    <t>1624 5TH AVE N</t>
  </si>
  <si>
    <t>METRO GOV'T  S  FEHR</t>
  </si>
  <si>
    <t>BD-ZERO     0000586</t>
  </si>
  <si>
    <t>LOT 54 THRU 58 &amp; 87 THRU 92 D T MCGAVOCK</t>
  </si>
  <si>
    <t>PL-00000021 0000007</t>
  </si>
  <si>
    <t>5/15/1855</t>
  </si>
  <si>
    <t>700 BROADWAY</t>
  </si>
  <si>
    <t>METRO GOV'T  S  HUME FOGG</t>
  </si>
  <si>
    <t>DB-00000476 0000489</t>
  </si>
  <si>
    <t>LTS 141 153 ORIGINAL TOWN OF NASHVILLE &amp; PT OF CL ALLEY</t>
  </si>
  <si>
    <t>608 18TH AVE N</t>
  </si>
  <si>
    <t>METRO GOV'T  S  MLK</t>
  </si>
  <si>
    <t>DB-20150511 0043151</t>
  </si>
  <si>
    <t>LOTS 22 &amp; 23 PT 21 H. P. BOSTICK ADD'N &amp; PT CLOSED ALLEY</t>
  </si>
  <si>
    <t>OR-20151313 0000000</t>
  </si>
  <si>
    <t>1711 JO JOHNSTON AVE</t>
  </si>
  <si>
    <t>DB-20161019 0110644</t>
  </si>
  <si>
    <t>LOT 46 J R HUDSON PLAN</t>
  </si>
  <si>
    <t>DB-00002483 0000186</t>
  </si>
  <si>
    <t>1713 JO JOHNSTON AVE</t>
  </si>
  <si>
    <t>LOT 45 J R HUDSON PLAN</t>
  </si>
  <si>
    <t>DB-00004803 0000169</t>
  </si>
  <si>
    <t>613 17TH AVE N</t>
  </si>
  <si>
    <t>METRO GOV'T  S  PEARL</t>
  </si>
  <si>
    <t>DB-00000963 0000731</t>
  </si>
  <si>
    <t>LT 5 &amp; 6 BOSTICK ADDN,  ACREAGE TRACT &amp; PT CLOSED ST &amp; ALLEY</t>
  </si>
  <si>
    <t>601 PRESIDENT RONALD REAGAN WAY</t>
  </si>
  <si>
    <t>METRO GOV'T  SM  SCHOOL MAINTENANCE</t>
  </si>
  <si>
    <t>DB-00005075 0000200</t>
  </si>
  <si>
    <t>LOT 1-A-B-D-E WILLIAM CAMPBELL SUB PT CL AL</t>
  </si>
  <si>
    <t>OR-00078942 0000000</t>
  </si>
  <si>
    <t>501 BROADWAY</t>
  </si>
  <si>
    <t>METRO GOV'T  SP  SPORTS AUTHORITY</t>
  </si>
  <si>
    <t>QC-00010294 0000887</t>
  </si>
  <si>
    <t>LOT 1 NASHVILLE ARENA PHASE 1</t>
  </si>
  <si>
    <t>PL-00007900 0000755</t>
  </si>
  <si>
    <t>1930 CEMENT PLANT RD</t>
  </si>
  <si>
    <t>DB-00009149 0000181</t>
  </si>
  <si>
    <t>LOT 1-B RESUB OF METROCENTER TRACT 11&amp;11-A</t>
  </si>
  <si>
    <t>PL-00007900 0000580</t>
  </si>
  <si>
    <t>1935 CEMENT PLANT RD</t>
  </si>
  <si>
    <t>LOT 1-A RESUB OF METROCENTER TRACT 11&amp;11-A</t>
  </si>
  <si>
    <t>1711 2ND AVE N</t>
  </si>
  <si>
    <t>DB-00008729 0000551</t>
  </si>
  <si>
    <t>LOT 1 CENTRAL WASTEWATER TREATMENT PLANT EXPANSION</t>
  </si>
  <si>
    <t>PL-00007900 0000430</t>
  </si>
  <si>
    <t>1815 CEMENT PLANT RD</t>
  </si>
  <si>
    <t>DB-00006660 0000563</t>
  </si>
  <si>
    <t>W/S CEMENT PLANT RD N OF HUME ST</t>
  </si>
  <si>
    <t>1825 CEMENT PLANT RD</t>
  </si>
  <si>
    <t>DB-00007085 0000186</t>
  </si>
  <si>
    <t>AT END OF ADAMS ST E OF CEMENT PLANT RD</t>
  </si>
  <si>
    <t>DB-00001451 0000583</t>
  </si>
  <si>
    <t>1816 3RD AVE N</t>
  </si>
  <si>
    <t>DB-00007669 0000474</t>
  </si>
  <si>
    <t>E SIDE 3RD AVE NO N OF GARFIELD</t>
  </si>
  <si>
    <t>DB-00003907 0000812</t>
  </si>
  <si>
    <t>805 COWAN ST</t>
  </si>
  <si>
    <t>DB-00011343 0000592</t>
  </si>
  <si>
    <t>LOT 1 TANKSLEY REAL ESTATE MINOR SUBD</t>
  </si>
  <si>
    <t>PL-00009700 0000717</t>
  </si>
  <si>
    <t>922 2ND AVE N</t>
  </si>
  <si>
    <t>QC-00011173 0000904</t>
  </si>
  <si>
    <t>E/SIDE 2ND AV N W/S 1ST AV N</t>
  </si>
  <si>
    <t>QC-00010882 0000529</t>
  </si>
  <si>
    <t>912 3RD AVE N</t>
  </si>
  <si>
    <t>E/SIDE 3RD AV N W/S 2ND AV N</t>
  </si>
  <si>
    <t>0 N 1ST ST</t>
  </si>
  <si>
    <t>RD-20040709 0082162</t>
  </si>
  <si>
    <t>P/O LOT 13 SHELBY ESTATE</t>
  </si>
  <si>
    <t>DB-00011471 0000681</t>
  </si>
  <si>
    <t>916 3RD AVE N</t>
  </si>
  <si>
    <t>DB-00011027 0000558</t>
  </si>
  <si>
    <t>PT LOT 2 STOCKYARDS BUSINESS CENTER SECT 2</t>
  </si>
  <si>
    <t>1601 3RD AVE N</t>
  </si>
  <si>
    <t>DB-00005002 0000464</t>
  </si>
  <si>
    <t>LOT 2 METRO GOV'T PROP CENT WASTEWATER TREATMENT PLANT SITE</t>
  </si>
  <si>
    <t>PL-00005050 0000017</t>
  </si>
  <si>
    <t>1511 2ND AVE N</t>
  </si>
  <si>
    <t>DB-00000039 0000558</t>
  </si>
  <si>
    <t>LOT 100&amp; PT LOTS 96TH99 &amp;101&amp;102 MCGAVOCK CITY PARK-PT CL ST</t>
  </si>
  <si>
    <t>OR-00000941 0000212</t>
  </si>
  <si>
    <t>DB-00005161 0000688</t>
  </si>
  <si>
    <t>L 1 METRO GOVT PROP CENT WASTEWATER TREATMENT PL-3 TRS&amp;CL ST</t>
  </si>
  <si>
    <t>OR-00941212 0000000</t>
  </si>
  <si>
    <t>105 VAN BUREN ST</t>
  </si>
  <si>
    <t>DB-00009593 0000995</t>
  </si>
  <si>
    <t>LOTS 86-87-88-89 MCGAVOCK CITY PARK</t>
  </si>
  <si>
    <t>PL-00007900 0000586</t>
  </si>
  <si>
    <t>1810 CEMENT PLANT RD</t>
  </si>
  <si>
    <t>DB-00007017 0000341</t>
  </si>
  <si>
    <t>LOT 3 W.G. BUSH SUB SEC 3 &amp; ACREAGE TRACT &amp; PT OF CLOSED ROW</t>
  </si>
  <si>
    <t>OR-02014982 0000000</t>
  </si>
  <si>
    <t>130 N 1ST ST</t>
  </si>
  <si>
    <t>PT LOT 13 SHELBY ESTATE</t>
  </si>
  <si>
    <t>1508 3RD AVE N</t>
  </si>
  <si>
    <t>LOTS 16TH21, 59TH64 &amp; PT LOTS 14,15&amp;65 MCGAVOCK PR-PT CL ST</t>
  </si>
  <si>
    <t>424 LAFAYETTE ST</t>
  </si>
  <si>
    <t>METRO GOV'T CONVENTION CENTER</t>
  </si>
  <si>
    <t>QC-20171023 0108325</t>
  </si>
  <si>
    <t>201 FIFTH AVE S</t>
  </si>
  <si>
    <t>PT LOTS 75 THRU 78  &amp; PT LOT 74 OF BARROW GROVE</t>
  </si>
  <si>
    <t>CO-20060418 0043752</t>
  </si>
  <si>
    <t>1719 JO JOHNSTON AVE</t>
  </si>
  <si>
    <t>PT LOTS 42 &amp; 43 J R HUDSON PLAN</t>
  </si>
  <si>
    <t>DB-00002693 0000049</t>
  </si>
  <si>
    <t>200 B JOSEPHINE HOLLOWAY AVE</t>
  </si>
  <si>
    <t>METRO GOV'T OF NASHVILLE</t>
  </si>
  <si>
    <t>LOT Q CAPITOL HILL, REDEVELOPMENT PROJECT  &amp; PT OF CL ROW</t>
  </si>
  <si>
    <t>METRO GOV'T PARKS AND RECREATION</t>
  </si>
  <si>
    <t>SA-20191113 0116873</t>
  </si>
  <si>
    <t>LOT P CAPITOL HILL REDEVELOPMENT PROJECT &amp; PT OF CL ROW AND RR</t>
  </si>
  <si>
    <t>QC-20151007 0102346</t>
  </si>
  <si>
    <t>1612 4TH AVE N</t>
  </si>
  <si>
    <t>METRO GOV'T S MAC</t>
  </si>
  <si>
    <t>DB-00011318 0000024</t>
  </si>
  <si>
    <t>LOT 42 D T MCGAVOCK</t>
  </si>
  <si>
    <t>DB-00003035 0000515</t>
  </si>
  <si>
    <t>1915 CEMENT PLANT RD</t>
  </si>
  <si>
    <t>DB-00007085 0000187</t>
  </si>
  <si>
    <t>W OF 2ND AV N S OF I-65</t>
  </si>
  <si>
    <t>400 DR MARTIN L KING JR BLVD</t>
  </si>
  <si>
    <t>QC-20070216 0020015</t>
  </si>
  <si>
    <t>LOT 1 CAPITOL HILL REDEVELOPMENT PROJECT REVISED SUB OF LOT A-2 &amp; PT LOT A-1</t>
  </si>
  <si>
    <t>PL-20070413 0044621</t>
  </si>
  <si>
    <t>185 ANTHES DR</t>
  </si>
  <si>
    <t>DB-20220328 0035748</t>
  </si>
  <si>
    <t>W OF ANTHES DR - N OF I-40</t>
  </si>
  <si>
    <t>1098 CLEECES FERRY RD</t>
  </si>
  <si>
    <t>DB-00000530 0000661</t>
  </si>
  <si>
    <t>W END CLEECE'S FERRY RD E/S CUMBERLAND RIVER &amp; P/O CLOSED ST</t>
  </si>
  <si>
    <t>OR-00092219 0000000</t>
  </si>
  <si>
    <t>0 DELRAY DR</t>
  </si>
  <si>
    <t>QC-20130909 0095041</t>
  </si>
  <si>
    <t>W OF DELRAY DR N OF URBANDALE AVENUE</t>
  </si>
  <si>
    <t>DB-00003027 0000181</t>
  </si>
  <si>
    <t>0 AMERICAN RD</t>
  </si>
  <si>
    <t>DB-00008153 0000503</t>
  </si>
  <si>
    <t>PT OF LOT 99 SEC 1 CHARLOTTE PARK</t>
  </si>
  <si>
    <t>DB-00002453 0000128</t>
  </si>
  <si>
    <t>0 CONWAY ST</t>
  </si>
  <si>
    <t>CR-20150702 0064008</t>
  </si>
  <si>
    <t>E SIDE CONWAY ST N OF URBANDALE AVENUE</t>
  </si>
  <si>
    <t>DB-00004746 0000986</t>
  </si>
  <si>
    <t>0 DULUTH AVE</t>
  </si>
  <si>
    <t>CR-20100429 0032788</t>
  </si>
  <si>
    <t>PT LOT 21 WESTOVER RESUB OF COCKRILL</t>
  </si>
  <si>
    <t>DB-00004290 0000113</t>
  </si>
  <si>
    <t>6217 CENTENNIAL BLVD</t>
  </si>
  <si>
    <t>METRO GOV'T  F  ENG CO 23 TRUCK 9</t>
  </si>
  <si>
    <t>DB-00003433 0000457</t>
  </si>
  <si>
    <t>LOTS 14, 16, 18 &amp; 20 BLK. C CHEROKEE PARK</t>
  </si>
  <si>
    <t>DB-00006374 0000378</t>
  </si>
  <si>
    <t>DB-00003031 0000321</t>
  </si>
  <si>
    <t>0 63RD AVE N</t>
  </si>
  <si>
    <t>DB-00001628 0000487</t>
  </si>
  <si>
    <t>N SIDE 63RD AVE NO E SIDE BRILEY PKWY</t>
  </si>
  <si>
    <t>DB-00004316 0000493</t>
  </si>
  <si>
    <t>6203 CHARLOTTE PIKE</t>
  </si>
  <si>
    <t>DB-00001580 0000401</t>
  </si>
  <si>
    <t>S SIDE CHARLOTTE PIKE W OF MARCIA AVE</t>
  </si>
  <si>
    <t>541 ANNEX AVE</t>
  </si>
  <si>
    <t>DB-00002647 0000331</t>
  </si>
  <si>
    <t>LOT 134 SEC 2 CHARLOTTE PARK</t>
  </si>
  <si>
    <t>911 63RD AVE N</t>
  </si>
  <si>
    <t>QC-00005620 0000600</t>
  </si>
  <si>
    <t>W/S 63RD AVE N. S OF CENTENNIAL BLVD</t>
  </si>
  <si>
    <t>DB-00001136 0000012</t>
  </si>
  <si>
    <t>1001 63RD AVE N</t>
  </si>
  <si>
    <t>W/S 63RD AVE N-S OF CENTENNIAL BLVD</t>
  </si>
  <si>
    <t>DB-20180402 0030604</t>
  </si>
  <si>
    <t>6503 THUNDERBIRD DR</t>
  </si>
  <si>
    <t>DB-00003499 0000399</t>
  </si>
  <si>
    <t>LOT 1096 CHARLOTTE PARK SEC 19</t>
  </si>
  <si>
    <t>6031 E BEND DR</t>
  </si>
  <si>
    <t>METRO GOV'T  P  CHARLOTTE</t>
  </si>
  <si>
    <t>CD-00078926 0000000</t>
  </si>
  <si>
    <t>S SIDE DEAL AVE W OF EASTBORO DR</t>
  </si>
  <si>
    <t>7265 COCKRILL BEND BLVD</t>
  </si>
  <si>
    <t>DB-00006138 0000190</t>
  </si>
  <si>
    <t>S/S COCKRILL BEND BV W OF CENTENNIAL BV</t>
  </si>
  <si>
    <t>OR-00089988 0000000</t>
  </si>
  <si>
    <t>6802 B CHARLOTTE PIKE</t>
  </si>
  <si>
    <t>DB-00007478 0000186</t>
  </si>
  <si>
    <t>PT LOT 7 MOUNT HICKORY SUB</t>
  </si>
  <si>
    <t>QC-20130925 0100889</t>
  </si>
  <si>
    <t>809 DELRAY DR</t>
  </si>
  <si>
    <t>DB-20120516 0042302</t>
  </si>
  <si>
    <t>LOT 71 SEC 1 MORROW MEADOWS</t>
  </si>
  <si>
    <t>DB-00003097 0000037</t>
  </si>
  <si>
    <t>711 DELRAY DR</t>
  </si>
  <si>
    <t>DB-20110304 0017401</t>
  </si>
  <si>
    <t>LOT 63 SEC 1 MORROW MEADOWS</t>
  </si>
  <si>
    <t>DB-00003764 0000083</t>
  </si>
  <si>
    <t>709 DELRAY DR</t>
  </si>
  <si>
    <t>DB-20110222 0014337</t>
  </si>
  <si>
    <t>LOT 62 SEC 1 MORROW MEADOWS</t>
  </si>
  <si>
    <t>DB-00003816 0000980</t>
  </si>
  <si>
    <t>707 DELRAY DR</t>
  </si>
  <si>
    <t>DB-20110201 0008940</t>
  </si>
  <si>
    <t>LOT 61 SEC 1 MORROW MEADOWS</t>
  </si>
  <si>
    <t>DB-00004311 0000478</t>
  </si>
  <si>
    <t>705 DELRAY DR</t>
  </si>
  <si>
    <t>DB-20110302 0016624</t>
  </si>
  <si>
    <t>LOT 60 SEC 1 MORROW MEADOWS</t>
  </si>
  <si>
    <t>DB-00002334 0000067</t>
  </si>
  <si>
    <t>703 DELRAY DR</t>
  </si>
  <si>
    <t>DB-20101229 0103170</t>
  </si>
  <si>
    <t>LOT 59 SEC 1 MORROW MEADOWS</t>
  </si>
  <si>
    <t>DB-00003573 0000349</t>
  </si>
  <si>
    <t>DB-00005413 0000810</t>
  </si>
  <si>
    <t>E SIDE CONWAY ST N OF URBANDALE AVE</t>
  </si>
  <si>
    <t>DB-00003373 0000579</t>
  </si>
  <si>
    <t>605 DELRAY DR</t>
  </si>
  <si>
    <t>DB-20110316 0020661</t>
  </si>
  <si>
    <t>LOT 56 SEC 1 MORROW MEADOWS</t>
  </si>
  <si>
    <t>DB-00003538 0000465</t>
  </si>
  <si>
    <t>603 DELRAY DR</t>
  </si>
  <si>
    <t>DB-20101229 0103171</t>
  </si>
  <si>
    <t>LOT 55 SEC 1 MORROW MEADOWS</t>
  </si>
  <si>
    <t>DB-00004129 0000280</t>
  </si>
  <si>
    <t>601 DELRAY DR</t>
  </si>
  <si>
    <t>DB-20101229 0103172</t>
  </si>
  <si>
    <t>LOT 54 SEC 1 MORROW MEADOWS</t>
  </si>
  <si>
    <t>DB-00002750 0000181</t>
  </si>
  <si>
    <t>515 DELRAY DR</t>
  </si>
  <si>
    <t>DB-20110627 0048844</t>
  </si>
  <si>
    <t>LOT 53 SEC 1 MORROW MEADOWS</t>
  </si>
  <si>
    <t>DB-00004749 0000890</t>
  </si>
  <si>
    <t>1002 DELRAY CT</t>
  </si>
  <si>
    <t>DB-20110708 0052281</t>
  </si>
  <si>
    <t>LOT 101 SEC 2 MORROW MEADOWS</t>
  </si>
  <si>
    <t>DB-00004431 0000769</t>
  </si>
  <si>
    <t>1006 DELRAY CT</t>
  </si>
  <si>
    <t>DB-20110518 0038040</t>
  </si>
  <si>
    <t>LOT 103 SEC 2 MORROW MEADOWS</t>
  </si>
  <si>
    <t>DB-00004830 0000306</t>
  </si>
  <si>
    <t>925 DELRAY DR</t>
  </si>
  <si>
    <t>DB-20170526 0052727</t>
  </si>
  <si>
    <t>LOT 99 MORROW MEADOWS SEC 2</t>
  </si>
  <si>
    <t>DB-00002401 0000449</t>
  </si>
  <si>
    <t>1005 DELRAY CT</t>
  </si>
  <si>
    <t>DB-20120516 0042300</t>
  </si>
  <si>
    <t>LOT 104 SEC 2 MORROW MEADOWS</t>
  </si>
  <si>
    <t>DB-00004691 0000708</t>
  </si>
  <si>
    <t>1001 DELRAY CT</t>
  </si>
  <si>
    <t>DB-20110322 0022293</t>
  </si>
  <si>
    <t>LOT 106 SEC 2 MORROW MEADOWS</t>
  </si>
  <si>
    <t>DB-00004036 0000641</t>
  </si>
  <si>
    <t>923 DELRAY DR</t>
  </si>
  <si>
    <t>DB-20110425 0031252</t>
  </si>
  <si>
    <t>LOT 107 SEC 2 MORROW MEADOWS</t>
  </si>
  <si>
    <t>DB-00004841 0000165</t>
  </si>
  <si>
    <t>1003 DELRAY CT</t>
  </si>
  <si>
    <t>DB-20110302 0016630</t>
  </si>
  <si>
    <t>LOT 105 MORROW MEADOWS SEC 2</t>
  </si>
  <si>
    <t>DB-00004004 0000636</t>
  </si>
  <si>
    <t>921 DELRAY DR</t>
  </si>
  <si>
    <t>DB-20110314 0019870</t>
  </si>
  <si>
    <t>LOT 108 SEC 2 MORROW MEADOWS</t>
  </si>
  <si>
    <t>DB-00003953 0000523</t>
  </si>
  <si>
    <t>919 DELRAY DR</t>
  </si>
  <si>
    <t>DB-20110314 0019877</t>
  </si>
  <si>
    <t>LOT 109 SEC 2 MORROW MEADOWS</t>
  </si>
  <si>
    <t>DB-00004249 0000344</t>
  </si>
  <si>
    <t>917 DELRAY DR</t>
  </si>
  <si>
    <t>DB-20110124 0006424</t>
  </si>
  <si>
    <t>LOT 110 SEC 2 MORROW MEADOWS</t>
  </si>
  <si>
    <t>DB-00003181 0000635</t>
  </si>
  <si>
    <t>915 DELRAY DR</t>
  </si>
  <si>
    <t>DB-20110204 0010093</t>
  </si>
  <si>
    <t>LOT 111 SEC 2 MORROW MEADOWS</t>
  </si>
  <si>
    <t>DB-00004850 0000003</t>
  </si>
  <si>
    <t>913 DELRAY DR</t>
  </si>
  <si>
    <t>DB-20110222 0014329</t>
  </si>
  <si>
    <t>LOT 112 SEC 2 MORROW MEADOWS</t>
  </si>
  <si>
    <t>DB-00004869 0000176</t>
  </si>
  <si>
    <t>911 DELRAY DR</t>
  </si>
  <si>
    <t>DB-20110314 0019876</t>
  </si>
  <si>
    <t>LOT 113 SEC 2 MORROW MEADOWS</t>
  </si>
  <si>
    <t>DB-00003885 0000534</t>
  </si>
  <si>
    <t>909 DELRAY DR</t>
  </si>
  <si>
    <t>DB-20110301 0016527</t>
  </si>
  <si>
    <t>LOT 114 SEC 2 MORROW MEADOWS</t>
  </si>
  <si>
    <t>DB-00004582 0000755</t>
  </si>
  <si>
    <t>815 DELRAY DR</t>
  </si>
  <si>
    <t>DB-20110302 0016636</t>
  </si>
  <si>
    <t>LOT 83 SEC 1 MORROW MEADOWS</t>
  </si>
  <si>
    <t>DB-00003072 0000165</t>
  </si>
  <si>
    <t>813 DELRAY DR</t>
  </si>
  <si>
    <t>DB-20110131 0008278</t>
  </si>
  <si>
    <t>LOT 73 SEC 1 MORROW MEADOWS</t>
  </si>
  <si>
    <t>DB-00004805 0000051</t>
  </si>
  <si>
    <t>811 DELRAY DR</t>
  </si>
  <si>
    <t>DB-20110316 0020665</t>
  </si>
  <si>
    <t>LOT 72 SEC 1 MORROW MEADOWS</t>
  </si>
  <si>
    <t>DB-00002340 0000159</t>
  </si>
  <si>
    <t>DB-00007391 0000537</t>
  </si>
  <si>
    <t>DB-00002884 0000413</t>
  </si>
  <si>
    <t>807 DELRAY DR</t>
  </si>
  <si>
    <t>DB-20110222 0014338</t>
  </si>
  <si>
    <t>LOT 70 SEC 1 MORROW MEADOWS</t>
  </si>
  <si>
    <t>DB-00003674 0000118</t>
  </si>
  <si>
    <t>805 DELRAY DR</t>
  </si>
  <si>
    <t>DB-20110201 0008919</t>
  </si>
  <si>
    <t>LOT 69 SEC 1 MORROW MEADOWS</t>
  </si>
  <si>
    <t>DB-00004489 0000634</t>
  </si>
  <si>
    <t>DB-00005760 0000602</t>
  </si>
  <si>
    <t>DB-00002902 0000063</t>
  </si>
  <si>
    <t>803 DELRAY DR</t>
  </si>
  <si>
    <t>DB-20110301 0016534</t>
  </si>
  <si>
    <t>LOT 68 SEC 1 MORROW MEADOWS</t>
  </si>
  <si>
    <t>DB-00004154 0000007</t>
  </si>
  <si>
    <t>801 DELRAY DR</t>
  </si>
  <si>
    <t>DB-20101216 0100024</t>
  </si>
  <si>
    <t>LOT 67 SEC 1 MORROW MEADOWS</t>
  </si>
  <si>
    <t>DB-00004157 0000787</t>
  </si>
  <si>
    <t>CR-20100913 0072816</t>
  </si>
  <si>
    <t>DB-00002925 0000205</t>
  </si>
  <si>
    <t>717 DELRAY DR</t>
  </si>
  <si>
    <t>DB-20110316 0020662</t>
  </si>
  <si>
    <t>LOT 66 SEC 1 MORROW MEADOWS</t>
  </si>
  <si>
    <t>DB-00002495 0000269</t>
  </si>
  <si>
    <t>715 DELRAY DR</t>
  </si>
  <si>
    <t>DB-20110304 0017400</t>
  </si>
  <si>
    <t>LOT 65 SEC 1 MORROW MEADOWS</t>
  </si>
  <si>
    <t>DB-00003940 0000799</t>
  </si>
  <si>
    <t>713 DELRAY DR</t>
  </si>
  <si>
    <t>DB-20110302 0016639</t>
  </si>
  <si>
    <t>LOT 64 SEC 1 MORROW MEADOWS</t>
  </si>
  <si>
    <t>DB-00002708 0000281</t>
  </si>
  <si>
    <t>701 DELRAY DR</t>
  </si>
  <si>
    <t>DB-20110701 0050721</t>
  </si>
  <si>
    <t>LOT 58 SEC 1 MORROW MEADOWS</t>
  </si>
  <si>
    <t>DB-00003401 0000287</t>
  </si>
  <si>
    <t>DB-00005413 0000806</t>
  </si>
  <si>
    <t>N E CORNER OF URBANDALE AVE &amp; CONWAY ST</t>
  </si>
  <si>
    <t>607 DELRAY DR</t>
  </si>
  <si>
    <t>DB-20110222 0014332</t>
  </si>
  <si>
    <t>LOT 57 SEC 1 MORROW MEADOWS</t>
  </si>
  <si>
    <t>DB-00004820 0000712</t>
  </si>
  <si>
    <t>DB-20131118 0118644</t>
  </si>
  <si>
    <t>S E CORNER CONWAY ST AND URBANDALE AVE</t>
  </si>
  <si>
    <t>DB-20010925 0103484</t>
  </si>
  <si>
    <t>0 57TH AVE N</t>
  </si>
  <si>
    <t>DB-00005413 0000802</t>
  </si>
  <si>
    <t>N END OF SNYDER AVE NO 2 WEST PARK ADDN</t>
  </si>
  <si>
    <t>DB-00002454 0000357</t>
  </si>
  <si>
    <t>6109 MORROW RD</t>
  </si>
  <si>
    <t>METRO GOV'T  P  WEST</t>
  </si>
  <si>
    <t>DB-00002023 0000143</t>
  </si>
  <si>
    <t>PT LTS 1-7 BLK Z CHEROKEE PARK</t>
  </si>
  <si>
    <t>0 COCKRILL BEND BLVD</t>
  </si>
  <si>
    <t>METRO GOV'T  PA  PORT AUTHORITY</t>
  </si>
  <si>
    <t>QC-00008351 0000675</t>
  </si>
  <si>
    <t>N/S COCKRILL BEND BV W OF CENTENNIAL BV</t>
  </si>
  <si>
    <t>0 PREMIER DR</t>
  </si>
  <si>
    <t>DB-00005414 0000061</t>
  </si>
  <si>
    <t>RES. PAR. MOUNT HICKORY SUB.</t>
  </si>
  <si>
    <t>DB-00003975 0000017</t>
  </si>
  <si>
    <t>0 ANNEX AVE</t>
  </si>
  <si>
    <t>DB-00008216 0000056</t>
  </si>
  <si>
    <t>N/S OLD HICKORY BLVD. E/S I-40</t>
  </si>
  <si>
    <t>OR-20031298 0000000</t>
  </si>
  <si>
    <t>DB-00005414 0000057</t>
  </si>
  <si>
    <t>DB-00004290 0000109</t>
  </si>
  <si>
    <t>N SIDE 63RD AVE N E SIDE BRILEY PKWY &amp; PT. CLOSED ST.</t>
  </si>
  <si>
    <t>DB-02001867 0000000</t>
  </si>
  <si>
    <t>DB-00004292 0000978</t>
  </si>
  <si>
    <t>W OF HITE ST N OF ROME AVE &amp; PT CLOSED ST</t>
  </si>
  <si>
    <t>480 ANNEX AVE</t>
  </si>
  <si>
    <t>METRO GOV'T  S  CHARLOTTE PARK</t>
  </si>
  <si>
    <t>DB-00002794 0000027</t>
  </si>
  <si>
    <t>S E CORNER OF ANNEX AVE &amp; SCHOLARSHIP DRIVE CHARLOTTE PARK</t>
  </si>
  <si>
    <t>4701 INDIANA AVE</t>
  </si>
  <si>
    <t>METRO GOV'T  S  COCKRILL</t>
  </si>
  <si>
    <t>DB-00001110 0000174</t>
  </si>
  <si>
    <t>N E CORNER OF DELAWARE AVENUE &amp; 49TH AVE</t>
  </si>
  <si>
    <t>1300 56TH AVE N</t>
  </si>
  <si>
    <t>METRO GOV'T  S  MCCANN</t>
  </si>
  <si>
    <t>BD-ZERO     0000664</t>
  </si>
  <si>
    <t>LOTS 1401 THRU 1424 BLK 36 WEST NASH 2</t>
  </si>
  <si>
    <t>PL-00000057 0000172</t>
  </si>
  <si>
    <t>5900 CHARLOTTE PIKE</t>
  </si>
  <si>
    <t>METRO GOV'T  S  RICHLAND</t>
  </si>
  <si>
    <t>DB-00001148 0000238</t>
  </si>
  <si>
    <t>LOTS 40 THRU 52 WEST NASH HGTS &amp; LOTS 7 THRU 14</t>
  </si>
  <si>
    <t>5200 DELAWARE AVE</t>
  </si>
  <si>
    <t>METRO GOV'T  S  WEST NASHVILLE</t>
  </si>
  <si>
    <t>BD-00003341 0000499</t>
  </si>
  <si>
    <t>LTS 1101-1124 BLKS 152-154-190-191 W NASH 1 PT CLOSED ALY&amp;RD</t>
  </si>
  <si>
    <t>DB-00003341 0000499</t>
  </si>
  <si>
    <t>0 HITE ST</t>
  </si>
  <si>
    <t>DB-20110425 0031258</t>
  </si>
  <si>
    <t>E OF HITE ST N OF WINN AVE</t>
  </si>
  <si>
    <t>DB-00005685 0000008</t>
  </si>
  <si>
    <t>722 HITE ST</t>
  </si>
  <si>
    <t>DB-20170509 0045885</t>
  </si>
  <si>
    <t>LOT 116 SEC 2 URBANDALE</t>
  </si>
  <si>
    <t>DB-00004029 0000436</t>
  </si>
  <si>
    <t>DB-00002690 0000515</t>
  </si>
  <si>
    <t>RES STRIP IN REAR OF LOTS 53 54 CHARLOTTE PK SEC 1</t>
  </si>
  <si>
    <t>5502 WINN AVE</t>
  </si>
  <si>
    <t>DB-20110425 0031253</t>
  </si>
  <si>
    <t>LOT 131 SEC 2 URBANDALE</t>
  </si>
  <si>
    <t>DB-00004684 0000372</t>
  </si>
  <si>
    <t>5500 WINN AVE</t>
  </si>
  <si>
    <t>DB-20110301 0016531</t>
  </si>
  <si>
    <t>LOT 132 SEC 2 URBANDALE</t>
  </si>
  <si>
    <t>DB-00004689 0000240</t>
  </si>
  <si>
    <t>608 DELRAY DR</t>
  </si>
  <si>
    <t>QC-20240111 0002385</t>
  </si>
  <si>
    <t>LOT 48 SEC 1 MORROW MEADOWS</t>
  </si>
  <si>
    <t>DB-00003032 0000095</t>
  </si>
  <si>
    <t>307 SUNLINER DR</t>
  </si>
  <si>
    <t>DB-00003283 0000318</t>
  </si>
  <si>
    <t>S/S SUNLINER DR &amp; W OF RIVER ROUGE DR SEC 10 CHARLOTTE PARK</t>
  </si>
  <si>
    <t>1094 CLEECES FERRY RD</t>
  </si>
  <si>
    <t>DB-00003615 0000573</t>
  </si>
  <si>
    <t>N.E.COR.OF OLD HICKORY BV &amp; CLEECE'S FERRY RD &amp; PT CLOSED ST</t>
  </si>
  <si>
    <t>0 KENDALL DR</t>
  </si>
  <si>
    <t>DB-00006383 0000879</t>
  </si>
  <si>
    <t>PT LOT 67 SEC 6 HILLWOOD ESTATES</t>
  </si>
  <si>
    <t>DB-00000731 0000542</t>
  </si>
  <si>
    <t>735 HITE ST</t>
  </si>
  <si>
    <t>DB-20110520 0038684</t>
  </si>
  <si>
    <t>LOT 108 SEC 2 URBANDALE</t>
  </si>
  <si>
    <t>DB-00004264 0000541</t>
  </si>
  <si>
    <t>733 HITE ST</t>
  </si>
  <si>
    <t>DB-20101216 0100025</t>
  </si>
  <si>
    <t>LOT 107 SEC 2 URBANDALE</t>
  </si>
  <si>
    <t>DB-00004585 0000212</t>
  </si>
  <si>
    <t>730 HITE ST</t>
  </si>
  <si>
    <t>DB-20110401 0025092</t>
  </si>
  <si>
    <t>LOT 112 URBANDALE SEC 2 &amp; ADDN TRACT IN REAR</t>
  </si>
  <si>
    <t>DB-00005676 0000549</t>
  </si>
  <si>
    <t>731 HITE ST</t>
  </si>
  <si>
    <t>DB-20110222 0014334</t>
  </si>
  <si>
    <t>LOT 106 SEC 2 URBANDALE</t>
  </si>
  <si>
    <t>DB-00002341 0000052</t>
  </si>
  <si>
    <t>728 HITE ST</t>
  </si>
  <si>
    <t>DB-20110304 0017404</t>
  </si>
  <si>
    <t>LOT 113 SEC 2 URBANDALE &amp; ADDN TRACT IN REAR</t>
  </si>
  <si>
    <t>729 HITE ST</t>
  </si>
  <si>
    <t>DB-20110222 0014330</t>
  </si>
  <si>
    <t>LOT 105 SEC 2 URBANDALE</t>
  </si>
  <si>
    <t>DB-00002201 0000006</t>
  </si>
  <si>
    <t>726 HITE ST</t>
  </si>
  <si>
    <t>LOT 114 SEC 2 URBANDALE</t>
  </si>
  <si>
    <t>DB-00003678 0000241</t>
  </si>
  <si>
    <t>727 HITE ST</t>
  </si>
  <si>
    <t>DB-20110308 0018457</t>
  </si>
  <si>
    <t>LOT 104 SEC 2 URBANDALE</t>
  </si>
  <si>
    <t>DB-00004866 0000808</t>
  </si>
  <si>
    <t>734 HITE ST</t>
  </si>
  <si>
    <t>DB-20110427 0032171</t>
  </si>
  <si>
    <t>LOT 110 SEC 2 URBANDALE-ADDN TRACT IN REAR</t>
  </si>
  <si>
    <t>DB-00005674 0000024</t>
  </si>
  <si>
    <t>732 HITE ST</t>
  </si>
  <si>
    <t>DB-20110401 0025085</t>
  </si>
  <si>
    <t>LOT 111 SEC 2 URBANDALE &amp; ADDN TRACT IN REAR</t>
  </si>
  <si>
    <t>720 HITE ST</t>
  </si>
  <si>
    <t>DB-20230901 0068815</t>
  </si>
  <si>
    <t>LOT 117 SEC 2 URBANDALE-ADDN TRACT IN REAR</t>
  </si>
  <si>
    <t>DB-00005683 0000996</t>
  </si>
  <si>
    <t>718 HITE ST</t>
  </si>
  <si>
    <t>DB-20110308 0018354</t>
  </si>
  <si>
    <t>LOT 118 SEC 2 URBANDALE</t>
  </si>
  <si>
    <t>DB-00002018 0000119</t>
  </si>
  <si>
    <t>714 HITE ST</t>
  </si>
  <si>
    <t>DB-20110408 0027296</t>
  </si>
  <si>
    <t>LOT 120 SEC 2 URBANDALE</t>
  </si>
  <si>
    <t>DB-00004578 0000777</t>
  </si>
  <si>
    <t>710 HITE ST</t>
  </si>
  <si>
    <t>DB-20110425 0031250</t>
  </si>
  <si>
    <t>LOT 122 SEC 2 URBANDALE</t>
  </si>
  <si>
    <t>DV-00000049 0000185</t>
  </si>
  <si>
    <t>711 HITE ST</t>
  </si>
  <si>
    <t>DB-20110608 0043829</t>
  </si>
  <si>
    <t>LOT 96 SEC 2 URBANDALE</t>
  </si>
  <si>
    <t>DB-00004802 0000381</t>
  </si>
  <si>
    <t>704 HITE ST</t>
  </si>
  <si>
    <t>DB-20130314 0025388</t>
  </si>
  <si>
    <t>LOT 124 SEC 2 URBANDALE</t>
  </si>
  <si>
    <t>DB-00004832 0000967</t>
  </si>
  <si>
    <t>713 HITE ST</t>
  </si>
  <si>
    <t>DB-20130514 0048374</t>
  </si>
  <si>
    <t>LOT 97 SEC 2 URBANDALE</t>
  </si>
  <si>
    <t>DB-00004131 0000902</t>
  </si>
  <si>
    <t>717 HITE ST</t>
  </si>
  <si>
    <t>DB-20110531 0041217</t>
  </si>
  <si>
    <t>LOT 99 SEC 2 URBANDALE</t>
  </si>
  <si>
    <t>DB-00003679 0000620</t>
  </si>
  <si>
    <t>719 HITE ST</t>
  </si>
  <si>
    <t>DB-20110531 0041218</t>
  </si>
  <si>
    <t>LOT 100 SEC 2 URBANDALE</t>
  </si>
  <si>
    <t>DB-00003311 0000394</t>
  </si>
  <si>
    <t>704 DELRAY DR</t>
  </si>
  <si>
    <t>DB-20240710 0051653</t>
  </si>
  <si>
    <t>LOT 18 SEC 1 MORROW MEADOWS</t>
  </si>
  <si>
    <t>DB-00004354 0000620</t>
  </si>
  <si>
    <t>1116 57TH AVE N</t>
  </si>
  <si>
    <t>DB-20110819 0064315</t>
  </si>
  <si>
    <t>LOT 13 WEST PARK ADDN 2</t>
  </si>
  <si>
    <t>DB-00004352 0000330</t>
  </si>
  <si>
    <t>1119 57TH AVE N</t>
  </si>
  <si>
    <t>DB-20110607 0043551</t>
  </si>
  <si>
    <t>LOT 11 NO 2 WEST PARK ADDN</t>
  </si>
  <si>
    <t>DB-00004661 0000424</t>
  </si>
  <si>
    <t>906 TRICE DR</t>
  </si>
  <si>
    <t>DB-20110601 0041684</t>
  </si>
  <si>
    <t>LOT 70 WEST PARK ADDN 1</t>
  </si>
  <si>
    <t>DB-00002449 0000569</t>
  </si>
  <si>
    <t>904 TRICE DR</t>
  </si>
  <si>
    <t>DB-20130502 0044412</t>
  </si>
  <si>
    <t>LOT 69 WEST PARK ADDN 1</t>
  </si>
  <si>
    <t>DB-00004750 0000395</t>
  </si>
  <si>
    <t>1114 57TH AVE N</t>
  </si>
  <si>
    <t>DB-20110531 0041216</t>
  </si>
  <si>
    <t>LOT 14 WEST PARK ADDN 2</t>
  </si>
  <si>
    <t>DB-00002495 0000547</t>
  </si>
  <si>
    <t>606 DELRAY DR</t>
  </si>
  <si>
    <t>DB-20231211 0095222</t>
  </si>
  <si>
    <t>LOT 47 SEC 1 MORROW MEADOWS</t>
  </si>
  <si>
    <t>DB-00003250 0000355</t>
  </si>
  <si>
    <t>700 DELRAY DR</t>
  </si>
  <si>
    <t>DB-20240405 0024196</t>
  </si>
  <si>
    <t>LOT 16 SEC 1 MORROW MEADOWS</t>
  </si>
  <si>
    <t>DB-00004493 0000371</t>
  </si>
  <si>
    <t>706 HITE ST</t>
  </si>
  <si>
    <t>METRO GOV'T WW  WATER &amp; SEWER</t>
  </si>
  <si>
    <t>DB-20170703 0066812</t>
  </si>
  <si>
    <t>LOT 123 SEC 2 URBANDALE</t>
  </si>
  <si>
    <t>DB-00003224 0000138</t>
  </si>
  <si>
    <t>906 DELRAY DR</t>
  </si>
  <si>
    <t>DB-20240417 0027420</t>
  </si>
  <si>
    <t>LOT 96 SEC 2 MORROW MEADOWS</t>
  </si>
  <si>
    <t>DB-00003570 0000570</t>
  </si>
  <si>
    <t>904 DELRAY DR</t>
  </si>
  <si>
    <t>DB-20240926 0074622</t>
  </si>
  <si>
    <t>LOT 97 SEC 2 MORROW MEADOWS</t>
  </si>
  <si>
    <t>DB-00004819 0000747</t>
  </si>
  <si>
    <t>5420 ILLINOIS AVE</t>
  </si>
  <si>
    <t>DB-20231204 0093235</t>
  </si>
  <si>
    <t>LOT 76 SEC 1 MORROW MEADOWS</t>
  </si>
  <si>
    <t>DB-00004848 0000877</t>
  </si>
  <si>
    <t>724 HITE ST</t>
  </si>
  <si>
    <t>DB-20191115 0117900</t>
  </si>
  <si>
    <t>LOT 115 SEC 2 URBANDALE &amp; ADDN TRACT IN REAR</t>
  </si>
  <si>
    <t>DB-00005680 0000241</t>
  </si>
  <si>
    <t>1004 DELRAY CT</t>
  </si>
  <si>
    <t>DB-20240108 0001411</t>
  </si>
  <si>
    <t>LOT 102 SEC 2 MORROW MEADOWS</t>
  </si>
  <si>
    <t>DB-00004646 0000248</t>
  </si>
  <si>
    <t>912 DELRAY DR</t>
  </si>
  <si>
    <t>DB-20250411 0026928</t>
  </si>
  <si>
    <t>LOT 93 SEC 2 MORROW MEADOWS</t>
  </si>
  <si>
    <t>DB-00004258 0000348</t>
  </si>
  <si>
    <t>910 DELRAY DR</t>
  </si>
  <si>
    <t>DB-20240723 0055292</t>
  </si>
  <si>
    <t>LOT 94 SEC 2 MORROW MEADOWS</t>
  </si>
  <si>
    <t>DB-00004823 0000633</t>
  </si>
  <si>
    <t>908 DELRAY DR</t>
  </si>
  <si>
    <t>DB-20240206 0008235</t>
  </si>
  <si>
    <t>LOT 95 SEC 2 MORROW MEADOWS</t>
  </si>
  <si>
    <t>DB-00002399 0000053</t>
  </si>
  <si>
    <t>900 DELRAY DR</t>
  </si>
  <si>
    <t>DB-20250116 0003510</t>
  </si>
  <si>
    <t>LOT 75 SEC 1 MORROW MEADOWS</t>
  </si>
  <si>
    <t>DB-00004807 0000951</t>
  </si>
  <si>
    <t>610 DELRAY DR</t>
  </si>
  <si>
    <t>DB-20240510 0034526</t>
  </si>
  <si>
    <t>LOT 49 SEC 1 MORROW MEADOWS</t>
  </si>
  <si>
    <t>DB-00002334 0000269</t>
  </si>
  <si>
    <t>708 DELRAY DR</t>
  </si>
  <si>
    <t>DB-20240403 0023329</t>
  </si>
  <si>
    <t>LOT 20 SEC 1 MORROW MEADOWS</t>
  </si>
  <si>
    <t>DB-00004440 0000337</t>
  </si>
  <si>
    <t>706 DELRAY DR</t>
  </si>
  <si>
    <t>DB-20231221 0098428</t>
  </si>
  <si>
    <t>LOT 19 SEC 1 MORROW MEADOWS</t>
  </si>
  <si>
    <t>DB-00002334 0000149</t>
  </si>
  <si>
    <t>0 CENTENNIAL BLVD</t>
  </si>
  <si>
    <t>DB-00007740 0000282</t>
  </si>
  <si>
    <t>N OF CENTENNIAL BV W OF CUMBERLAND RIVER</t>
  </si>
  <si>
    <t>QC-00007734 0000421</t>
  </si>
  <si>
    <t>DB-00004788 0000209</t>
  </si>
  <si>
    <t>N/S CENTENNIAL BV N OF COCKRILL BEND RD</t>
  </si>
  <si>
    <t>DB-00008115 0000414</t>
  </si>
  <si>
    <t>6230 COCKRILL BEND CIR</t>
  </si>
  <si>
    <t>QC-20141209 0112489</t>
  </si>
  <si>
    <t>1 TERMINAL DR STE 510</t>
  </si>
  <si>
    <t>N/S COCKRILL BEND CR W OF CENTENNIAL BV</t>
  </si>
  <si>
    <t>QC-20141027 0098591</t>
  </si>
  <si>
    <t>110 TUNE AIRPORT DR</t>
  </si>
  <si>
    <t>W. END. OF BOXWELL DR. &amp; COCKRILL BEND BV</t>
  </si>
  <si>
    <t>1617 16TH AVE N</t>
  </si>
  <si>
    <t>CR-20041217 0150470</t>
  </si>
  <si>
    <t>PT LOT 341 D T MCGAVOCK &amp; OTHERS ADDN</t>
  </si>
  <si>
    <t>DB-00003374 0000021</t>
  </si>
  <si>
    <t>0 26TH AVE N</t>
  </si>
  <si>
    <t>DB-20150115 0004419</t>
  </si>
  <si>
    <t>S/E CORNER OF 27TH AV N &amp; R.R.</t>
  </si>
  <si>
    <t>DB-00011393 0000711</t>
  </si>
  <si>
    <t>520 26TH AVE N</t>
  </si>
  <si>
    <t>LOT 10 PT LOTS 8-9-11-12 BLK B M.S. PILCHER &amp; PT CL AL &amp; R.R</t>
  </si>
  <si>
    <t>DB-00011327 0000969</t>
  </si>
  <si>
    <t>2500 CHARLOTTE AVE</t>
  </si>
  <si>
    <t>DB-20140609 0049896</t>
  </si>
  <si>
    <t>LOT 1 MEDICAL MART RESUB LOT 1</t>
  </si>
  <si>
    <t>PL-20140328 0025674</t>
  </si>
  <si>
    <t>0 INDIANA AVE</t>
  </si>
  <si>
    <t>CR-20170517 0048952</t>
  </si>
  <si>
    <t>PT LOT 27 A W WILLS SUB BARROW LANDS</t>
  </si>
  <si>
    <t>DB-00004075 0000552</t>
  </si>
  <si>
    <t>2703 ALBION ST</t>
  </si>
  <si>
    <t>DB-00005413 0000718</t>
  </si>
  <si>
    <t>PT. LOT 195 BLK. 12 HEFFERMAN</t>
  </si>
  <si>
    <t>DB-00001881 0000598</t>
  </si>
  <si>
    <t>2853 CLIFTON AVE</t>
  </si>
  <si>
    <t>DB-00005413 0000762</t>
  </si>
  <si>
    <t>PT. LOT 29 T. M. STEGER SUB. 2ND ADDN.</t>
  </si>
  <si>
    <t>DB-00001324 0000269</t>
  </si>
  <si>
    <t>0 17TH AVE N</t>
  </si>
  <si>
    <t>DB-00005413 0000586</t>
  </si>
  <si>
    <t>PT LOT 370 D T MCGAVOCK &amp; OTHERS ADDN</t>
  </si>
  <si>
    <t>DB-00002332 0000599</t>
  </si>
  <si>
    <t>1310 16TH AVE N</t>
  </si>
  <si>
    <t>DB-00005413 0000578</t>
  </si>
  <si>
    <t>PT LOT 323 D T MCGAVOCK &amp; OTHERS ADDN</t>
  </si>
  <si>
    <t>DB-00001072 0000644</t>
  </si>
  <si>
    <t>2706 EDEN ST</t>
  </si>
  <si>
    <t>DB-20001204 0118510</t>
  </si>
  <si>
    <t>PT. LOT 210 BLK. 12 HEFFERMAN</t>
  </si>
  <si>
    <t>DB-00001139 0000082</t>
  </si>
  <si>
    <t>2713 EDEN ST</t>
  </si>
  <si>
    <t>DB-00005413 0000722</t>
  </si>
  <si>
    <t>PT. LOTS 263 &amp; 264 BLOCK 13 HEFFERMAN PLACE &amp; PT CL ALLEY</t>
  </si>
  <si>
    <t>OR-00831175 0000000</t>
  </si>
  <si>
    <t>0 MORENA ST</t>
  </si>
  <si>
    <t>DB-00005413 0000726</t>
  </si>
  <si>
    <t>PT. LOT 345 BLOCK 20 HEFFERMAN PLACE</t>
  </si>
  <si>
    <t>DB-00003340 0000560</t>
  </si>
  <si>
    <t>2817 CLARE AVE</t>
  </si>
  <si>
    <t>CR-20140214 0012987</t>
  </si>
  <si>
    <t>PT. LOTS 5 &amp; 6 FISK UNIV. PLACE</t>
  </si>
  <si>
    <t>DB-00003498 0000579</t>
  </si>
  <si>
    <t>0 25TH AVE N</t>
  </si>
  <si>
    <t>DB-00004906 0000734</t>
  </si>
  <si>
    <t>PT LOT 22 BUCHI SUB 20 MCNAIRY</t>
  </si>
  <si>
    <t>DB-00003000 0000129</t>
  </si>
  <si>
    <t>709 30TH AVE N</t>
  </si>
  <si>
    <t>DB-00005413 0000758</t>
  </si>
  <si>
    <t>P/O LOT 8 SAM LEE</t>
  </si>
  <si>
    <t>DB-00000371 0000593</t>
  </si>
  <si>
    <t>3109 TORBETT ST</t>
  </si>
  <si>
    <t>DB-00005413 0000770</t>
  </si>
  <si>
    <t>PT LOT 10 A W WILLS SUB BARROW LANDS</t>
  </si>
  <si>
    <t>DB-00003649 0000610</t>
  </si>
  <si>
    <t>1034 A 40TH AVE N</t>
  </si>
  <si>
    <t>CR-20120330 0027182</t>
  </si>
  <si>
    <t>UNIT B V GORDON TOWNHOMES AT 40TH</t>
  </si>
  <si>
    <t>MA-20061011 0126477</t>
  </si>
  <si>
    <t>2618 ALBION ST</t>
  </si>
  <si>
    <t>DB-00005413 0000714</t>
  </si>
  <si>
    <t>PT. LOT 140 BLOCK 6 HEFFERMAN</t>
  </si>
  <si>
    <t>DB-00003801 0000817</t>
  </si>
  <si>
    <t>1403 14TH AVE N</t>
  </si>
  <si>
    <t>DB-00007391 0000534</t>
  </si>
  <si>
    <t>PT. LOT 250 D. T. MCGAVOCK &amp; OTHERS ADDN.</t>
  </si>
  <si>
    <t>DB-00004550 0000454</t>
  </si>
  <si>
    <t>530 31ST AVE N</t>
  </si>
  <si>
    <t>CR-20050309 0026273</t>
  </si>
  <si>
    <t>LOT 52 PENDLETON SUB STEGER HOME</t>
  </si>
  <si>
    <t>DB-00002860 0000142</t>
  </si>
  <si>
    <t>2919 TORBETT ST</t>
  </si>
  <si>
    <t>CR-20140214 0012980</t>
  </si>
  <si>
    <t>PT LOT 72 T.M. STEGER</t>
  </si>
  <si>
    <t>DB-00007917 0000733</t>
  </si>
  <si>
    <t>2510 MEHARRY BLVD</t>
  </si>
  <si>
    <t>DB-00005569 0000904</t>
  </si>
  <si>
    <t>BLK PT 37 BOYD MCNAIRY</t>
  </si>
  <si>
    <t>DB-00003610 0000307</t>
  </si>
  <si>
    <t>0 29TH AVE N</t>
  </si>
  <si>
    <t>DB-00005413 0000754</t>
  </si>
  <si>
    <t>PT. LOT 42 L. C. THUSS SUB. BARROW</t>
  </si>
  <si>
    <t>DB-00001972 0000448</t>
  </si>
  <si>
    <t>0 BATAVIA ST</t>
  </si>
  <si>
    <t>DB-00005413 0000738</t>
  </si>
  <si>
    <t>PT. LOT 71 L. C. THUSS SUB. BARROW</t>
  </si>
  <si>
    <t>DB-00000873 0000110</t>
  </si>
  <si>
    <t>0 9TH AVE N</t>
  </si>
  <si>
    <t>DB-00011150 0000265</t>
  </si>
  <si>
    <t>PT LOT 279 NORTH NASH REAL ESTATE CO</t>
  </si>
  <si>
    <t>DB-00001225 0000080</t>
  </si>
  <si>
    <t>1714 9TH AVE N</t>
  </si>
  <si>
    <t>DB-00005413 0000474</t>
  </si>
  <si>
    <t>PT. LOT 281 NORTH NASH. REAL ESTATE CO.</t>
  </si>
  <si>
    <t>DB-00002702 0000188</t>
  </si>
  <si>
    <t>1712 9TH AVE N</t>
  </si>
  <si>
    <t>DB-00005413 0000470</t>
  </si>
  <si>
    <t>PT. LOT 283 NORTH NASHVILLE REAL ESTATE COMPANY</t>
  </si>
  <si>
    <t>DB-00002695 0000004</t>
  </si>
  <si>
    <t>1601 SCOVEL ST</t>
  </si>
  <si>
    <t>DB-00005916 0000169</t>
  </si>
  <si>
    <t>PT. LOT 30 BRANSFORD RLTY. CO. SUB. HAMILTON TRACT.</t>
  </si>
  <si>
    <t>DB-00004504 0000645</t>
  </si>
  <si>
    <t>1603 SCOVEL ST</t>
  </si>
  <si>
    <t>DB-00005413 0000554</t>
  </si>
  <si>
    <t>PT. LOT 31 REALTY CO. SUB. HAMILTON TRACT</t>
  </si>
  <si>
    <t>DB-00001376 0000070</t>
  </si>
  <si>
    <t>1514 12TH AVE N</t>
  </si>
  <si>
    <t>DB-00010640 0000862</t>
  </si>
  <si>
    <t>N SIDE OF 12TH AVE NO E OF COCKRILL ST</t>
  </si>
  <si>
    <t>DB-00004209 0000527</t>
  </si>
  <si>
    <t>0 CLIFTON AVE</t>
  </si>
  <si>
    <t>CR-20090928 0090023</t>
  </si>
  <si>
    <t>PT. LOT 65 L. C. THUSS SUB. BARROW</t>
  </si>
  <si>
    <t>DB-00002393 0000556</t>
  </si>
  <si>
    <t>1921 15TH AVE N</t>
  </si>
  <si>
    <t>CR-20080125 0007941</t>
  </si>
  <si>
    <t>PT LOT 43 MENEES SUB</t>
  </si>
  <si>
    <t>DB-00004552 0000106</t>
  </si>
  <si>
    <t>0 DR WALTER S DAVIS BLVD</t>
  </si>
  <si>
    <t>CR-20130315 0026052</t>
  </si>
  <si>
    <t>S/S JOHN A MERRITT BV W 39TH AV N</t>
  </si>
  <si>
    <t>DB-00006677 0000803</t>
  </si>
  <si>
    <t>1745 DR D B TODD JR BLVD</t>
  </si>
  <si>
    <t>METRO GOV'T  F  ENG CO 11 TRUCK 10</t>
  </si>
  <si>
    <t>DB-00003863 0000718</t>
  </si>
  <si>
    <t>PT LT 265 ALL LOTS 266-267 J.M., T.J. &amp; G.W. HARDING ADD.</t>
  </si>
  <si>
    <t>1039 28TH AVE N</t>
  </si>
  <si>
    <t>METRO GOV'T  L  HADLEY PARK BRANCH</t>
  </si>
  <si>
    <t>BD-ZERO     0000694</t>
  </si>
  <si>
    <t>W SIDE 28TH AVE NO S OF CENTENNIAL BLVD</t>
  </si>
  <si>
    <t>PL-00000421 0000011</t>
  </si>
  <si>
    <t>1215 SCOVEL ST</t>
  </si>
  <si>
    <t>METRO GOV'T  M  POLICE-MAIN</t>
  </si>
  <si>
    <t>CR-20131219 0128446</t>
  </si>
  <si>
    <t>PT LOT 40 D T MCGAVOCK AND OTHERS ADDN</t>
  </si>
  <si>
    <t>DB-00001494 0000571</t>
  </si>
  <si>
    <t>2000 JEFFERSON ST</t>
  </si>
  <si>
    <t>DB-00004858 0000874</t>
  </si>
  <si>
    <t>PT. LOT 9 J. L. BROWN</t>
  </si>
  <si>
    <t>1809 28TH AVE N</t>
  </si>
  <si>
    <t>DB-00003035 0000261</t>
  </si>
  <si>
    <t>W SIDE 28TH AVE N N OF BUCHANAN ST</t>
  </si>
  <si>
    <t>1800 JO JOHNSTON AVE</t>
  </si>
  <si>
    <t>DB-00001643 0000287</t>
  </si>
  <si>
    <t>LOTS 8 TH 10-16 TH 19 PT 7 H. P. BOSTICK ADD'N-PT CL ST</t>
  </si>
  <si>
    <t>OR-00082823 0000000</t>
  </si>
  <si>
    <t>525 24TH AVE N</t>
  </si>
  <si>
    <t>DB-00010050 0000200</t>
  </si>
  <si>
    <t>PT LOTS 35 THRU 41 MCEWEN &amp; PT CLOSED ALLEY</t>
  </si>
  <si>
    <t>OR-00096603 0000000</t>
  </si>
  <si>
    <t>709 42ND AVE N</t>
  </si>
  <si>
    <t>DB-00001733 0000075</t>
  </si>
  <si>
    <t>LOTS 94 96 AND PT LOT 92, BLK 16 W NASH PLAN NO 1 &amp; PT CL AV</t>
  </si>
  <si>
    <t>OR-02001724 0000000</t>
  </si>
  <si>
    <t>1721 UNDERWOOD ST</t>
  </si>
  <si>
    <t>LOT 36 MANLOVE PLAN</t>
  </si>
  <si>
    <t>4010 MICHIGAN AVE</t>
  </si>
  <si>
    <t>DB-00005996 0000405</t>
  </si>
  <si>
    <t>N/E CORNER OF MICHIGAN AVE &amp; 42ND AVE NO &amp; PT CL ALLEYS</t>
  </si>
  <si>
    <t>PL-00007900 0000303</t>
  </si>
  <si>
    <t>4112 CLIFTON AVE</t>
  </si>
  <si>
    <t>S/E CORNER OF MICHIGAN AV &amp; 42ND AV N &amp; PT CL ST &amp; ROADS</t>
  </si>
  <si>
    <t>OR-00861490 0000000</t>
  </si>
  <si>
    <t>222 25TH AVE N</t>
  </si>
  <si>
    <t>METRO GOV'T  P  CENTENNIAL</t>
  </si>
  <si>
    <t>DB-00004907 0000216</t>
  </si>
  <si>
    <t>PT OF LOT 2 CENTENNIAL PARK PROPERTY SUB.</t>
  </si>
  <si>
    <t>PL-20140218 0013650</t>
  </si>
  <si>
    <t>0 PARK PLZ</t>
  </si>
  <si>
    <t>DB-00000741 0000040</t>
  </si>
  <si>
    <t>N/S PARK PLAZA W OF 25TH AV N</t>
  </si>
  <si>
    <t>PL-00006200 0000226</t>
  </si>
  <si>
    <t>2900 PARTHENON AVE</t>
  </si>
  <si>
    <t>DB-00004581 0000964</t>
  </si>
  <si>
    <t>N/W CORNER PARTHENON AV &amp; 31ST AV S</t>
  </si>
  <si>
    <t>2500 WEST END AVE</t>
  </si>
  <si>
    <t>N SIDE WEST END AVE E OF 28TH AVE</t>
  </si>
  <si>
    <t>1701 ARTHUR AVE</t>
  </si>
  <si>
    <t>METRO GOV'T  P  ELIZABETH</t>
  </si>
  <si>
    <t>DB-00000021 0000023</t>
  </si>
  <si>
    <t>E SIDE 11TH AVENUE NORTH AND S OF BUCHANAN STREET</t>
  </si>
  <si>
    <t>1025 28TH AVE N</t>
  </si>
  <si>
    <t>METRO GOV'T  P  HADLEY</t>
  </si>
  <si>
    <t>DB-00000426 0000254</t>
  </si>
  <si>
    <t>N/E COR JOHN A. MERRITT BV &amp; 31ST AV N</t>
  </si>
  <si>
    <t>OR-00081815 0000000</t>
  </si>
  <si>
    <t>2716 TORBETT ST</t>
  </si>
  <si>
    <t>METRO GOV'T  P  MCKISSACK</t>
  </si>
  <si>
    <t>DB-00005657 0000797</t>
  </si>
  <si>
    <t>PT LOT 85 BLK A M S PILCHER</t>
  </si>
  <si>
    <t>DB-00001427 0000179</t>
  </si>
  <si>
    <t>2708 TORBETT ST</t>
  </si>
  <si>
    <t>DB-00000931 0000578</t>
  </si>
  <si>
    <t>LOTS 17 THRU 20 BLK A M S PILCHER</t>
  </si>
  <si>
    <t>0 OSAGE ST</t>
  </si>
  <si>
    <t>METRO GOV'T  P  NORTH 5TH PARK</t>
  </si>
  <si>
    <t>DB-00005158 0000553</t>
  </si>
  <si>
    <t>PT LOTS 20 &amp; 21 GEORGIA IND. REALTY CO.</t>
  </si>
  <si>
    <t>0 24TH AVE N</t>
  </si>
  <si>
    <t>METRO GOV'T  P  NORTH FIFTH PARK</t>
  </si>
  <si>
    <t>DB-00005154 0000691</t>
  </si>
  <si>
    <t>P/O LOTS 18 &amp; 19 GEORGIA IND. REALTY CO SUB</t>
  </si>
  <si>
    <t>2565 PARK PLZ</t>
  </si>
  <si>
    <t>DB-00007291 0000117</t>
  </si>
  <si>
    <t>N OF HOLMAN ST W OF 25TH AV N</t>
  </si>
  <si>
    <t>3140 HOLMAN ST</t>
  </si>
  <si>
    <t>LOTS 23 TH 26 PT LOTS 27&amp;28 BELLS SUB &amp; PT CL ST &amp; AL</t>
  </si>
  <si>
    <t>3137 HOLMAN ST</t>
  </si>
  <si>
    <t>LOT 1 BELLS</t>
  </si>
  <si>
    <t>DB-00001011 0000597</t>
  </si>
  <si>
    <t>3139 HOLMAN ST</t>
  </si>
  <si>
    <t>LOT 2 BELLS</t>
  </si>
  <si>
    <t>DB-00000821 0000216</t>
  </si>
  <si>
    <t>0 HOLMAN ST</t>
  </si>
  <si>
    <t>LOT 3 BELLS</t>
  </si>
  <si>
    <t>DB-00000833 0000345</t>
  </si>
  <si>
    <t>3141 HOLMAN ST</t>
  </si>
  <si>
    <t>LOT 4 BELLS</t>
  </si>
  <si>
    <t>DB-00004790 0000310</t>
  </si>
  <si>
    <t>0 OMAN ST</t>
  </si>
  <si>
    <t>LOTS 5 AND 6 BELLS SUB.</t>
  </si>
  <si>
    <t>DB-00003097 0000602</t>
  </si>
  <si>
    <t>3138 PARTHENON AVE</t>
  </si>
  <si>
    <t>LOT 84 WEST END PARK REV 2</t>
  </si>
  <si>
    <t>PL-20230823 0066090</t>
  </si>
  <si>
    <t>3140 PARTHENON AVE</t>
  </si>
  <si>
    <t>LOT 85 WEST END PARK REV 2</t>
  </si>
  <si>
    <t>3142 PARTHENON AVE</t>
  </si>
  <si>
    <t>PT LOT 86 REVISED SUB WEST END PARK</t>
  </si>
  <si>
    <t>DB-00003643 0000457</t>
  </si>
  <si>
    <t>511 OMAN ST</t>
  </si>
  <si>
    <t>N/W COR PARTHENON ST. &amp; OMAN ST.</t>
  </si>
  <si>
    <t>PL-20030331 0041890</t>
  </si>
  <si>
    <t>1901 ED TEMPLE BLVD</t>
  </si>
  <si>
    <t>DB-00008337 0000223</t>
  </si>
  <si>
    <t>W/S ED TEMPLE BV S/S CLARKSVILLE PK</t>
  </si>
  <si>
    <t>PT LOTS 28 TH 33 BELL SUB</t>
  </si>
  <si>
    <t>2602 MEHARRY BLVD</t>
  </si>
  <si>
    <t>DB-00005413 0000694</t>
  </si>
  <si>
    <t>PT. LOT 14 LONG &amp; ASHWORTH</t>
  </si>
  <si>
    <t>DB-00000596 0000252</t>
  </si>
  <si>
    <t>2606 MEHARRY BLVD</t>
  </si>
  <si>
    <t>DB-00005413 0000698</t>
  </si>
  <si>
    <t>PT. LOT 13 LONG &amp; ASHWORTH</t>
  </si>
  <si>
    <t>DB-00000980 0000657</t>
  </si>
  <si>
    <t>0 CLARE AVE</t>
  </si>
  <si>
    <t>DB-00005413 0000410</t>
  </si>
  <si>
    <t>PT LOT 9 YOUNG SUB MIDWAY</t>
  </si>
  <si>
    <t>DB-00000170 0000459</t>
  </si>
  <si>
    <t>DB-00005413 0000730</t>
  </si>
  <si>
    <t>PT. LOT 8 YOUNGS SUB. MIDWAY</t>
  </si>
  <si>
    <t>DB-00000139 0000324</t>
  </si>
  <si>
    <t>1606 JEFFERSON ST</t>
  </si>
  <si>
    <t>DB-20150202 0009713</t>
  </si>
  <si>
    <t>PT LOT 2 JOSEPH HAMILTONS PLAN'&amp; PT LTS 4-5-6 BRANSFORD</t>
  </si>
  <si>
    <t>2417 JEFFERSON ST</t>
  </si>
  <si>
    <t>DB-00005413 0000690</t>
  </si>
  <si>
    <t>PT. LOT 38 MCNAIRY</t>
  </si>
  <si>
    <t>DB-00001217 0000360</t>
  </si>
  <si>
    <t>2412 JEFFERSON ST</t>
  </si>
  <si>
    <t>DB-00005413 0000678</t>
  </si>
  <si>
    <t>PT. LOT 12 CLARK SUB. BOYD MCNAIRY</t>
  </si>
  <si>
    <t>DB-00001218 0000607</t>
  </si>
  <si>
    <t>2414 JEFFERSON ST</t>
  </si>
  <si>
    <t>DB-00005413 0000682</t>
  </si>
  <si>
    <t>PT. LOTS 13 &amp; 14 CLARK SUB. BOYD MCNAIRY</t>
  </si>
  <si>
    <t>DB-00001014 0000053</t>
  </si>
  <si>
    <t>0 KNOWLES ST</t>
  </si>
  <si>
    <t>DB-00005413 0000570</t>
  </si>
  <si>
    <t>PT LOT 29 BRANSFORD RLTY CO RESUB MANLOVE PLAN</t>
  </si>
  <si>
    <t>DB-00003163 0000353</t>
  </si>
  <si>
    <t>901 39TH AVE N</t>
  </si>
  <si>
    <t>METRO GOV'T  P  WILLIAM BOYD</t>
  </si>
  <si>
    <t>DB-00004877 0000428</t>
  </si>
  <si>
    <t>PT LOT 2 MCKISSACK SCHOOL SUB</t>
  </si>
  <si>
    <t>QC-20011019 0114321</t>
  </si>
  <si>
    <t>0 ED TEMPLE BLVD</t>
  </si>
  <si>
    <t>DB-00007675 0000468</t>
  </si>
  <si>
    <t>PT. LOT 1 DR. PEGGY A. ALSUP ARBORS AND ACREAGE TRACT</t>
  </si>
  <si>
    <t>0 JOHN A MERRITT BLVD</t>
  </si>
  <si>
    <t>METRO GOV'T  ROW</t>
  </si>
  <si>
    <t>DB-00009476 0000478</t>
  </si>
  <si>
    <t>S/S JOHN A. MERRITT BV E OF GULCH STREET</t>
  </si>
  <si>
    <t>737 29TH AVE N</t>
  </si>
  <si>
    <t>CR-20070725 0088033</t>
  </si>
  <si>
    <t>REAL PROPERTY 222 3RD AV N</t>
  </si>
  <si>
    <t>PT. LOT 43 L. C. THUSS SUB. BARRON</t>
  </si>
  <si>
    <t>DB-00001160 0000013</t>
  </si>
  <si>
    <t>1625 DR D B TODD JR BLVD</t>
  </si>
  <si>
    <t>METRO GOV'T  S  CHURCHWELL ELEMENTARY</t>
  </si>
  <si>
    <t>DB-00002752 0000531</t>
  </si>
  <si>
    <t>W/S DR. D.B. TODD, JR. BV  S OF OSAGE ST</t>
  </si>
  <si>
    <t>605 19TH AVE N</t>
  </si>
  <si>
    <t>METRO GOV'T  S  HEAD MIDDLE SCHOOL</t>
  </si>
  <si>
    <t>CR-20020305 0027564</t>
  </si>
  <si>
    <t>PT LTS 44 45 46 BOST. AD &amp; LAND S/S WARNER ST W OF 19TH A.N.</t>
  </si>
  <si>
    <t>DB-00004051 0000238</t>
  </si>
  <si>
    <t>601 19TH AVE N</t>
  </si>
  <si>
    <t>CR-20020305 0027566</t>
  </si>
  <si>
    <t>PT LOT 46 BOSTICK ADDN</t>
  </si>
  <si>
    <t>DB-00004115 0000529</t>
  </si>
  <si>
    <t>1823 JO JOHNSTON AVE</t>
  </si>
  <si>
    <t>CR-20020305 0027562</t>
  </si>
  <si>
    <t>PT LOT 34 COOPER ADDN</t>
  </si>
  <si>
    <t>OR-02002941 0000000</t>
  </si>
  <si>
    <t>600 SPRUCE ST</t>
  </si>
  <si>
    <t>DB-20000926 0095472</t>
  </si>
  <si>
    <t>N E CORNER OF JO JOHNSTON AVE &amp; 20TH AVENUE NORTH &amp; PT CL ST</t>
  </si>
  <si>
    <t>OR-02002942 0000000</t>
  </si>
  <si>
    <t>1925 WARNER ST</t>
  </si>
  <si>
    <t>N SIDE JO JOHNSTON AVE E OF 20TH AVE NO &amp; PT CL ST</t>
  </si>
  <si>
    <t>1923 WARNER ST</t>
  </si>
  <si>
    <t>DB-00010218 0000977</t>
  </si>
  <si>
    <t>1919 WARNER ST</t>
  </si>
  <si>
    <t>CR-20020305 0027565</t>
  </si>
  <si>
    <t>1915 WARNER ST</t>
  </si>
  <si>
    <t>CR-20020305 0027563</t>
  </si>
  <si>
    <t>N SIDE JO JOHNSTON AVE E OF 20TH AVENUE NO &amp; PT CL ST</t>
  </si>
  <si>
    <t>1913 WARNER ST</t>
  </si>
  <si>
    <t>CR-20020305 0027567</t>
  </si>
  <si>
    <t>1911 WARNER ST</t>
  </si>
  <si>
    <t>DB-20000829 0085449</t>
  </si>
  <si>
    <t>1908 JO JOHNSTON AVE</t>
  </si>
  <si>
    <t>DB-20001129 0117255</t>
  </si>
  <si>
    <t>PT LTS 45 46 BOST. AD &amp; AC TR AND PT CL ST</t>
  </si>
  <si>
    <t>1830 JO JOHNSTON AVE</t>
  </si>
  <si>
    <t>METRO GOV'T  S  J. M. HEAD</t>
  </si>
  <si>
    <t>BD-00000000 0000380</t>
  </si>
  <si>
    <t>LTS 7 8 9 SATTERWHITE SUB &amp; LTS 9-16 &amp; 32 &amp; 33 J. THOMAS SUB</t>
  </si>
  <si>
    <t>2013 25TH AVE N</t>
  </si>
  <si>
    <t>METRO GOV'T  S  JOHN EARLY</t>
  </si>
  <si>
    <t>DB-00000962 0000068</t>
  </si>
  <si>
    <t>W SIDE 25TH AVE NO &amp; N OF BUCHANAN ST PT 19 NICHOL</t>
  </si>
  <si>
    <t>911 38TH AVE N</t>
  </si>
  <si>
    <t>METRO GOV'T  S  MCKISSACK</t>
  </si>
  <si>
    <t>DB-00002099 0000363</t>
  </si>
  <si>
    <t>LOT 1 MCKISSACK SCHOOL SUB</t>
  </si>
  <si>
    <t>PL-20010221 0016146</t>
  </si>
  <si>
    <t>1818 JO JOHNSTON AVE</t>
  </si>
  <si>
    <t>DB-20170501 0042443</t>
  </si>
  <si>
    <t>PT LOTS 12 13 BOSTICK ADDN</t>
  </si>
  <si>
    <t>DB-00003029 0000231</t>
  </si>
  <si>
    <t>606 19TH AVE N</t>
  </si>
  <si>
    <t>PT LOT 13 BOSTICK ADDN</t>
  </si>
  <si>
    <t>DB-00003026 0000007</t>
  </si>
  <si>
    <t>0 JO JOHNSTON AVE</t>
  </si>
  <si>
    <t>DB-00002797 0000399</t>
  </si>
  <si>
    <t>916 16TH AVE N</t>
  </si>
  <si>
    <t>DB-00000156 0000488</t>
  </si>
  <si>
    <t>LOTS 127 THRU 130 HARDINGS 2ND ADDN</t>
  </si>
  <si>
    <t>904 26TH AVE N</t>
  </si>
  <si>
    <t>METRO GOV'T  S  PEARL-COHN</t>
  </si>
  <si>
    <t>DB-00001079 0000337</t>
  </si>
  <si>
    <t>LOT 257 &amp; P/O 344 HEFFERMAN PL &amp; ACREAGE TRACT</t>
  </si>
  <si>
    <t>1800 9TH AVE N</t>
  </si>
  <si>
    <t>METRO GOV'T  S  R. W. JONES</t>
  </si>
  <si>
    <t>DB-00000967 0000169</t>
  </si>
  <si>
    <t>LTS 349 TH 361 &amp; 363,365 PT 367 NO. NASHVILLE REAL EST.CO.</t>
  </si>
  <si>
    <t>1743 24TH AVE N</t>
  </si>
  <si>
    <t>CR-20041115 0136941</t>
  </si>
  <si>
    <t>222 3RD AV N STE 701</t>
  </si>
  <si>
    <t>PT LOTS 32 33 34 COBBS SUB OF THE BOSLEY TRACT</t>
  </si>
  <si>
    <t>DB-00003644 0000234</t>
  </si>
  <si>
    <t>4108 CLIFTON AVE</t>
  </si>
  <si>
    <t>METRO GOV'T NE POWER BOARD</t>
  </si>
  <si>
    <t>DB-20010725 0078796</t>
  </si>
  <si>
    <t>1214 CHURCH ST C/O MITTWEDDE</t>
  </si>
  <si>
    <t>PT LT 5 RESUB 13 19 20 21 CLIFTON &amp; UNNUMBERED TR W OF LOT 5</t>
  </si>
  <si>
    <t>DB-00004114 0000625</t>
  </si>
  <si>
    <t>301 CLAY ST</t>
  </si>
  <si>
    <t>METRO, GP</t>
  </si>
  <si>
    <t>SA-20181005 0099323</t>
  </si>
  <si>
    <t>LOT 1 B.V AND VANITA KUMAR AND THE LANDS OF J.G. TENNESSEEE REALTY CONSOL</t>
  </si>
  <si>
    <t>PL-20181001 0097310</t>
  </si>
  <si>
    <t>11 BELLEVUE RD</t>
  </si>
  <si>
    <t>DB-00010297 0000865</t>
  </si>
  <si>
    <t>PARCEL 3 DEVON HILLS &amp; PT CL RD</t>
  </si>
  <si>
    <t>QC-00008642 0000026</t>
  </si>
  <si>
    <t>0 HIGHWAY 70 S</t>
  </si>
  <si>
    <t>QC-20090505 0041383</t>
  </si>
  <si>
    <t>S OF HWY 70-S W OF SAWYER BROWN ROAD</t>
  </si>
  <si>
    <t>7638 HIGHWAY 70 S</t>
  </si>
  <si>
    <t>DB-20170810 0082120</t>
  </si>
  <si>
    <t>LOT 2 ONE BELLEVUE PLACE RESUB LOTS 1, 3, &amp; 4</t>
  </si>
  <si>
    <t>PL-20170724 0074739</t>
  </si>
  <si>
    <t>0 STIRRUP DR</t>
  </si>
  <si>
    <t>DB-19991223 0306439</t>
  </si>
  <si>
    <t>RES. A. WALNUT HILL MANOR SEC. 2</t>
  </si>
  <si>
    <t>DB-00003935 0000104</t>
  </si>
  <si>
    <t>0 MARK DR</t>
  </si>
  <si>
    <t>DB-00008543 0000945</t>
  </si>
  <si>
    <t>RES PAR A  VALLEY WEST SEC. 7</t>
  </si>
  <si>
    <t>PL-00005210 0000042</t>
  </si>
  <si>
    <t>DB-00009198 0000322</t>
  </si>
  <si>
    <t>PARCEL 4 DEVON HILLS &amp; PT CL RD</t>
  </si>
  <si>
    <t>8260 COLEY DAVIS RD</t>
  </si>
  <si>
    <t>DB-00007837 0000809</t>
  </si>
  <si>
    <t>E OF MCCRORY LN S OF I-40</t>
  </si>
  <si>
    <t>708 GOODPASTURE TER</t>
  </si>
  <si>
    <t>METRO GOV'T  P  BELLEVUE</t>
  </si>
  <si>
    <t>DB-00003997 0000157</t>
  </si>
  <si>
    <t>S/S HARPETH PKWY. W.-W. OF HARPETH BEND DR.</t>
  </si>
  <si>
    <t>0 HIGHWAY 100</t>
  </si>
  <si>
    <t>METRO GOV'T  P  EDWIN WARNER</t>
  </si>
  <si>
    <t>BD-ZERO     0001645</t>
  </si>
  <si>
    <t>INT STATE HWY 100 AND HICKS RD</t>
  </si>
  <si>
    <t>BD-ZERO     0001643</t>
  </si>
  <si>
    <t>N/W COR HY 100 &amp; HICKS RD</t>
  </si>
  <si>
    <t>OR-00082856 0000000</t>
  </si>
  <si>
    <t>1016 BEECH BEND DR</t>
  </si>
  <si>
    <t>DB-20140310 0019839</t>
  </si>
  <si>
    <t>LOT 810 HARPETH WOODS SEC 4 FIRST ADDITION</t>
  </si>
  <si>
    <t>PL-00005200 0000635</t>
  </si>
  <si>
    <t>0 NEW SAWYER BROWN RD</t>
  </si>
  <si>
    <t>DB-00008615 0000105</t>
  </si>
  <si>
    <t>RES PAR A STACY SQUARE SEC. 3</t>
  </si>
  <si>
    <t>OR-02000134 0000000</t>
  </si>
  <si>
    <t>646 COLICE JEANNE RD</t>
  </si>
  <si>
    <t>METRO GOV'T  S  BELLEVUE</t>
  </si>
  <si>
    <t>DB-00002750 0000563</t>
  </si>
  <si>
    <t>N E COR OF COLICE JEANNE RD &amp; HARDING PK</t>
  </si>
  <si>
    <t>CD-00000729 0000000</t>
  </si>
  <si>
    <t>655 COLICE JEANNE RD</t>
  </si>
  <si>
    <t>DB-00003537 0000199</t>
  </si>
  <si>
    <t>W. SIDE COLICE JEANNE ROAD N. OF OLD HARDING ROAD</t>
  </si>
  <si>
    <t>PL-20140115 0003978</t>
  </si>
  <si>
    <t>720 BAUGH RD</t>
  </si>
  <si>
    <t>LOT 1 BELLEVUE LIBRARY</t>
  </si>
  <si>
    <t>DC-20140211 0012023</t>
  </si>
  <si>
    <t>8001 HIGHWAY 70 S</t>
  </si>
  <si>
    <t>DB-20170720 0073709</t>
  </si>
  <si>
    <t>N SIDE HOOTEN HOWS RD W OF HWY 70S</t>
  </si>
  <si>
    <t>OR-00991790 0000000</t>
  </si>
  <si>
    <t>QC-20201215 0148044</t>
  </si>
  <si>
    <t>W SIDE OF OLD HICKORY BLVD N OF HWY 70</t>
  </si>
  <si>
    <t>QC-20070110 0004333</t>
  </si>
  <si>
    <t>402 HATHAWAY CT</t>
  </si>
  <si>
    <t>QC-20150630 0063027</t>
  </si>
  <si>
    <t>LOT 986 PT 987 SEC 16 WEST MEADE FARMS</t>
  </si>
  <si>
    <t>0 CAMMACK CT</t>
  </si>
  <si>
    <t>DB-20130204 0011529</t>
  </si>
  <si>
    <t>PT OF LOT 105 SEC 4 WEST MEADE HILLS</t>
  </si>
  <si>
    <t>638 DAVIDSON RD</t>
  </si>
  <si>
    <t>METRO GOV'T  F  ENG. # 7</t>
  </si>
  <si>
    <t>DB-00005203 0000831</t>
  </si>
  <si>
    <t>LOT 36 SEC 1 BROOK MEADE</t>
  </si>
  <si>
    <t>DB-00004697 0000841</t>
  </si>
  <si>
    <t>850 B W HILLWOOD DR</t>
  </si>
  <si>
    <t>DB-00002394 0000423</t>
  </si>
  <si>
    <t>PARCEL E SEC 8 HORTON HGTS</t>
  </si>
  <si>
    <t>988 DAVIDSON DR</t>
  </si>
  <si>
    <t>DB-00002604 0000612</t>
  </si>
  <si>
    <t>LOT 173 SEC 3 CREST MEADE</t>
  </si>
  <si>
    <t>780 RHONDA LN</t>
  </si>
  <si>
    <t>DB-00002692 0000207</t>
  </si>
  <si>
    <t>S OF CHARLOTTE PIKE W OF RHONDA LANE</t>
  </si>
  <si>
    <t>708 DAVIDSON RD</t>
  </si>
  <si>
    <t>DB-00002202 0000367</t>
  </si>
  <si>
    <t>LOT 9 SEC 1 BROOK MEADE</t>
  </si>
  <si>
    <t>0 BELLE MEADE BLVD</t>
  </si>
  <si>
    <t>PT RESERVED STRIP 1ST BELLE MEADE</t>
  </si>
  <si>
    <t>BM</t>
  </si>
  <si>
    <t>5408 HARDING PIKE</t>
  </si>
  <si>
    <t>DB-00001764 0000158</t>
  </si>
  <si>
    <t>W SIDE MEMPHIS BRISTOL HWY S OF PAGE RD</t>
  </si>
  <si>
    <t>4008 HARDING PL</t>
  </si>
  <si>
    <t>DB-00002446 0000569</t>
  </si>
  <si>
    <t>E SIDE LYNNWOOD BLVD N OF HARDING PLACE</t>
  </si>
  <si>
    <t>6424 HARDING PIKE</t>
  </si>
  <si>
    <t>DB-00002601 0000237</t>
  </si>
  <si>
    <t>N SIDE MEMPHIS BRISTOL HWY &amp; E OF CARNAVON PKWY</t>
  </si>
  <si>
    <t>1215 BELLE MEADE BLVD</t>
  </si>
  <si>
    <t>DB-00001280 0000581</t>
  </si>
  <si>
    <t>N W CORNER BELLE MEADE BLVD &amp; PAGE RD</t>
  </si>
  <si>
    <t>DB-00001280 0000580</t>
  </si>
  <si>
    <t>1300 PAGE RD</t>
  </si>
  <si>
    <t>METRO GOV'T  P EDWIN WARNER</t>
  </si>
  <si>
    <t>DB-00001361 0000409</t>
  </si>
  <si>
    <t>LOT 5 WARNER PARK SUB REVISED &amp; PT CL ALLEY</t>
  </si>
  <si>
    <t>OR-20040826 0103576</t>
  </si>
  <si>
    <t>150 DAVIDSON RD</t>
  </si>
  <si>
    <t>METRO GOV'T  S  H. G. HILL ELEM.</t>
  </si>
  <si>
    <t>DB-00004307 0000137</t>
  </si>
  <si>
    <t>N. SIDE DAVIDSON ROAD W. OF HARDING PIKE</t>
  </si>
  <si>
    <t>300 LEAKE AVE</t>
  </si>
  <si>
    <t>METRO GOV'T  S  PARMER</t>
  </si>
  <si>
    <t>DB-00001908 0000055</t>
  </si>
  <si>
    <t>ES BELLVUE DRIVE NS LEAKE AVE &amp; PT CLOSED ALLEY</t>
  </si>
  <si>
    <t>OR-00096005 0000000</t>
  </si>
  <si>
    <t>6641 CLEARBROOK DR</t>
  </si>
  <si>
    <t>METRO GOV'T  S  WEST MEADE</t>
  </si>
  <si>
    <t>DB-00002997 0000260</t>
  </si>
  <si>
    <t>N E CORNER OF CARNAVON PKWY &amp; MELINDA DR</t>
  </si>
  <si>
    <t>0 CARNAVON PKWY</t>
  </si>
  <si>
    <t>N E CORNER CARNAVON PKWY &amp; MEMPHIS BRISTOL HWY</t>
  </si>
  <si>
    <t>6621 CURRYWOOD DR</t>
  </si>
  <si>
    <t>DB-00003436 0000115</t>
  </si>
  <si>
    <t>LOT 117 SEC 6 WEST MEADE ESTATES</t>
  </si>
  <si>
    <t>6617 CURRYWOOD DR</t>
  </si>
  <si>
    <t>LOT 118 SEC 6 WEST MEADE ESTATES</t>
  </si>
  <si>
    <t>6507 RP CURRYWOOD DR</t>
  </si>
  <si>
    <t>DB-00005687 0000826</t>
  </si>
  <si>
    <t>W OF CURRYWOOD DR N OF BRESSLYN RD</t>
  </si>
  <si>
    <t>DB-00002797 0000431</t>
  </si>
  <si>
    <t>6145 JOCELYN HOLLOW RD</t>
  </si>
  <si>
    <t>DB-00004056 0000975</t>
  </si>
  <si>
    <t>PT LOT 2 SEC 2 WEST MEADE FARMS</t>
  </si>
  <si>
    <t>5901 OLD HARDING PIKE</t>
  </si>
  <si>
    <t>DB-20120221 0014689</t>
  </si>
  <si>
    <t>LOT 10, SUB LOT A-2 HIGHLANDS OF BELLE MEADE  2</t>
  </si>
  <si>
    <t>DB-00003877 0000406</t>
  </si>
  <si>
    <t>6201 HARDING PIKE</t>
  </si>
  <si>
    <t>DB-00004689 0000268</t>
  </si>
  <si>
    <t>LOT 42 SEC 1 WARNER PARK VALLEY</t>
  </si>
  <si>
    <t>6629 RP JOCELYN HOLLOW RD</t>
  </si>
  <si>
    <t>S JOCELYN HOLLOW RD &amp; E HATHAWAY CT SEC 16 WEST MEADE FARMS</t>
  </si>
  <si>
    <t>0 CLEARBROOK DR</t>
  </si>
  <si>
    <t>W VAUGHNS GAP RD S JOCELYN HOLLOW RD</t>
  </si>
  <si>
    <t>400 DAVIDSON RD</t>
  </si>
  <si>
    <t>METRO GOV'T S HILLWOOD</t>
  </si>
  <si>
    <t>QC-20240131 0007594</t>
  </si>
  <si>
    <t>N E CORNER DAVIDSON RD HICKORY VALLEY RD</t>
  </si>
  <si>
    <t>DB-00002100 0000635</t>
  </si>
  <si>
    <t>0 RIDGEFIELD CT</t>
  </si>
  <si>
    <t>DB-00005414 0000001</t>
  </si>
  <si>
    <t>RESERVED STRIP N OF WOODMONT BLVD, E OF MEMPHIS BRISTOL HWY</t>
  </si>
  <si>
    <t>DB-00000452 0000647</t>
  </si>
  <si>
    <t>0 WOODMONT CIR</t>
  </si>
  <si>
    <t>DB-00005414 0000009</t>
  </si>
  <si>
    <t>RESERVED 10 STRIP KENNER MANOR</t>
  </si>
  <si>
    <t>3911 WEST END AVE</t>
  </si>
  <si>
    <t>METRO GOV'T  F  ENG CO 17 TRUCK 4</t>
  </si>
  <si>
    <t>DB-00004677 0000996</t>
  </si>
  <si>
    <t>LOTS 6&amp;7 RAINBOW SUB</t>
  </si>
  <si>
    <t>410 45TH AVE N</t>
  </si>
  <si>
    <t>METRO GOV'T  F  FIREHALL #13</t>
  </si>
  <si>
    <t>DB-00007817 0000180</t>
  </si>
  <si>
    <t>LOTS 13-15-17-19-21-23 BLK 48 W NASH PLAN NO 1</t>
  </si>
  <si>
    <t>4711 CHARLOTTE AVE</t>
  </si>
  <si>
    <t>METRO GOV'T  L  WEST BRANCH</t>
  </si>
  <si>
    <t>DB-00001276 0000000</t>
  </si>
  <si>
    <t>S. OF CHARLOTTE AVE. E. OF 50TH AVE. N.</t>
  </si>
  <si>
    <t>137 51ST AVE N</t>
  </si>
  <si>
    <t>NON-PROFIT CHARITABLE SERVICE</t>
  </si>
  <si>
    <t>METRO GOV'T  M  CHILDRENS HOME</t>
  </si>
  <si>
    <t>DB-00000611 0000436</t>
  </si>
  <si>
    <t>W SIDE 51ST AVE NO S OF WYOMING AVE</t>
  </si>
  <si>
    <t>5500 CHARLOTTE PIKE</t>
  </si>
  <si>
    <t>DB-20091125 0108464</t>
  </si>
  <si>
    <t>LOT 1 &amp; 2 FORD LEASING DEVELOPMENT CO. SUB</t>
  </si>
  <si>
    <t>DB-00008960 0000583</t>
  </si>
  <si>
    <t>100 B KENNER AVE</t>
  </si>
  <si>
    <t>DB-00002031 0000007</t>
  </si>
  <si>
    <t>PT LOT 2 1 BRANSFORD SUB 4 5 KENNER MANOR</t>
  </si>
  <si>
    <t>5300 ALABAMA AVE</t>
  </si>
  <si>
    <t>BD-00002095 0000295</t>
  </si>
  <si>
    <t>PT LOT-193 WEST NASH EXT</t>
  </si>
  <si>
    <t>DB-00002095 0000295</t>
  </si>
  <si>
    <t>4025 COLORADO AVE</t>
  </si>
  <si>
    <t>LOT 22 WEST END ANNEX</t>
  </si>
  <si>
    <t>613 WILSON BLVD</t>
  </si>
  <si>
    <t>LOT 1 BLK I W M CANTRELL SUB</t>
  </si>
  <si>
    <t>2528 SHARONDALE DR</t>
  </si>
  <si>
    <t>DB-00001403 0000096</t>
  </si>
  <si>
    <t>PT LOT 3 EDGAR JONES QUARRY LOT</t>
  </si>
  <si>
    <t>22 WHITE BRIDGE PIKE</t>
  </si>
  <si>
    <t>DB-00004641 0000232</t>
  </si>
  <si>
    <t>N SIDE WHITE BRIDGE PIKE, W SIDE L &amp; N RAILROAD</t>
  </si>
  <si>
    <t>3531 WEST END AVE</t>
  </si>
  <si>
    <t>METRO GOV'T  P  ELMINGTON</t>
  </si>
  <si>
    <t>DB-00001554 0000283B</t>
  </si>
  <si>
    <t>S W COR WEST END AVE &amp; ELMINGTON AVE</t>
  </si>
  <si>
    <t>DB-00006069 0000374</t>
  </si>
  <si>
    <t>4806 COLORADO AVE</t>
  </si>
  <si>
    <t>METRO GOV'T  P  MCCABE</t>
  </si>
  <si>
    <t>DB-00001318 0000674</t>
  </si>
  <si>
    <t>LOTS 8 THRU 12 INC BLOCK 20 SYLVAN PARK</t>
  </si>
  <si>
    <t>4617 SLOAN RD</t>
  </si>
  <si>
    <t>BD-ZERO     0001005</t>
  </si>
  <si>
    <t>E SIDE SLOAN RD N OF L &amp; N RAILROAD</t>
  </si>
  <si>
    <t>DB-00000702 0000431</t>
  </si>
  <si>
    <t>4601 MURPHY RD</t>
  </si>
  <si>
    <t>SOUTH SIDE OF MURPHY RD &amp; 46TH AVE NO &amp; PT CLOSED ST.</t>
  </si>
  <si>
    <t>OR-00007920 0000000</t>
  </si>
  <si>
    <t>4601 CHARLOTTE AVE</t>
  </si>
  <si>
    <t>METRO GOV'T  P  RICHLAND</t>
  </si>
  <si>
    <t>DB-00000195 0000369</t>
  </si>
  <si>
    <t>S SIDE CHARLOTTE AVE E OF 50TH AVENUE</t>
  </si>
  <si>
    <t>4805 PARK AVE</t>
  </si>
  <si>
    <t>METRO GOV'T  S  COHN</t>
  </si>
  <si>
    <t>DB-00001514 0000386</t>
  </si>
  <si>
    <t>S E COR PARK AVE &amp; 49TH AVENUE NORTH</t>
  </si>
  <si>
    <t>DB-00000723 0000441</t>
  </si>
  <si>
    <t>160 RURAL AVE</t>
  </si>
  <si>
    <t>METRO GOV'T  S  MARTHA VAUGHT</t>
  </si>
  <si>
    <t>DB-00001815 0000543</t>
  </si>
  <si>
    <t>RICHLAND MEADOWS SEC 4 E OF RURAL AVE, W OF MEADOWCREST LANE</t>
  </si>
  <si>
    <t>3703 PARK AVE</t>
  </si>
  <si>
    <t>METRO GOV'T  S  PARK AVENUE</t>
  </si>
  <si>
    <t>DB-00000475 0000367</t>
  </si>
  <si>
    <t>S. E. CORNER PARK AVENUE &amp; 38TH AVENUE N.</t>
  </si>
  <si>
    <t>OR-00981236 0000000</t>
  </si>
  <si>
    <t>4801 UTAH AVE</t>
  </si>
  <si>
    <t>METRO GOV'T  S  SYLVAN PARK</t>
  </si>
  <si>
    <t>BD-00000000 0000301</t>
  </si>
  <si>
    <t>W SIDE 48TH AVE NO S OF WYOMING AVE</t>
  </si>
  <si>
    <t>DB-00000966 0000433</t>
  </si>
  <si>
    <t>210 ELMINGTON AVE</t>
  </si>
  <si>
    <t>METRO GOV'T  S  WEST END</t>
  </si>
  <si>
    <t>DB-00000999 0000106</t>
  </si>
  <si>
    <t>W SIDE ELMINGTON AVE S OF WEST END AVE</t>
  </si>
  <si>
    <t>912 ESTES RD</t>
  </si>
  <si>
    <t>METRO GOV'T  S  WOODMONT</t>
  </si>
  <si>
    <t>DB-00001142 0000656</t>
  </si>
  <si>
    <t>LOTS 16 17 18 25 26 27 AND PT LOTS 15 28WOODMONT PARK SUB</t>
  </si>
  <si>
    <t>416 38TH AVE N</t>
  </si>
  <si>
    <t>DB-00001755 0000259</t>
  </si>
  <si>
    <t>LOTS 22 TH 25 &amp; 42 TH 45 W. R. WILSON</t>
  </si>
  <si>
    <t>OR-00049215 0000000</t>
  </si>
  <si>
    <t>5634 MEADOWCREST LN</t>
  </si>
  <si>
    <t>DB-20120117 0004420</t>
  </si>
  <si>
    <t>LOT 135 SEC 3 RICHLAND MEADOWS</t>
  </si>
  <si>
    <t>DB-00004406 0000651</t>
  </si>
  <si>
    <t>5632 MEADOWCREST LN</t>
  </si>
  <si>
    <t>DB-20111227 0100857</t>
  </si>
  <si>
    <t>LOT 136 SEC 3 RICHLAND MEADOWS</t>
  </si>
  <si>
    <t>DB-00004674 0000451</t>
  </si>
  <si>
    <t>5630 MEADOWCREST LN</t>
  </si>
  <si>
    <t>DB-20120626 0055890</t>
  </si>
  <si>
    <t>LOT 137 SEC 3 RICHLAND MEADOWS</t>
  </si>
  <si>
    <t>DB-00003405 0000623</t>
  </si>
  <si>
    <t>0 KENNER AVE</t>
  </si>
  <si>
    <t>DB-00005414 0000005</t>
  </si>
  <si>
    <t>N OF KENNER AVE W OF CLEARVIEW DR</t>
  </si>
  <si>
    <t>1009 ESTES RD</t>
  </si>
  <si>
    <t>BD-ZERO     0001269</t>
  </si>
  <si>
    <t>PT LOT 129 KENNER MANOR</t>
  </si>
  <si>
    <t>PL-00000421 0000100</t>
  </si>
  <si>
    <t>3801 HILLSBORO PIKE</t>
  </si>
  <si>
    <t>ONE STORY GENERAL RETAIL STORE</t>
  </si>
  <si>
    <t>DB-20221220 0131314</t>
  </si>
  <si>
    <t>PT LOT 1 &amp; LOTS 2 &amp; 3 BLKF" PT LOT 1 BLK"B" HILLSBORO VIEWS"</t>
  </si>
  <si>
    <t>DB-00001160 0000084</t>
  </si>
  <si>
    <t>3701 BENHAM AVE</t>
  </si>
  <si>
    <t>METRO GOV'T  L  GREEN HILLS BRANCH</t>
  </si>
  <si>
    <t>DB-00011300 0000105</t>
  </si>
  <si>
    <t>LOT 1 GREEN HILLS LIBRARY FINAL PLAT</t>
  </si>
  <si>
    <t>PL-20000112 0004276</t>
  </si>
  <si>
    <t>1912 GLEN ECHO RD</t>
  </si>
  <si>
    <t>DB-00005679 0000084A</t>
  </si>
  <si>
    <t>N SIDE OF GLEN ECHO RD E OF HILLSBORO RD</t>
  </si>
  <si>
    <t>DB-00005679 0000084</t>
  </si>
  <si>
    <t>2219 BANDYWOOD DR</t>
  </si>
  <si>
    <t>DB-00004343 0000460</t>
  </si>
  <si>
    <t>LOT 41 PT LOT 40 GEORGE WATERS SUB PT 2</t>
  </si>
  <si>
    <t>2215 BANDYWOOD DR</t>
  </si>
  <si>
    <t>DB-00004343 0000456</t>
  </si>
  <si>
    <t>LOT 39 PT 40 GEORGE WATERS SUB PT 2</t>
  </si>
  <si>
    <t>4014 LEALAND LN</t>
  </si>
  <si>
    <t>DB-00001757 0000573</t>
  </si>
  <si>
    <t>LOT 2 LIPSEY &amp; NES PROPERTY</t>
  </si>
  <si>
    <t>PL-00009700 0000747</t>
  </si>
  <si>
    <t>4016 LEALAND LN</t>
  </si>
  <si>
    <t>LOT 189 RESUB LOTS 188 &amp; 189 ROLLING MEADOWS</t>
  </si>
  <si>
    <t>4211 MORRISWOOD CT</t>
  </si>
  <si>
    <t>DB-00002396 0000071</t>
  </si>
  <si>
    <t>S E COR MORRISWOOD COURT &amp; OVERTON ST &amp; PT CLOSED R.O.W.</t>
  </si>
  <si>
    <t>OR-00000008 0000008</t>
  </si>
  <si>
    <t>OH</t>
  </si>
  <si>
    <t>1010 MILESDALE DR</t>
  </si>
  <si>
    <t>DB-00002485 0000517</t>
  </si>
  <si>
    <t>N OF MILESDALE DR W OF LEALAND LANE</t>
  </si>
  <si>
    <t>4205 BELMONT BLVD</t>
  </si>
  <si>
    <t>DB-00002448 0000600</t>
  </si>
  <si>
    <t>PT OF LOT 26 BLAIRS RESUB BELMONT PK PL</t>
  </si>
  <si>
    <t>1210 LONE OAK RD</t>
  </si>
  <si>
    <t>METRO GOV'T  P  GREEN HILLS</t>
  </si>
  <si>
    <t>CD-00000658 0000000</t>
  </si>
  <si>
    <t>LOTS38,39,40 PT.31,32,33 BLAIRS REV. BELMONT PARK.</t>
  </si>
  <si>
    <t>803 PARK TER</t>
  </si>
  <si>
    <t>DB-20120214 0012866</t>
  </si>
  <si>
    <t>PT LOTS 21 THRU 26 BLK D. BATTLEFIELD ESTATES SEC. 2</t>
  </si>
  <si>
    <t>818 PARK TER</t>
  </si>
  <si>
    <t>DB-20120221 0014696</t>
  </si>
  <si>
    <t>PT LOTS 50, 51 BLK D SEC. 2 BATTLEFIELD ESTATES</t>
  </si>
  <si>
    <t>DB-00004627 0000644</t>
  </si>
  <si>
    <t>816 PARK TER</t>
  </si>
  <si>
    <t>DB-20111227 0100842</t>
  </si>
  <si>
    <t>PT LOTS 48 &amp; 49 BLK D BATTLEFIELD ESTATES SEC. 2</t>
  </si>
  <si>
    <t>DB-00004764 0000846</t>
  </si>
  <si>
    <t>814 PARK TER</t>
  </si>
  <si>
    <t>DB-20111227 0100866</t>
  </si>
  <si>
    <t>PT LOTS 46, 47 BLK D SEC. 2 BATTLEFIELD ESTATES</t>
  </si>
  <si>
    <t>DB-00004781 0000781</t>
  </si>
  <si>
    <t>812 PARK TER</t>
  </si>
  <si>
    <t>DC-20120206 0010525</t>
  </si>
  <si>
    <t>PT LOTS 44, 45 BLK D. BATTLEFIELD ESTATES SEC 2</t>
  </si>
  <si>
    <t>DB-00004633 0000957</t>
  </si>
  <si>
    <t>810 PARK TER</t>
  </si>
  <si>
    <t>DB-20120130 0008226</t>
  </si>
  <si>
    <t>PT LOTS 41, 42, 43 BLK D SEC. 2. BATTLEFIELD ESTATES</t>
  </si>
  <si>
    <t>DB-00001341 0000473</t>
  </si>
  <si>
    <t>819 PARK TER</t>
  </si>
  <si>
    <t>DB-20120103 0000320</t>
  </si>
  <si>
    <t>LOT 5 THRU 7 BLK D, BATTLEFIELD ESTATES SEC 2</t>
  </si>
  <si>
    <t>DB-00004587 0000398</t>
  </si>
  <si>
    <t>817 PARK TER</t>
  </si>
  <si>
    <t>DB-20120103 0000338</t>
  </si>
  <si>
    <t>LOT 8 9 BLK D, BATTLEFIELD ESTATES SECTION 2</t>
  </si>
  <si>
    <t>DB-00004758 0000446</t>
  </si>
  <si>
    <t>815 PARK TER</t>
  </si>
  <si>
    <t>DB-20120214 0012867</t>
  </si>
  <si>
    <t>LOT 10 11 BLK D, BATTLEFIELD ESTATES SEC 2</t>
  </si>
  <si>
    <t>DB-00003570 0000521</t>
  </si>
  <si>
    <t>813 PARK TER</t>
  </si>
  <si>
    <t>DB-20120413 0031557</t>
  </si>
  <si>
    <t>LOTS 12 13 BLK D, BATTLEFIELD ESTATES SECTION 2</t>
  </si>
  <si>
    <t>DB-00002037 0000351</t>
  </si>
  <si>
    <t>811 PARK TER</t>
  </si>
  <si>
    <t>DB-20111227 0100861</t>
  </si>
  <si>
    <t>LOTS 14 15 BLK D, BATTLEFIELD ESTATES SECTION 2</t>
  </si>
  <si>
    <t>DB-00003838 0000203</t>
  </si>
  <si>
    <t>809 PARK TER</t>
  </si>
  <si>
    <t>DB-20111227 0100856</t>
  </si>
  <si>
    <t>LOT 16 17 BLK D BATTLEFIELD ESTS SEC 2</t>
  </si>
  <si>
    <t>DB-00003816 0000282</t>
  </si>
  <si>
    <t>801 PARK TER</t>
  </si>
  <si>
    <t>DB-20111227 0100853</t>
  </si>
  <si>
    <t>PT LOTS 27, 28, 29, BLK D. BATTLEFIELD ESTATES SEC. 2.</t>
  </si>
  <si>
    <t>DB-00002199 0000186</t>
  </si>
  <si>
    <t>832 PLEASANT VALLEY RD</t>
  </si>
  <si>
    <t>DB-20120118 0004774</t>
  </si>
  <si>
    <t>LOT 19 PLEASANT VALLEY</t>
  </si>
  <si>
    <t>DB-00004408 0000166</t>
  </si>
  <si>
    <t>828 PLEASANT VALLEY RD</t>
  </si>
  <si>
    <t>DB-20120413 0031556</t>
  </si>
  <si>
    <t>LOT 21 PLEASANT VALLEY</t>
  </si>
  <si>
    <t>DB-00003430 0000217</t>
  </si>
  <si>
    <t>826 PLEASANT VALLEY RD</t>
  </si>
  <si>
    <t>DB-20111227 0100858</t>
  </si>
  <si>
    <t>LOT 22 PLEASANT VALLEY</t>
  </si>
  <si>
    <t>DB-00004191 0000248</t>
  </si>
  <si>
    <t>824 PLEASANT VALLEY RD</t>
  </si>
  <si>
    <t>DB-20120214 0012865</t>
  </si>
  <si>
    <t>LOT 23 PLEASANT VALLEY</t>
  </si>
  <si>
    <t>DB-00004022 0000024</t>
  </si>
  <si>
    <t>831 SUTTON HILL RD</t>
  </si>
  <si>
    <t>DB-20180119 0005871</t>
  </si>
  <si>
    <t>E SIDE SUTTON HILL RD E OF MCNAIRY LANE</t>
  </si>
  <si>
    <t>DB-00004051 0000643</t>
  </si>
  <si>
    <t>825 SUTTON HILL RD</t>
  </si>
  <si>
    <t>DB-20111227 0100706</t>
  </si>
  <si>
    <t>LOT 1 BATTLEFIELD ESTATES SEC. 2 RE-SUB.</t>
  </si>
  <si>
    <t>DB-00004112 0000385</t>
  </si>
  <si>
    <t>827 SUTTON HILL RD</t>
  </si>
  <si>
    <t>DB-20120118 0004776</t>
  </si>
  <si>
    <t>LOT 2 BATTLEFIELD ESTATES SEC. 2 RE-SUB.</t>
  </si>
  <si>
    <t>DB-00004729 0000811</t>
  </si>
  <si>
    <t>829 SUTTON HILL RD</t>
  </si>
  <si>
    <t>DB-20120426 0035728</t>
  </si>
  <si>
    <t>LOT 3 BATTLEFIELD EST SEC 2 RE-SUB &amp; P/O 16 PLEASANT VALLEY</t>
  </si>
  <si>
    <t>DB-00005086 0000950</t>
  </si>
  <si>
    <t>840 PLEASANT VALLEY RD</t>
  </si>
  <si>
    <t>DB-20120330 0026959</t>
  </si>
  <si>
    <t>LOT 15 PLEASANT VALLEY &amp; PT CLOSED ST</t>
  </si>
  <si>
    <t>DB-00004707 0000649</t>
  </si>
  <si>
    <t>836 PLEASANT VALLEY RD</t>
  </si>
  <si>
    <t>DB-20120109 0002088</t>
  </si>
  <si>
    <t>PT. LOT 17 PLEASANT VALLEY</t>
  </si>
  <si>
    <t>DB-00004017 0000803</t>
  </si>
  <si>
    <t>834 PLEASANT VALLEY RD</t>
  </si>
  <si>
    <t>DB-20120206 0010520</t>
  </si>
  <si>
    <t>LOT 18 PLEASANT VALLEY</t>
  </si>
  <si>
    <t>DB-00004009 0000200</t>
  </si>
  <si>
    <t>838 PLEASANT VALLEY RD</t>
  </si>
  <si>
    <t>DB-20120117 0004427</t>
  </si>
  <si>
    <t>P/O LOT 16 PLEASANT VALLEY</t>
  </si>
  <si>
    <t>807 PARK TER</t>
  </si>
  <si>
    <t>DB-20120221 0014682</t>
  </si>
  <si>
    <t>LT 18 THRU 20 PT LT 21 22 BLK D BATTLEFIELD ESTATES SEC 2</t>
  </si>
  <si>
    <t>DB-00004199 0000015</t>
  </si>
  <si>
    <t>800 THOMPSON AVE</t>
  </si>
  <si>
    <t>METRO GOV'T  S  GLENDALE</t>
  </si>
  <si>
    <t>DB-00001968 0000225</t>
  </si>
  <si>
    <t>N/S MELVILLE DR. E. OF GENERAL BATE DRIVE</t>
  </si>
  <si>
    <t>3812 HILLSBORO PIKE</t>
  </si>
  <si>
    <t>METRO GOV'T  S  HILLSBORO</t>
  </si>
  <si>
    <t>DB-00001109 0000162</t>
  </si>
  <si>
    <t>LTS 35-42 GLEN ECHO &amp; AC TRACT</t>
  </si>
  <si>
    <t>4425 GRANNY WHITE PIKE</t>
  </si>
  <si>
    <t>METRO GOV'T  S  JT MOORE MIDDLE</t>
  </si>
  <si>
    <t>LOT,7,8,9,16,17,18,PT LOT 31,32,33 BLAIRS REV. BELMONT PARK</t>
  </si>
  <si>
    <t>4820 FRANKLIN PIKE</t>
  </si>
  <si>
    <t>METRO GOV'T  S  OVERTON</t>
  </si>
  <si>
    <t>DB-00002693 0000475</t>
  </si>
  <si>
    <t>E OF FRANKLIN PIKE N OF EAST TYNE BLVD</t>
  </si>
  <si>
    <t>835 ROBERTSON ACADEMY RD</t>
  </si>
  <si>
    <t>METRO GOV'T  S  ROBERTSON ACADEMY</t>
  </si>
  <si>
    <t>DB-00000423 0000310</t>
  </si>
  <si>
    <t>S SIDE ROBERTSON ACADEMY RD, E OF CHURCHWOOD DRIVE</t>
  </si>
  <si>
    <t>3701 BELMONT BLVD</t>
  </si>
  <si>
    <t>METRO GOV'T  S  WALTER STOKES</t>
  </si>
  <si>
    <t>DB-00000939 0000383</t>
  </si>
  <si>
    <t>W SIDE OF BELMONT BLVD N OF GLEN ECHO RD</t>
  </si>
  <si>
    <t>0 LAKEVIEW DR</t>
  </si>
  <si>
    <t>DB-00003769 0000631</t>
  </si>
  <si>
    <t>PT LOT 1 BLK A 5TH ADDN LEALAND MANOR</t>
  </si>
  <si>
    <t>0 OVERTON LEA RD</t>
  </si>
  <si>
    <t>DB-00003767 0000627</t>
  </si>
  <si>
    <t>PT LOT 12 LEALAND MANOR 5TH ADDITION BLK A</t>
  </si>
  <si>
    <t>DB-00003769 0000627</t>
  </si>
  <si>
    <t>868 LAKEMONT DR</t>
  </si>
  <si>
    <t>CD-00964470 0000000</t>
  </si>
  <si>
    <t>N OF LAKEMONT DR W OF FOREST ACRES DR</t>
  </si>
  <si>
    <t>864 LAKEMONT DR</t>
  </si>
  <si>
    <t>2922 MCNAIRY LN</t>
  </si>
  <si>
    <t>DB-20111227 0100845</t>
  </si>
  <si>
    <t>PT LOT 68 MARENGO PK SUTTON HILL SEC</t>
  </si>
  <si>
    <t>DB-00003676 0000569</t>
  </si>
  <si>
    <t>4927 EDMONDSON PIKE</t>
  </si>
  <si>
    <t>QC-20070118 0007522</t>
  </si>
  <si>
    <t>LOT 7 PT 6 J A PATTERSON LANDS</t>
  </si>
  <si>
    <t>DB-00011609 0000344</t>
  </si>
  <si>
    <t>5501 EDMONDSON PIKE</t>
  </si>
  <si>
    <t>DB-00011275 0000063</t>
  </si>
  <si>
    <t>LOT 2 EDMONDSON PIKE LIBRARY</t>
  </si>
  <si>
    <t>PL-00011700 0000024</t>
  </si>
  <si>
    <t>4720 TROUSDALE DR</t>
  </si>
  <si>
    <t>METRO GOV'T  F  ENG CO 27 TRUCK 14</t>
  </si>
  <si>
    <t>DB-00004830 0000435</t>
  </si>
  <si>
    <t>N E CORNER TROUSDALE DR &amp; BRIARWOOD DR</t>
  </si>
  <si>
    <t>5301 EDMONDSON PIKE</t>
  </si>
  <si>
    <t>QC-00007997 0000289</t>
  </si>
  <si>
    <t>LOT 6 WEST FORK</t>
  </si>
  <si>
    <t>PL-00006900 0000451</t>
  </si>
  <si>
    <t>464 OAKLEY DR</t>
  </si>
  <si>
    <t>DB-00002437 0000478</t>
  </si>
  <si>
    <t>N E S RES SEC 6 BRENTWOOD HALL N S OAKLEY E STALLWORTH DR</t>
  </si>
  <si>
    <t>5184 FRANKLIN PIKE CIR</t>
  </si>
  <si>
    <t>DB-00008824 0000634</t>
  </si>
  <si>
    <t>W/SIDE OVERTON RD S OF OAKLEY DR</t>
  </si>
  <si>
    <t>4941 EDMONDSON PIKE</t>
  </si>
  <si>
    <t>DB-00003097 0000432</t>
  </si>
  <si>
    <t>LOT 83 SEC 1 BATTERY CREST</t>
  </si>
  <si>
    <t>355 BLACKMAN RD</t>
  </si>
  <si>
    <t>DB-00002341 0000509</t>
  </si>
  <si>
    <t>LOT 525 SEC 6 CRIEVE HALL ESTATES</t>
  </si>
  <si>
    <t>445 LYNN DR</t>
  </si>
  <si>
    <t>DB-00003315 0000352</t>
  </si>
  <si>
    <t>LOT 806 SEC 13 CALDWELL HALL</t>
  </si>
  <si>
    <t>4706 ABBAY DR</t>
  </si>
  <si>
    <t>DB-00002397 0000053</t>
  </si>
  <si>
    <t>LOT 9 SEC 1 ABBAY HALL</t>
  </si>
  <si>
    <t>5007 REGENT DR</t>
  </si>
  <si>
    <t>DB-00002301 0000526</t>
  </si>
  <si>
    <t>S W COR FARRELL PARKWAY &amp; REGENT DR</t>
  </si>
  <si>
    <t>781 BERRY RD</t>
  </si>
  <si>
    <t>DB-00001333 0000408</t>
  </si>
  <si>
    <t>PT LOT 1 BERRYWOOD REVISION 1</t>
  </si>
  <si>
    <t>DB-20210126 0011658</t>
  </si>
  <si>
    <t>BH</t>
  </si>
  <si>
    <t>3777 NOLENSVILLE PIKE</t>
  </si>
  <si>
    <t>METRO GOV'T  P  GRASSMERE</t>
  </si>
  <si>
    <t>DB-00009717 0000291</t>
  </si>
  <si>
    <t>W/S NOLENSVILLE PK N OF ELYSIAN FIELDS RD</t>
  </si>
  <si>
    <t>DB-00006008 0000860</t>
  </si>
  <si>
    <t>611 HILL RD</t>
  </si>
  <si>
    <t>DB-00005516 0000749</t>
  </si>
  <si>
    <t>S/S HILL ROAD W OF HILL ROAD CIRCLE</t>
  </si>
  <si>
    <t>5299 EDMONDSON PIKE</t>
  </si>
  <si>
    <t>DB-00009531 0000621</t>
  </si>
  <si>
    <t>LOT 4 WEST FORK</t>
  </si>
  <si>
    <t>PL-00006250 0000769</t>
  </si>
  <si>
    <t>0 REGENT DR</t>
  </si>
  <si>
    <t>DB-00007391 0000552</t>
  </si>
  <si>
    <t>PT. LOT 245 HAILEYWOOD EST 8-B</t>
  </si>
  <si>
    <t>DB-00002451 0000518</t>
  </si>
  <si>
    <t>CR-20111219 0098672</t>
  </si>
  <si>
    <t>RESERVED PARCEL B SEC 1 BATTERY CREST</t>
  </si>
  <si>
    <t>DB-00008054 0000315</t>
  </si>
  <si>
    <t>498 HOGAN RD</t>
  </si>
  <si>
    <t>METRO GOV'T  S  CRIEVE HALL</t>
  </si>
  <si>
    <t>DB-00002156 0000336</t>
  </si>
  <si>
    <t>N.E.COR OF HOGAN&amp;TROUSDALE LTS232,233,234CRIEVE HALL EST SC2</t>
  </si>
  <si>
    <t>5501 HILL RD</t>
  </si>
  <si>
    <t>METRO GOV'T  S  GRANBERRY</t>
  </si>
  <si>
    <t>DB-00003673 0000565</t>
  </si>
  <si>
    <t>S. W. CORNER HILL ROAD &amp; HILL ROAD</t>
  </si>
  <si>
    <t>4700 W LONGDALE DR</t>
  </si>
  <si>
    <t>METRO GOV'T  S  NORMAN BINKLEY</t>
  </si>
  <si>
    <t>DB-00002964 0000245</t>
  </si>
  <si>
    <t>LOTS 206 &amp; 207 &amp; RES. PARCEL SEC. 1 REV. CALDWELL HALL</t>
  </si>
  <si>
    <t>METRO GOV'T  SM  GEN. ADM. BLDG.</t>
  </si>
  <si>
    <t>DB-00001977 0000436</t>
  </si>
  <si>
    <t>LOT 2 AND PT. LOT 1 ARMISTEAD AND LTS 1-6 FESSEY CT</t>
  </si>
  <si>
    <t>2941 FOSTER CREIGHTON DR</t>
  </si>
  <si>
    <t>METRO GOV'T  SM  SUPPLY CENTER</t>
  </si>
  <si>
    <t>DB-00004384 0000431</t>
  </si>
  <si>
    <t>LOTS 90 TO 93 &amp; 52 SEC 3 SIDCO</t>
  </si>
  <si>
    <t>2411 OLD POWELL AVE</t>
  </si>
  <si>
    <t>DB-00007275 0000575</t>
  </si>
  <si>
    <t>S/W CORNER OF THOMPSON LN &amp; POWELL AV</t>
  </si>
  <si>
    <t>4947 EDMONDSON PIKE</t>
  </si>
  <si>
    <t>DB-20060324 0034095</t>
  </si>
  <si>
    <t>LOT 86 SEC 1 BATTERY CREST</t>
  </si>
  <si>
    <t>DB-00008352 0000640</t>
  </si>
  <si>
    <t>4955 EDMONDSON PIKE</t>
  </si>
  <si>
    <t>DB-20051028 0130225</t>
  </si>
  <si>
    <t>LOT 90 SEC 1 BATTERY CREST</t>
  </si>
  <si>
    <t>DB-00008230 0000826</t>
  </si>
  <si>
    <t>215 BLACKMAN RD</t>
  </si>
  <si>
    <t>DB-20030801 0109541</t>
  </si>
  <si>
    <t>LOT 130 SEC 1 CALDWELL COUNTRY ESTATES</t>
  </si>
  <si>
    <t>DB-00004550 0000052</t>
  </si>
  <si>
    <t>307 MILNER CT</t>
  </si>
  <si>
    <t>DB-20030617 0083620</t>
  </si>
  <si>
    <t>LOT 60 SEC 1 BATTERY CREST</t>
  </si>
  <si>
    <t>DB-00004090 0000824</t>
  </si>
  <si>
    <t>5405 SAN MARCOS DR</t>
  </si>
  <si>
    <t>DB-20090406 0031466</t>
  </si>
  <si>
    <t>LOT 44 HILLVIEW ESTATES RESUB.</t>
  </si>
  <si>
    <t>DB-00004182 0000887</t>
  </si>
  <si>
    <t>5409 SAN MARCOS DR</t>
  </si>
  <si>
    <t>DB-20090409 0032586</t>
  </si>
  <si>
    <t>LOT 43 HILLVIEW ESTATES RESUB.</t>
  </si>
  <si>
    <t>DB-00004221 0000423</t>
  </si>
  <si>
    <t>4810 MILNER DR</t>
  </si>
  <si>
    <t>DB-20080529 0054860</t>
  </si>
  <si>
    <t>LOT 53 SEC 1 BATTERY CREST</t>
  </si>
  <si>
    <t>DB-00003309 0000311</t>
  </si>
  <si>
    <t>4804 MILNER DR</t>
  </si>
  <si>
    <t>DB-20060512 0055850</t>
  </si>
  <si>
    <t>LOT 56 SEC 1 BATTERY CREST</t>
  </si>
  <si>
    <t>DB-00004091 0000503</t>
  </si>
  <si>
    <t>4806 MILNER DR</t>
  </si>
  <si>
    <t>DB-20080530 0055382</t>
  </si>
  <si>
    <t>LOT 55 SEC 1 BATTERY CREST</t>
  </si>
  <si>
    <t>DB-00004051 0000725</t>
  </si>
  <si>
    <t>4808 MILNER DR</t>
  </si>
  <si>
    <t>DB-20080227 0019451</t>
  </si>
  <si>
    <t>LOT 54 SEC 1 BATTERY CREST</t>
  </si>
  <si>
    <t>DB-00003339 0000027</t>
  </si>
  <si>
    <t>219 BLACKMAN CT</t>
  </si>
  <si>
    <t>DB-20030626 0088936</t>
  </si>
  <si>
    <t>LOT 128 SEC 1 CALDWELL COUNTRY ESTATES</t>
  </si>
  <si>
    <t>DB-00004336 0000327</t>
  </si>
  <si>
    <t>4804 BLACKMAN CT</t>
  </si>
  <si>
    <t>DB-20060324 0034094</t>
  </si>
  <si>
    <t>LOT 4 SEC 1 REV CALDWELL HALL</t>
  </si>
  <si>
    <t>DB-00004524 0000654</t>
  </si>
  <si>
    <t>217 BLACKMAN RD</t>
  </si>
  <si>
    <t>DB-20030708 0093339</t>
  </si>
  <si>
    <t>LOT 129 SEC 1 CALDWELL COUNTRY ESTATES</t>
  </si>
  <si>
    <t>DB-00004783 0000384</t>
  </si>
  <si>
    <t>213 BLACKMAN RD</t>
  </si>
  <si>
    <t>DB-20030617 0083619</t>
  </si>
  <si>
    <t>LOT 131 SEC 1 CALDWELL COUNTRY ESTATES</t>
  </si>
  <si>
    <t>DB-00004321 0000640</t>
  </si>
  <si>
    <t>209 BLACKMAN RD</t>
  </si>
  <si>
    <t>DB-20030617 0083599</t>
  </si>
  <si>
    <t>RES PARCEL A SEC 5 CALDWELL COUNTRY EST</t>
  </si>
  <si>
    <t>DB-00004465 0000091</t>
  </si>
  <si>
    <t>300 MILNER CT</t>
  </si>
  <si>
    <t>DB-20030915 0135324</t>
  </si>
  <si>
    <t>LOT 64 SEC 1 BATTERY CREST</t>
  </si>
  <si>
    <t>DB-00004769 0000692</t>
  </si>
  <si>
    <t>4754 MILNER DR</t>
  </si>
  <si>
    <t>RD-20031023 0157056</t>
  </si>
  <si>
    <t>LOT 59 SEC 1 BATTERY CREST</t>
  </si>
  <si>
    <t>DB-00004762 0000380</t>
  </si>
  <si>
    <t>301 MILNER CT</t>
  </si>
  <si>
    <t>DB-20030912 0134614</t>
  </si>
  <si>
    <t>LOT 63 SEC 1 BATTERY CREST</t>
  </si>
  <si>
    <t>DB-00004033 0000566</t>
  </si>
  <si>
    <t>305 MILNER CT</t>
  </si>
  <si>
    <t>DB-20050114 0005257</t>
  </si>
  <si>
    <t>LOT 61 SEC 1 BATTERY CREST</t>
  </si>
  <si>
    <t>DB-00004890 0000028</t>
  </si>
  <si>
    <t>4800 MILNER DR</t>
  </si>
  <si>
    <t>DB-20030528 0072173</t>
  </si>
  <si>
    <t>LOT 58 SEC 1 BATTERY CREST</t>
  </si>
  <si>
    <t>DB-00004196 0000604</t>
  </si>
  <si>
    <t>303 MILNER CT</t>
  </si>
  <si>
    <t>DB-20060501 0049892</t>
  </si>
  <si>
    <t>LOT 62 SEC 1 BATTERY CREST</t>
  </si>
  <si>
    <t>DB-00004221 0000294</t>
  </si>
  <si>
    <t>4802 MILNER DR</t>
  </si>
  <si>
    <t>DB-20080602 0056073</t>
  </si>
  <si>
    <t>LOT 57 SEC 1 BATTERY CREST</t>
  </si>
  <si>
    <t>DB-00003375 0000203</t>
  </si>
  <si>
    <t>302 MILNER CT</t>
  </si>
  <si>
    <t>DB-20230614 0045297</t>
  </si>
  <si>
    <t>LOT 65 SEC 1 BATTERY CREST</t>
  </si>
  <si>
    <t>DB-00004408 0000247</t>
  </si>
  <si>
    <t>5010 SUTER DR</t>
  </si>
  <si>
    <t>DB-20060323 0033536</t>
  </si>
  <si>
    <t>LOT 269 SEC 5 CALDWELL COUNTRY ESTATES</t>
  </si>
  <si>
    <t>DB-00004726 0000806</t>
  </si>
  <si>
    <t>5016 SUTER CT</t>
  </si>
  <si>
    <t>DB-20060323 0033533</t>
  </si>
  <si>
    <t>LOT 271 SEC 5 CALDWELL COUNTRY ESTATES</t>
  </si>
  <si>
    <t>DB-00004707 0000975</t>
  </si>
  <si>
    <t>5008 W DURRETT DR</t>
  </si>
  <si>
    <t>DB-20060630 0078537</t>
  </si>
  <si>
    <t>LOT 307 SEC 5 CALDWELL COUNTRY ESTATES</t>
  </si>
  <si>
    <t>DB-00004837 0000540</t>
  </si>
  <si>
    <t>5049 BRIARWOOD DR</t>
  </si>
  <si>
    <t>DB-20060427 0048611</t>
  </si>
  <si>
    <t>LOT 218 SEC 3 CALDWELL COUNTRY ESTATES</t>
  </si>
  <si>
    <t>DB-00004664 0000890</t>
  </si>
  <si>
    <t>DB-00003769 0000633</t>
  </si>
  <si>
    <t>PT. LOT 1 JOHN THOMPSON SUB.</t>
  </si>
  <si>
    <t>4802 BLACKMAN CT</t>
  </si>
  <si>
    <t>DB-20240510 0034525</t>
  </si>
  <si>
    <t>LOT 5 SEC 1 REV CALDWELL HALL</t>
  </si>
  <si>
    <t>DB-00004728 0000804</t>
  </si>
  <si>
    <t>5009 W DURRETT DR</t>
  </si>
  <si>
    <t>DB-20210916 0124616</t>
  </si>
  <si>
    <t>LOT 296 SEC 5 CALDWELL COUNTRY ESTATES</t>
  </si>
  <si>
    <t>DB-00004710 0000092</t>
  </si>
  <si>
    <t>4943 EDMONDSON PIKE</t>
  </si>
  <si>
    <t>DB-20200904 0101163</t>
  </si>
  <si>
    <t>PT LOT 84 SEC 1 BATTERY CREST</t>
  </si>
  <si>
    <t>DB-00008130 0000881</t>
  </si>
  <si>
    <t>4945 EDMONDSON PIKE</t>
  </si>
  <si>
    <t>DB-20200911 0103701</t>
  </si>
  <si>
    <t>LOT 85 SEC 1 BATTERY CREST</t>
  </si>
  <si>
    <t>DB-00008284 0000075</t>
  </si>
  <si>
    <t>4949 EDMONDSON PIKE</t>
  </si>
  <si>
    <t>DB-20201020 0121906</t>
  </si>
  <si>
    <t>LOT 87 SEC 1 BATTERY CREST</t>
  </si>
  <si>
    <t>DB-00008122 0000111</t>
  </si>
  <si>
    <t>4953 EDMONDSON PIKE</t>
  </si>
  <si>
    <t>DB-20220831 0098156</t>
  </si>
  <si>
    <t>PT LOT 89 SEC 1 BATTERY CREST</t>
  </si>
  <si>
    <t>DB-00008216 0000301</t>
  </si>
  <si>
    <t>5013 W DURRETT DR</t>
  </si>
  <si>
    <t>DB-20210727 0100584</t>
  </si>
  <si>
    <t>LOT 294 SEC 5 CALDWELL COUNTRY ESTATES</t>
  </si>
  <si>
    <t>DB-00003807 0000410</t>
  </si>
  <si>
    <t>5015 W DURRETT DR</t>
  </si>
  <si>
    <t>DB-20211203 0160589</t>
  </si>
  <si>
    <t>LOT 293 SEC 5 CALDWELL COUNTRY ESTATES</t>
  </si>
  <si>
    <t>DB-00004245 0000019</t>
  </si>
  <si>
    <t>5043 EDMONDSON PIKE</t>
  </si>
  <si>
    <t>DB-20240503 0032611</t>
  </si>
  <si>
    <t>PT LOT 320 SEC 5 CALDWELL COUNTRY ESTATES</t>
  </si>
  <si>
    <t>DB-00007102 0000527</t>
  </si>
  <si>
    <t>4803 BLACKMAN CT</t>
  </si>
  <si>
    <t>DB-20240926 0074621</t>
  </si>
  <si>
    <t>LOT 8 SEC 1 REV CALDWELL HALL</t>
  </si>
  <si>
    <t>DB-00004708 0000459</t>
  </si>
  <si>
    <t>4801 BLACKMAN CT</t>
  </si>
  <si>
    <t>DB-20240229 0013865</t>
  </si>
  <si>
    <t>LOT 7 SEC 1 REV CALDWELL HALL</t>
  </si>
  <si>
    <t>DB-00004838 0000799</t>
  </si>
  <si>
    <t>5011 W DURRETT DR</t>
  </si>
  <si>
    <t>DB-20210929 0130860</t>
  </si>
  <si>
    <t>LOT 295 SEC 5 CALDWELL COUNTRY ESTATES</t>
  </si>
  <si>
    <t>DB-00004162 0000902</t>
  </si>
  <si>
    <t>0 WESTCREST DR</t>
  </si>
  <si>
    <t>DB-00005760 0000626</t>
  </si>
  <si>
    <t>E. S. WESTCREST DRIVE S. OF BREWER DRIVE</t>
  </si>
  <si>
    <t>DB-00004583 0000976</t>
  </si>
  <si>
    <t>DB-00005760 0000634</t>
  </si>
  <si>
    <t>LOT N RESUB LOT A PLAN OF MCMURRAY HILLS</t>
  </si>
  <si>
    <t>DB-00004454 0000484</t>
  </si>
  <si>
    <t>0 COLEMONT DR</t>
  </si>
  <si>
    <t>CR-20140214 0012984</t>
  </si>
  <si>
    <t>RES PAR B TUSCULUM GARDENS</t>
  </si>
  <si>
    <t>DB-00004720 0000562</t>
  </si>
  <si>
    <t>0 W VALLEY DR</t>
  </si>
  <si>
    <t>CR-20120224 0016345</t>
  </si>
  <si>
    <t>S SIDE WEST VALLEY DR &amp; W OF CREEKSIDE DR SEC 4 LOCUSTWOOD</t>
  </si>
  <si>
    <t>DB-00001283 0000055</t>
  </si>
  <si>
    <t>0 FLORA MAXWELL RD</t>
  </si>
  <si>
    <t>CR-20131219 0128448</t>
  </si>
  <si>
    <t>E. OF TAYLOR ROAD N. OF NOLENSVILLE PIKE</t>
  </si>
  <si>
    <t>DB-00005584 0000206</t>
  </si>
  <si>
    <t>377 HAYWOOD LN</t>
  </si>
  <si>
    <t>METRO GOV'T  F  ENG CO 28 TRUCK 15</t>
  </si>
  <si>
    <t>DB-00003944 0000503</t>
  </si>
  <si>
    <t>S. SIDE HAYWOOD LANE E. OF NOLENSVILLE PIKE</t>
  </si>
  <si>
    <t>326 APRIL LN</t>
  </si>
  <si>
    <t>DB-00002598 0000300</t>
  </si>
  <si>
    <t>E OF NOLENSVILLE PK N OF APRIL LANE APRIL LANE SUB</t>
  </si>
  <si>
    <t>227 HAYWOOD LN</t>
  </si>
  <si>
    <t>DB-00002604 0000609</t>
  </si>
  <si>
    <t>LOT 136 SEC 1 LOCUSTWOOD</t>
  </si>
  <si>
    <t>619 WOODETT DR</t>
  </si>
  <si>
    <t>DB-00003801 0000904</t>
  </si>
  <si>
    <t>LOT 91 SEC 3 MCMURRY WOODS</t>
  </si>
  <si>
    <t>589 B HIGHCREST DR</t>
  </si>
  <si>
    <t>DB-00002491 0000638</t>
  </si>
  <si>
    <t>LOT 35 SEC 1 WHISPERING HILLS</t>
  </si>
  <si>
    <t>DB-00005575 0000318</t>
  </si>
  <si>
    <t>LOT RES. A FAIR OAKS SEC. 1</t>
  </si>
  <si>
    <t>DB-00004179 0000832</t>
  </si>
  <si>
    <t>299 TUSCULUM RD</t>
  </si>
  <si>
    <t>METRO GOV'T  P  WILLIAM A. PITTS</t>
  </si>
  <si>
    <t>DB-00004890 0000330</t>
  </si>
  <si>
    <t>S SIDE TUSCULUM RD W OF BREWER DR</t>
  </si>
  <si>
    <t>DB-00004364 0000348</t>
  </si>
  <si>
    <t>5060 COLEMONT DR</t>
  </si>
  <si>
    <t>METRO GOV'T  S  COLE</t>
  </si>
  <si>
    <t>DB-00003281 0000465</t>
  </si>
  <si>
    <t>N SIDE TUSCULUM RD. E SIDE COLEMONT DR</t>
  </si>
  <si>
    <t>520 MCMURRAY DR</t>
  </si>
  <si>
    <t>METRO GOV'T  S  MCMURRAY</t>
  </si>
  <si>
    <t>DB-00002855 0000528</t>
  </si>
  <si>
    <t>N W CORNER MCMURRAY DR &amp; BREWER DR</t>
  </si>
  <si>
    <t>QC-20131211 0125491</t>
  </si>
  <si>
    <t>440 MCMURRAY DR</t>
  </si>
  <si>
    <t>METRO GOV'T  S  TUSCULUM</t>
  </si>
  <si>
    <t>DB-00002736 0000397</t>
  </si>
  <si>
    <t>L1 MCMURRAY COMM.AREA LTS 148,150,152 WHISPERNG HILLS&amp; AC.TR</t>
  </si>
  <si>
    <t>441 OCALA DR</t>
  </si>
  <si>
    <t>DB-00011728 0000492</t>
  </si>
  <si>
    <t>LOT 2 HICKORYVIEW COMMERCIAL PARK RESUB OF LOT 1</t>
  </si>
  <si>
    <t>PL-00009700 0000981</t>
  </si>
  <si>
    <t>445 COTTON LN</t>
  </si>
  <si>
    <t>DB-20041123 0140307</t>
  </si>
  <si>
    <t>E SIDE COTTON LANE N OF NORTHCREST DRIVE</t>
  </si>
  <si>
    <t>DB-00001041 0000187</t>
  </si>
  <si>
    <t>0 KNIGHT VALLEY DR</t>
  </si>
  <si>
    <t>QC-20141209 0112488</t>
  </si>
  <si>
    <t>INTERSECTION OF MCGAV PIKE &amp; EZELL PK</t>
  </si>
  <si>
    <t>DB-00005047 0000918</t>
  </si>
  <si>
    <t>5135 HARDING PL</t>
  </si>
  <si>
    <t>NURSING HOME</t>
  </si>
  <si>
    <t>DB-00007759 0000629</t>
  </si>
  <si>
    <t>E OF EZELL PK N OF ANTIOCH PK</t>
  </si>
  <si>
    <t>2419 MURFREESBORO PIKE</t>
  </si>
  <si>
    <t>CONVENIENCE MARKET WITH GAS</t>
  </si>
  <si>
    <t>QC-20171016 0105932</t>
  </si>
  <si>
    <t>LOT 1 K-MART CORPORATION SUB 1ST REV</t>
  </si>
  <si>
    <t>PL-20010515 0050280</t>
  </si>
  <si>
    <t>2501 MURFREESBORO PIKE</t>
  </si>
  <si>
    <t>LOT 3 K-MART CORPORATION SUB</t>
  </si>
  <si>
    <t>PL-00007900 0000289</t>
  </si>
  <si>
    <t>2505 MURFREESBORO PIKE</t>
  </si>
  <si>
    <t>LOT 4 K-MART CORPORATION SUB</t>
  </si>
  <si>
    <t>2705 HIGHMEADOWS DR</t>
  </si>
  <si>
    <t>LOT 6 K-MART CORPORATION SUB</t>
  </si>
  <si>
    <t>2343 ANTIOCH PIKE</t>
  </si>
  <si>
    <t>DB-20180612 0056522</t>
  </si>
  <si>
    <t>W SIDE ANTIOCH PIKE S OF HAYWOOD LANE</t>
  </si>
  <si>
    <t>DB-00003128 0000347</t>
  </si>
  <si>
    <t>2359 ANTIOCH PIKE</t>
  </si>
  <si>
    <t>DB-20150828 0087455</t>
  </si>
  <si>
    <t>W SIDE OF ANTIOCH PIKE S OF HAYWOOD LANE</t>
  </si>
  <si>
    <t>DB-00004030 0000411</t>
  </si>
  <si>
    <t>2403 ANTIOCH PIKE</t>
  </si>
  <si>
    <t>DB-20150828 0087456</t>
  </si>
  <si>
    <t>S SIDE ANTIOCH PIKE W OF BLUE HOLE RD</t>
  </si>
  <si>
    <t>DB-00004806 0000968</t>
  </si>
  <si>
    <t>0 CUMMINGS PARK DR</t>
  </si>
  <si>
    <t>DB-20040805 0094610</t>
  </si>
  <si>
    <t>PT LOT 3 ANTIOCH BUSINESS PARK SECTION 4</t>
  </si>
  <si>
    <t>2491 MURFREESBORO PIKE</t>
  </si>
  <si>
    <t>SHOPPING CENTER</t>
  </si>
  <si>
    <t>LOT 7 K-MART CORPORATION SUB</t>
  </si>
  <si>
    <t>455 METROPLEX DR</t>
  </si>
  <si>
    <t>CR-20120224 0016347</t>
  </si>
  <si>
    <t>LOT 2 METROPLEX SEC 12</t>
  </si>
  <si>
    <t>PL-00006050 0000355</t>
  </si>
  <si>
    <t>4855 GOODWIN RD</t>
  </si>
  <si>
    <t>CR-20150702 0064015</t>
  </si>
  <si>
    <t>W SIDE L &amp; N RR S OF REEVES RD</t>
  </si>
  <si>
    <t>DB-00004040 0000194</t>
  </si>
  <si>
    <t>5111 HARDING PL</t>
  </si>
  <si>
    <t>DB-00008360 0000497</t>
  </si>
  <si>
    <t>E/S OF HARDING PL N OF RAILROAD</t>
  </si>
  <si>
    <t>2314 ANTIOCH PIKE</t>
  </si>
  <si>
    <t>METRO GOV'T  L</t>
  </si>
  <si>
    <t>UD-ZERO     0001683</t>
  </si>
  <si>
    <t>E SIDE ANTIOCH PIKE S OF REEVES RD</t>
  </si>
  <si>
    <t>DB-00004847 0000543</t>
  </si>
  <si>
    <t>3328 JANSING DR</t>
  </si>
  <si>
    <t>DB-00003097 0000447</t>
  </si>
  <si>
    <t>LOT 38 SEC 2 LUNA HGTS</t>
  </si>
  <si>
    <t>4705 DELIA DR</t>
  </si>
  <si>
    <t>DB-00003429 0000422</t>
  </si>
  <si>
    <t>LOT 13 LORI HEIGHTS</t>
  </si>
  <si>
    <t>2340 ANTIOCH PIKE</t>
  </si>
  <si>
    <t>DB-20131216 0126703</t>
  </si>
  <si>
    <t>DB-00006981 0000253</t>
  </si>
  <si>
    <t>2360 ANTIOCH PIKE</t>
  </si>
  <si>
    <t>DB-20131219 0128224</t>
  </si>
  <si>
    <t>E SIDE ANTIOCH PIKE S OF REEVES ROAD</t>
  </si>
  <si>
    <t>DB-00006588 0000677</t>
  </si>
  <si>
    <t>1935 OLD MURFREESBORO PIKE</t>
  </si>
  <si>
    <t>DB-00008240 0000301</t>
  </si>
  <si>
    <t>W SIDE OLD MURFREESBORO PIKE, N OF FRANKLIN LIMESTONE RD</t>
  </si>
  <si>
    <t>DB-00000741 0000648</t>
  </si>
  <si>
    <t>5023 BLUE HOLE RD</t>
  </si>
  <si>
    <t>METRO GOV'T  S  ANTIOCH</t>
  </si>
  <si>
    <t>DB-00001879 0000107</t>
  </si>
  <si>
    <t>W SIDE BLUE HOLE RD N OF TUSCULUM RD</t>
  </si>
  <si>
    <t>631 RICHARDS RD</t>
  </si>
  <si>
    <t>METRO GOV'T  S  APOLLO JR. HIGH</t>
  </si>
  <si>
    <t>CD-00082836 0000000</t>
  </si>
  <si>
    <t>S/S RICHARDS ROAD &amp; W. OF UNA-ANTIOCH PIKE</t>
  </si>
  <si>
    <t>4701 BOWFIELD DR</t>
  </si>
  <si>
    <t>METRO GOV'T  S  MOSS ELEMENTRY</t>
  </si>
  <si>
    <t>DB-00003532 0000637</t>
  </si>
  <si>
    <t>S SIDE RICHARDS RD W OF UNA ANTIOCH PIKE</t>
  </si>
  <si>
    <t>DB-00008620 0000421</t>
  </si>
  <si>
    <t>W/S MCGAVOCK PK N OF ANTIOCH PK</t>
  </si>
  <si>
    <t>1301 CURREY RD</t>
  </si>
  <si>
    <t>DB-00008303 0000153</t>
  </si>
  <si>
    <t>S/S CURREY RD W OF MCGAVOCK PK</t>
  </si>
  <si>
    <t>DB-00002147 0000251</t>
  </si>
  <si>
    <t>1305 CURREY RD</t>
  </si>
  <si>
    <t>DB-00008239 0000092</t>
  </si>
  <si>
    <t>DB-00001728 0000208</t>
  </si>
  <si>
    <t>1307 CURREY RD</t>
  </si>
  <si>
    <t>DB-00008239 0000094</t>
  </si>
  <si>
    <t>DB-00001680 0000600</t>
  </si>
  <si>
    <t>1309 CURREY RD</t>
  </si>
  <si>
    <t>DB-00008248 0000464</t>
  </si>
  <si>
    <t>DB-00003505 0000047</t>
  </si>
  <si>
    <t>1311 CURREY RD</t>
  </si>
  <si>
    <t>DB-00008199 0000973</t>
  </si>
  <si>
    <t>DB-00002084 0000431</t>
  </si>
  <si>
    <t>1313 CURREY RD</t>
  </si>
  <si>
    <t>DB-00008328 0000864</t>
  </si>
  <si>
    <t>DB-00004937 0000427</t>
  </si>
  <si>
    <t>228 EZELL PIKE</t>
  </si>
  <si>
    <t>DB-00008324 0000867</t>
  </si>
  <si>
    <t>LOT 1 MCLAUGHLIN SUB</t>
  </si>
  <si>
    <t>DB-00001338 0000189</t>
  </si>
  <si>
    <t>1315 CURREY RD</t>
  </si>
  <si>
    <t>RD-00010087 0000355</t>
  </si>
  <si>
    <t>1321 CURREY RD</t>
  </si>
  <si>
    <t>DB-00007845 0000976</t>
  </si>
  <si>
    <t>DB-00004835 0000314</t>
  </si>
  <si>
    <t>1323 CURREY RD</t>
  </si>
  <si>
    <t>DB-00007843 0000887</t>
  </si>
  <si>
    <t>DB-00001716 0000105</t>
  </si>
  <si>
    <t>1325 CURREY RD</t>
  </si>
  <si>
    <t>DB-00007763 0000973</t>
  </si>
  <si>
    <t>232 EZELL PIKE</t>
  </si>
  <si>
    <t>DB-00008315 0000695</t>
  </si>
  <si>
    <t>LOT 2 MCLAUGHLIN SUB</t>
  </si>
  <si>
    <t>DB-00001314 0000139</t>
  </si>
  <si>
    <t>236 EZELL PIKE</t>
  </si>
  <si>
    <t>DB-00008311 0000623</t>
  </si>
  <si>
    <t>LOT 3 MCLAUGHLIN SUB</t>
  </si>
  <si>
    <t>DB-00002487 0000419</t>
  </si>
  <si>
    <t>240 EZELL PIKE</t>
  </si>
  <si>
    <t>DB-00008448 0000231</t>
  </si>
  <si>
    <t>LOT 4 MCLAUGHLIN SUB</t>
  </si>
  <si>
    <t>DB-00002487 0000119</t>
  </si>
  <si>
    <t>244 EZELL PIKE</t>
  </si>
  <si>
    <t>RD-00008492 0000658</t>
  </si>
  <si>
    <t>LOT 5 MCLAUGHLIN SUB</t>
  </si>
  <si>
    <t>DB-00004070 0000910</t>
  </si>
  <si>
    <t>300 EZELL PIKE</t>
  </si>
  <si>
    <t>DB-00008314 0000541</t>
  </si>
  <si>
    <t>LOT 1 COLONY HEIGHTS</t>
  </si>
  <si>
    <t>DB-00003707 0000591</t>
  </si>
  <si>
    <t>302 EZELL PIKE</t>
  </si>
  <si>
    <t>DB-00008414 0000990</t>
  </si>
  <si>
    <t>LOT 2 COLONY HEIGHTS</t>
  </si>
  <si>
    <t>DB-00004140 0000791</t>
  </si>
  <si>
    <t>304 EZELL PIKE</t>
  </si>
  <si>
    <t>DB-00008367 0000790</t>
  </si>
  <si>
    <t>LOT 3 COLONY HEIGHTS</t>
  </si>
  <si>
    <t>DB-00004653 0000398</t>
  </si>
  <si>
    <t>1620 CITATION CT</t>
  </si>
  <si>
    <t>DB-00008374 0000228</t>
  </si>
  <si>
    <t>LOT 211 TOWN PARK ESTATES</t>
  </si>
  <si>
    <t>DB-00004066 0000462</t>
  </si>
  <si>
    <t>1622 CITATION CT</t>
  </si>
  <si>
    <t>DB-00008623 0000009</t>
  </si>
  <si>
    <t>LOT 210 TOWN PARK ESTATES</t>
  </si>
  <si>
    <t>DB-00003572 0000055</t>
  </si>
  <si>
    <t>306 EZELL PIKE</t>
  </si>
  <si>
    <t>DB-00008330 0000424</t>
  </si>
  <si>
    <t>LOT 4 COLONY HEIGHTS</t>
  </si>
  <si>
    <t>DB-00002864 0000151</t>
  </si>
  <si>
    <t>1630 CITATION DR</t>
  </si>
  <si>
    <t>DB-00008323 0000606</t>
  </si>
  <si>
    <t>LOT 206 TOWN PARK ESTATES</t>
  </si>
  <si>
    <t>DB-00004796 0000802</t>
  </si>
  <si>
    <t>308 EZELL PIKE</t>
  </si>
  <si>
    <t>DB-00008383 0000761</t>
  </si>
  <si>
    <t>LOT 5 COLONY HEIGHTS</t>
  </si>
  <si>
    <t>DB-00004348 0000732</t>
  </si>
  <si>
    <t>524 KNIGHT VALLEY DR</t>
  </si>
  <si>
    <t>DB-00008199 0000977</t>
  </si>
  <si>
    <t>W/S MCGAVOCK PK S OF CURREY RD</t>
  </si>
  <si>
    <t>1628 CITATION DR</t>
  </si>
  <si>
    <t>DB-00008393 0000034</t>
  </si>
  <si>
    <t>LOT 207 TOWN PARK ESTATES</t>
  </si>
  <si>
    <t>DB-00004240 0000230</t>
  </si>
  <si>
    <t>310 EZELL PIKE</t>
  </si>
  <si>
    <t>DB-00008407 0000621</t>
  </si>
  <si>
    <t>LOT 6 COLONY HEIGHTS</t>
  </si>
  <si>
    <t>DB-00002879 0000245</t>
  </si>
  <si>
    <t>1625 CITATION DR</t>
  </si>
  <si>
    <t>DB-00008335 0000341</t>
  </si>
  <si>
    <t>LOT 197 TOWN PARK ESTATES</t>
  </si>
  <si>
    <t>DB-00004852 0000479</t>
  </si>
  <si>
    <t>528 KNIGHT VALLEY DR</t>
  </si>
  <si>
    <t>312 EZELL PIKE</t>
  </si>
  <si>
    <t>DB-00008309 0000037</t>
  </si>
  <si>
    <t>LOT 7 COLONY HEIGHTS</t>
  </si>
  <si>
    <t>DB-00004858 0000778</t>
  </si>
  <si>
    <t>1623 CITATION DR</t>
  </si>
  <si>
    <t>DB-00008317 0000786</t>
  </si>
  <si>
    <t>LOT 196 TOWN PARK ESTATES</t>
  </si>
  <si>
    <t>DB-00003966 0000223</t>
  </si>
  <si>
    <t>215 TOWN PARK DR</t>
  </si>
  <si>
    <t>DB-00009296 0000157</t>
  </si>
  <si>
    <t>LOT 134 TOWN PARK ESTATES</t>
  </si>
  <si>
    <t>DB-00004331 0000714</t>
  </si>
  <si>
    <t>532 KNIGHT VALLEY DR</t>
  </si>
  <si>
    <t>CD-00093810 0000000</t>
  </si>
  <si>
    <t>W/S MCGAVOCK PK S OF CURRY RD</t>
  </si>
  <si>
    <t>314 EZELL PIKE</t>
  </si>
  <si>
    <t>DB-00008383 0000759</t>
  </si>
  <si>
    <t>LOT 8 COLONY HEIGHTS</t>
  </si>
  <si>
    <t>DB-00003974 0000773</t>
  </si>
  <si>
    <t>1616 CITATION CT</t>
  </si>
  <si>
    <t>DB-00008316 0000842</t>
  </si>
  <si>
    <t>LOT 213 TOWN PARK ESTATES</t>
  </si>
  <si>
    <t>DB-00004331 0000969</t>
  </si>
  <si>
    <t>1621 CITATION DR</t>
  </si>
  <si>
    <t>DB-00008315 0000918</t>
  </si>
  <si>
    <t>LOT 195 TOWN PARK ESTATES</t>
  </si>
  <si>
    <t>DB-00004597 0000459</t>
  </si>
  <si>
    <t>316 EZELL PIKE</t>
  </si>
  <si>
    <t>DB-00008399 0000872</t>
  </si>
  <si>
    <t>LOT 9 COLONY HEIGHTS</t>
  </si>
  <si>
    <t>DB-00004207 0000966</t>
  </si>
  <si>
    <t>536 KNIGHT VALLEY DR</t>
  </si>
  <si>
    <t>DB-00008790 0000456</t>
  </si>
  <si>
    <t>1619 CITATION DR</t>
  </si>
  <si>
    <t>DB-00008401 0000583</t>
  </si>
  <si>
    <t>LOT 194 TOWN PARK ESTATES</t>
  </si>
  <si>
    <t>DB-00003614 0000111</t>
  </si>
  <si>
    <t>219 TOWN PARK DR</t>
  </si>
  <si>
    <t>DB-00008412 0000169</t>
  </si>
  <si>
    <t>LOT 136 TOWN PARK ESTATES</t>
  </si>
  <si>
    <t>DB-00003432 0000157</t>
  </si>
  <si>
    <t>1617 CITATION DR</t>
  </si>
  <si>
    <t>DB-00008351 0000704</t>
  </si>
  <si>
    <t>LOT 193 TOWN PARK ESTATES</t>
  </si>
  <si>
    <t>DB-00004342 0000910</t>
  </si>
  <si>
    <t>1606 CITATION DR</t>
  </si>
  <si>
    <t>DB-00009298 0000818</t>
  </si>
  <si>
    <t>LOT 218 TOWN PARK ESTATES</t>
  </si>
  <si>
    <t>DB-00004103 0000296</t>
  </si>
  <si>
    <t>221 TOWN PARK DR</t>
  </si>
  <si>
    <t>DB-00008401 0000425</t>
  </si>
  <si>
    <t>LOT 137 TOWN PARK ESTATES</t>
  </si>
  <si>
    <t>DB-00003434 0000043</t>
  </si>
  <si>
    <t>DB-00008559 0000005</t>
  </si>
  <si>
    <t>W/S OF MCGAVOCK PK N OF ANTIOCH PK</t>
  </si>
  <si>
    <t>1607 CITATION DR</t>
  </si>
  <si>
    <t>DB-00008350 0000018</t>
  </si>
  <si>
    <t>LOT 188 TOWN PARK ESTATES</t>
  </si>
  <si>
    <t>DB-00003578 0000063</t>
  </si>
  <si>
    <t>307 TOWN PARK DR</t>
  </si>
  <si>
    <t>DB-00008407 0000619</t>
  </si>
  <si>
    <t>LOT 140 TOWN PARK ESTATES</t>
  </si>
  <si>
    <t>DB-00004716 0000253</t>
  </si>
  <si>
    <t>309 TOWN PARK DR</t>
  </si>
  <si>
    <t>DB-00008374 0000230</t>
  </si>
  <si>
    <t>LOT 141 TOWN PARK ESTATES</t>
  </si>
  <si>
    <t>DB-00003465 0000055</t>
  </si>
  <si>
    <t>313 TOWN PARK DR</t>
  </si>
  <si>
    <t>DB-00008425 0000115</t>
  </si>
  <si>
    <t>LOT 142 TOWN PARK ESTATES</t>
  </si>
  <si>
    <t>DB-00004429 0000198</t>
  </si>
  <si>
    <t>310 TOWN PARK DR</t>
  </si>
  <si>
    <t>DB-00008351 0000706</t>
  </si>
  <si>
    <t>LOT 154 TOWN PARK ESTATES</t>
  </si>
  <si>
    <t>DB-00004670 0000335</t>
  </si>
  <si>
    <t>312 TOWN PARK DR</t>
  </si>
  <si>
    <t>DB-00008465 0000928</t>
  </si>
  <si>
    <t>LOT 153 TOWN PARK ESTATES</t>
  </si>
  <si>
    <t>DB-00003610 0000575</t>
  </si>
  <si>
    <t>314 TOWN PARK DR</t>
  </si>
  <si>
    <t>DB-00008354 0000361</t>
  </si>
  <si>
    <t>LOT 152 TOWN PARK ESTATES</t>
  </si>
  <si>
    <t>DB-00003569 0000367</t>
  </si>
  <si>
    <t>1708 SOUTHWIND DR</t>
  </si>
  <si>
    <t>DB-00008371 0000599</t>
  </si>
  <si>
    <t>LOT 172 TOWN PARK ESTATES</t>
  </si>
  <si>
    <t>DB-00004025 0000976</t>
  </si>
  <si>
    <t>1604 SOUTHWIND DR</t>
  </si>
  <si>
    <t>DB-00008377 0000597</t>
  </si>
  <si>
    <t>LOT 181 TOWN PARK ESTATES</t>
  </si>
  <si>
    <t>DB-00004243 0000751</t>
  </si>
  <si>
    <t>1706 SOUTHWIND DR</t>
  </si>
  <si>
    <t>RD-00008833 0000988</t>
  </si>
  <si>
    <t>LOT 173 TOWN PARK ESTATES</t>
  </si>
  <si>
    <t>DB-00004689 0000766</t>
  </si>
  <si>
    <t>1704 SOUTHWIND DR</t>
  </si>
  <si>
    <t>DB-00008401 0000423</t>
  </si>
  <si>
    <t>LOT 174 TOWN PARK ESTATES</t>
  </si>
  <si>
    <t>DB-00003833 0000106</t>
  </si>
  <si>
    <t>1705 SOUTHWIND DR</t>
  </si>
  <si>
    <t>DB-00009323 0000799</t>
  </si>
  <si>
    <t>LOT 14 TOWN PARK ESTATES</t>
  </si>
  <si>
    <t>DB-00003498 0000097</t>
  </si>
  <si>
    <t>1703 SOUTHWIND DR</t>
  </si>
  <si>
    <t>DB-00008548 0000064</t>
  </si>
  <si>
    <t>LOT 13 TOWN PARK ESTATES</t>
  </si>
  <si>
    <t>DB-00003501 0000283</t>
  </si>
  <si>
    <t>0 SOUTHWIND DR</t>
  </si>
  <si>
    <t>DB-20041216 0149589</t>
  </si>
  <si>
    <t>RESERVED TRACT C TOWN PARK ESTATES</t>
  </si>
  <si>
    <t>DB-00003342 0000371</t>
  </si>
  <si>
    <t>303 CARILLON DR</t>
  </si>
  <si>
    <t>DB-00008545 0000360</t>
  </si>
  <si>
    <t>LOT 3 TOWN PARK ESTATES</t>
  </si>
  <si>
    <t>DB-00003504 0000273</t>
  </si>
  <si>
    <t>0 HONEYHILL CT</t>
  </si>
  <si>
    <t>DB-20050208 0014533</t>
  </si>
  <si>
    <t>RESERVED TRACT A TOWN PARK ESTATES</t>
  </si>
  <si>
    <t>308 CARILLON DR</t>
  </si>
  <si>
    <t>RD-20051026 0129001</t>
  </si>
  <si>
    <t>RESERVED TRACT B TOWN PARK ESTATES</t>
  </si>
  <si>
    <t>DB-00003789 0000950</t>
  </si>
  <si>
    <t>508 KNIGHT VALLEY DR</t>
  </si>
  <si>
    <t>DB-00008259 0000767</t>
  </si>
  <si>
    <t>W/S OF MCGAVOCK PK S OF CURREY RD</t>
  </si>
  <si>
    <t>520 KNIGHT VALLEY DR</t>
  </si>
  <si>
    <t>DB-00008179 0000288</t>
  </si>
  <si>
    <t>512 KNIGHT VALLEY DR</t>
  </si>
  <si>
    <t>DB-00008855 0000851</t>
  </si>
  <si>
    <t>PT LOT 1 SEDRICK OLDHAM SUB</t>
  </si>
  <si>
    <t>516 KNIGHT VALLEY DR</t>
  </si>
  <si>
    <t>PT LOT 2 SEDRICK OLDHAM SUB</t>
  </si>
  <si>
    <t>1608 CITATION DR</t>
  </si>
  <si>
    <t>DB-00008283 0000356</t>
  </si>
  <si>
    <t>LOT 217 TOWN PARK ESTATES</t>
  </si>
  <si>
    <t>DB-00004600 0000813</t>
  </si>
  <si>
    <t>0 CITATION DR</t>
  </si>
  <si>
    <t>DB-00008346 0000261</t>
  </si>
  <si>
    <t>LOT 203 TOWN PARK ESTATES</t>
  </si>
  <si>
    <t>DB-00004397 0000928</t>
  </si>
  <si>
    <t>1634 CITATION DR</t>
  </si>
  <si>
    <t>DB-00008314 0000222</t>
  </si>
  <si>
    <t>LOT 204 TOWN PARK ESTATES</t>
  </si>
  <si>
    <t>DB-00003708 0000136</t>
  </si>
  <si>
    <t>1633 CITATION DR</t>
  </si>
  <si>
    <t>DB-00008337 0000240</t>
  </si>
  <si>
    <t>LOT 201 TOWN PARK ESTATES</t>
  </si>
  <si>
    <t>DB-00004865 0000172</t>
  </si>
  <si>
    <t>1631 CITATION DR</t>
  </si>
  <si>
    <t>DB-00008335 0000343</t>
  </si>
  <si>
    <t>LOT 200 TOWN PARK ESTATES</t>
  </si>
  <si>
    <t>DB-00004457 0000427</t>
  </si>
  <si>
    <t>1632 CITATION DR</t>
  </si>
  <si>
    <t>DB-20050127 0009938</t>
  </si>
  <si>
    <t>LOT 205 TOWN PARK ESTATES</t>
  </si>
  <si>
    <t>DB-00004369 0000267</t>
  </si>
  <si>
    <t>1624 CITATION CT</t>
  </si>
  <si>
    <t>DB-00008332 0000247</t>
  </si>
  <si>
    <t>LOT 209 TOWN PARK ESTATES</t>
  </si>
  <si>
    <t>DB-00004235 0000232</t>
  </si>
  <si>
    <t>1635 CITATION DR</t>
  </si>
  <si>
    <t>DB-00008350 0000015</t>
  </si>
  <si>
    <t>LOT 202 TOWN PARK ESTATES</t>
  </si>
  <si>
    <t>DB-00003902 0000695</t>
  </si>
  <si>
    <t>211 TOWN PARK DR</t>
  </si>
  <si>
    <t>DB-00008480 0000604</t>
  </si>
  <si>
    <t>LOT 132 TOWN PARK ESTATES</t>
  </si>
  <si>
    <t>DB-00003463 0000067</t>
  </si>
  <si>
    <t>1627 CITATION DR</t>
  </si>
  <si>
    <t>DB-00008459 0000568</t>
  </si>
  <si>
    <t>LOT 198 TOWN PARK ESTATES</t>
  </si>
  <si>
    <t>DB-00004316 0000511</t>
  </si>
  <si>
    <t>1618 CITATION CT</t>
  </si>
  <si>
    <t>DB-00008367 0000797</t>
  </si>
  <si>
    <t>LOT 212 TOWN PARK ESTATES</t>
  </si>
  <si>
    <t>DB-00004541 0000007</t>
  </si>
  <si>
    <t>1626 CITATION DR</t>
  </si>
  <si>
    <t>DB-00008309 0000031</t>
  </si>
  <si>
    <t>LOT 208 TOWN PARK ESTATES</t>
  </si>
  <si>
    <t>DB-00004594 0000294</t>
  </si>
  <si>
    <t>213 TOWN PARK DR</t>
  </si>
  <si>
    <t>DB-00008425 0000285</t>
  </si>
  <si>
    <t>LOT 133 TOWN PARK ESTATES</t>
  </si>
  <si>
    <t>DB-00003678 0000617</t>
  </si>
  <si>
    <t>217 TOWN PARK DR</t>
  </si>
  <si>
    <t>DB-00008354 0000359</t>
  </si>
  <si>
    <t>LOT 135 TOWN PARK ESTATES</t>
  </si>
  <si>
    <t>DB-00004647 0000619</t>
  </si>
  <si>
    <t>1612 CITATION DR</t>
  </si>
  <si>
    <t>DB-00008465 0000924</t>
  </si>
  <si>
    <t>LOT 215 TOWN PARK ESTATES</t>
  </si>
  <si>
    <t>DB-00004537 0000248</t>
  </si>
  <si>
    <t>318 EZELL PIKE</t>
  </si>
  <si>
    <t>DB-00008449 0000571</t>
  </si>
  <si>
    <t>LOT 10 COLONY HEIGHTS</t>
  </si>
  <si>
    <t>DB-00003820 0000756</t>
  </si>
  <si>
    <t>1610 CITATION DR</t>
  </si>
  <si>
    <t>DB-00008393 0000962</t>
  </si>
  <si>
    <t>LOT 216 TOWN PARK ESTATES</t>
  </si>
  <si>
    <t>DB-00004021 0000682</t>
  </si>
  <si>
    <t>320 EZELL PIKE</t>
  </si>
  <si>
    <t>DB-00008347 0000302</t>
  </si>
  <si>
    <t>LOT 221 TOWN PARK ESTATES</t>
  </si>
  <si>
    <t>DB-00003891 0000733</t>
  </si>
  <si>
    <t>1604 CITATION DR</t>
  </si>
  <si>
    <t>DB-00008368 0000328</t>
  </si>
  <si>
    <t>LOT 219 TOWN PARK ESTATES</t>
  </si>
  <si>
    <t>DB-00003613 0000557</t>
  </si>
  <si>
    <t>1615 CITATION DR</t>
  </si>
  <si>
    <t>DB-00008351 0000702</t>
  </si>
  <si>
    <t>LOT 192 TOWN PARK ESTATES</t>
  </si>
  <si>
    <t>DB-00004415 0000898</t>
  </si>
  <si>
    <t>1613 CITATION DR</t>
  </si>
  <si>
    <t>DB-00008526 0000844</t>
  </si>
  <si>
    <t>LOT 191 TOWN PARK ESTATES</t>
  </si>
  <si>
    <t>DB-00004157 0000541</t>
  </si>
  <si>
    <t>301 TOWN PARK DR</t>
  </si>
  <si>
    <t>DB-00008371 0000601</t>
  </si>
  <si>
    <t>LOT 138 TOWN PARK ESTATES</t>
  </si>
  <si>
    <t>DB-00003504 0000149</t>
  </si>
  <si>
    <t>322 EZELL PIKE</t>
  </si>
  <si>
    <t>DB-00008448 0000229</t>
  </si>
  <si>
    <t>LOT 220 TOWN PARK ESTATES</t>
  </si>
  <si>
    <t>DB-00003574 0000389</t>
  </si>
  <si>
    <t>1611 CITATION DR</t>
  </si>
  <si>
    <t>DB-00008459 0000566</t>
  </si>
  <si>
    <t>LOT 190 TOWN PARK ESTATES</t>
  </si>
  <si>
    <t>DB-00004714 0000837</t>
  </si>
  <si>
    <t>305 TOWN PARK DR</t>
  </si>
  <si>
    <t>DB-00008460 0000287</t>
  </si>
  <si>
    <t>LOT 139 TOWN PARK ESTATES</t>
  </si>
  <si>
    <t>DB-00003913 0000821</t>
  </si>
  <si>
    <t>300 TOWN PARK DR</t>
  </si>
  <si>
    <t>DB-00008378 0000466</t>
  </si>
  <si>
    <t>LOT 159 TOWN PARK ESTATES</t>
  </si>
  <si>
    <t>DB-00004741 0000423</t>
  </si>
  <si>
    <t>1605 CITATION DR</t>
  </si>
  <si>
    <t>DB-00008375 0000186</t>
  </si>
  <si>
    <t>LOT 187 TOWN PARK ESTATES</t>
  </si>
  <si>
    <t>DB-00004127 0000798</t>
  </si>
  <si>
    <t>1601 CITATION DR</t>
  </si>
  <si>
    <t>RD-00008508 0000845</t>
  </si>
  <si>
    <t>LOT 185 TOWN PARK ESTATES</t>
  </si>
  <si>
    <t>DB-00003641 0000097</t>
  </si>
  <si>
    <t>1603 CITATION DR</t>
  </si>
  <si>
    <t>DB-00008327 0000243</t>
  </si>
  <si>
    <t>LOT 186 TOWN PARK ESTATES</t>
  </si>
  <si>
    <t>DB-00004144 0000005</t>
  </si>
  <si>
    <t>302 TOWN PARK DR</t>
  </si>
  <si>
    <t>DB-00008395 0000819</t>
  </si>
  <si>
    <t>LOT 158 TOWN PARK ESTATES</t>
  </si>
  <si>
    <t>DB-00004016 0000901</t>
  </si>
  <si>
    <t>304 TOWN PARK DR</t>
  </si>
  <si>
    <t>DB-00008429 0000651</t>
  </si>
  <si>
    <t>LOT 157 TOWN PARK ESTATES</t>
  </si>
  <si>
    <t>DB-00004746 0000359</t>
  </si>
  <si>
    <t>315 TOWN PARK DR</t>
  </si>
  <si>
    <t>DB-00008345 0000180</t>
  </si>
  <si>
    <t>LOT 143 TOWN PARK ESTATES</t>
  </si>
  <si>
    <t>DB-00003833 0000833</t>
  </si>
  <si>
    <t>306 TOWN PARK DR</t>
  </si>
  <si>
    <t>DB-00008378 0000468</t>
  </si>
  <si>
    <t>LOT 156 TOWN PARK ESTATES</t>
  </si>
  <si>
    <t>DB-00004154 0000929</t>
  </si>
  <si>
    <t>0 EZELL PIKE</t>
  </si>
  <si>
    <t>DB-20050922 0114212</t>
  </si>
  <si>
    <t>LOT 184 TOWN PARK ESTATES</t>
  </si>
  <si>
    <t>DB-00003803 0000748</t>
  </si>
  <si>
    <t>317 TOWN PARK DR</t>
  </si>
  <si>
    <t>RD-00008843 0000297</t>
  </si>
  <si>
    <t>LOT 144 TOWN PARK ESTATES</t>
  </si>
  <si>
    <t>DB-00003505 0000439</t>
  </si>
  <si>
    <t>308 TOWN PARK DR</t>
  </si>
  <si>
    <t>DB-00008374 0000226</t>
  </si>
  <si>
    <t>LOT 155 TOWN PARK ESTATES</t>
  </si>
  <si>
    <t>DB-00003610 0000581</t>
  </si>
  <si>
    <t>319 TOWN PARK DR</t>
  </si>
  <si>
    <t>DB-00008525 0000570</t>
  </si>
  <si>
    <t>LOT 145 TOWN PARK ESTATES</t>
  </si>
  <si>
    <t>DB-00004736 0000937</t>
  </si>
  <si>
    <t>316 TOWN PARK DR</t>
  </si>
  <si>
    <t>DB-00008368 0000775</t>
  </si>
  <si>
    <t>LOT 151 TOWN PARK ESTATES</t>
  </si>
  <si>
    <t>DB-00003460 0000399</t>
  </si>
  <si>
    <t>328 EZELL PIKE</t>
  </si>
  <si>
    <t>DB-00008330 0000420</t>
  </si>
  <si>
    <t>LOT 183 TOWN PARK ESTATES</t>
  </si>
  <si>
    <t>DB-00004040 0000540</t>
  </si>
  <si>
    <t>321 TOWN PARK DR</t>
  </si>
  <si>
    <t>DB-00008337 0000242</t>
  </si>
  <si>
    <t>LOT 146 TOWN PARK ESTATES</t>
  </si>
  <si>
    <t>DB-00003536 0000497</t>
  </si>
  <si>
    <t>320 TOWN PARK DR</t>
  </si>
  <si>
    <t>DB-00008316 0000214</t>
  </si>
  <si>
    <t>LOT 150 TOWN PARK ESTATES</t>
  </si>
  <si>
    <t>DB-00004116 0000030</t>
  </si>
  <si>
    <t>1606 SOUTHWIND DR</t>
  </si>
  <si>
    <t>DB-00008310 0000337</t>
  </si>
  <si>
    <t>LOT 180 TOWN PARK ESTATES</t>
  </si>
  <si>
    <t>DB-00004291 0000740</t>
  </si>
  <si>
    <t>1600 SOUTHWIND DR</t>
  </si>
  <si>
    <t>DB-00008388 0000865</t>
  </si>
  <si>
    <t>LOT 182 TOWN PARK ESTATES</t>
  </si>
  <si>
    <t>DB-00003464 0000123</t>
  </si>
  <si>
    <t>323 TOWN PARK DR</t>
  </si>
  <si>
    <t>DB-00008328 0000535</t>
  </si>
  <si>
    <t>LOT 147 TOWN PARK ESTATES</t>
  </si>
  <si>
    <t>DB-00003529 0000285</t>
  </si>
  <si>
    <t>1608 SOUTHWIND DR</t>
  </si>
  <si>
    <t>DB-00008432 0000880</t>
  </si>
  <si>
    <t>LOT 179 TOWN PARK ESTATES</t>
  </si>
  <si>
    <t>DV-00000068 0000128</t>
  </si>
  <si>
    <t>324 TOWN PARK DR</t>
  </si>
  <si>
    <t>DB-00008745 0000670</t>
  </si>
  <si>
    <t>LOT 149 TOWN PARK ESTATES</t>
  </si>
  <si>
    <t>DB-00004749 0000334</t>
  </si>
  <si>
    <t>1702 SOUTHWIND DR</t>
  </si>
  <si>
    <t>DB-00008417 0000623</t>
  </si>
  <si>
    <t>LOT 175 TOWN PARK ESTATES</t>
  </si>
  <si>
    <t>1610 SOUTHWIND DR</t>
  </si>
  <si>
    <t>DB-00008367 0000799</t>
  </si>
  <si>
    <t>LOT 178 TOWN PARK ESTATES</t>
  </si>
  <si>
    <t>DB-00004082 0000182</t>
  </si>
  <si>
    <t>325 TOWN PARK DR</t>
  </si>
  <si>
    <t>DB-00008311 0000621</t>
  </si>
  <si>
    <t>LOT 148 TOWN PARK ESTATES</t>
  </si>
  <si>
    <t>DB-00003578 0000575</t>
  </si>
  <si>
    <t>1700 SOUTHWIND DR</t>
  </si>
  <si>
    <t>DB-00008485 0000153</t>
  </si>
  <si>
    <t>LOT 176 TOWN PARK ESTATES</t>
  </si>
  <si>
    <t>DB-00003852 0000387</t>
  </si>
  <si>
    <t>1614 SOUTHWIND DR</t>
  </si>
  <si>
    <t>DB-00008353 0000608</t>
  </si>
  <si>
    <t>LOT 177 TOWN PARK ESTATES</t>
  </si>
  <si>
    <t>DB-00003466 0000157</t>
  </si>
  <si>
    <t>1701 SOUTHWIND DR</t>
  </si>
  <si>
    <t>DB-00008422 0000488</t>
  </si>
  <si>
    <t>LOT 12 TOWN PARK ESTATES</t>
  </si>
  <si>
    <t>DB-00004792 0000286</t>
  </si>
  <si>
    <t>1615 SOUTHWIND DR</t>
  </si>
  <si>
    <t>DB-00008542 0000742</t>
  </si>
  <si>
    <t>LOT 11 TOWN PARK ESTATES</t>
  </si>
  <si>
    <t>DB-00003794 0000583</t>
  </si>
  <si>
    <t>1605 SOUTHWIND DR</t>
  </si>
  <si>
    <t>DB-00008471 0000264</t>
  </si>
  <si>
    <t>LOT 1 TOWN PARK ESTATES</t>
  </si>
  <si>
    <t>DB-00004155 0000156</t>
  </si>
  <si>
    <t>1611 SOUTHWIND DR</t>
  </si>
  <si>
    <t>DB-00008466 0000777</t>
  </si>
  <si>
    <t>LOT 10 TOWN PARK ESTATES</t>
  </si>
  <si>
    <t>DB-00004432 0000620</t>
  </si>
  <si>
    <t>301 CARILLON DR</t>
  </si>
  <si>
    <t>DB-00008532 0000780</t>
  </si>
  <si>
    <t>LOT 2 TOWN PARK ESTATES</t>
  </si>
  <si>
    <t>DB-00003808 0000386</t>
  </si>
  <si>
    <t>305 CARILLON DR</t>
  </si>
  <si>
    <t>DB-00008423 0000643</t>
  </si>
  <si>
    <t>LOT 4 TOWN PARK ESTATES</t>
  </si>
  <si>
    <t>DB-00003537 0000429</t>
  </si>
  <si>
    <t>304 CARILLON DR</t>
  </si>
  <si>
    <t>DB-00008647 0000906</t>
  </si>
  <si>
    <t>LOT 9 TOWN PARK ESTATES</t>
  </si>
  <si>
    <t>DB-00003498 0000107</t>
  </si>
  <si>
    <t>307 CARILLON DR</t>
  </si>
  <si>
    <t>DB-00008600 0000889</t>
  </si>
  <si>
    <t>LOT 5 TOWN PARK ESTATES</t>
  </si>
  <si>
    <t>DB-00004710 0000775</t>
  </si>
  <si>
    <t>309 CARILLON DR</t>
  </si>
  <si>
    <t>DB-00008532 0000549</t>
  </si>
  <si>
    <t>LOT 6 TOWN PARK ESTATES</t>
  </si>
  <si>
    <t>DB-00004001 0000071</t>
  </si>
  <si>
    <t>DB-00008472 0000095</t>
  </si>
  <si>
    <t>LOT 8 TOWN PARK ESTATES</t>
  </si>
  <si>
    <t>DB-00003434 0000489</t>
  </si>
  <si>
    <t>311 CARILLON DR</t>
  </si>
  <si>
    <t>DB-00008528 0000147</t>
  </si>
  <si>
    <t>LOT 7 TOWN PARK ESTATES</t>
  </si>
  <si>
    <t>DB-00003570 0000257</t>
  </si>
  <si>
    <t>0 STARBOARD DR</t>
  </si>
  <si>
    <t>DB-20130114 0004449</t>
  </si>
  <si>
    <t>RES PAR HARBOR GATE SEC 2 REV RE-SUB</t>
  </si>
  <si>
    <t>PL-00006200 0000283</t>
  </si>
  <si>
    <t>2801 SMITH SPRINGS RD</t>
  </si>
  <si>
    <t>S SIDE SMITH SPGS RD E OF BUTLER RD</t>
  </si>
  <si>
    <t>DB-00008671 0000918</t>
  </si>
  <si>
    <t>2803 SMITH SPRINGS RD</t>
  </si>
  <si>
    <t>S. OF SMITH SPRINGS ROAD &amp; E. OF BUTLER ROAD</t>
  </si>
  <si>
    <t>DB-00003869 0000543</t>
  </si>
  <si>
    <t>0 STARBOARD CT</t>
  </si>
  <si>
    <t>RES LOT HARBOR GATE SEC 2 REV</t>
  </si>
  <si>
    <t>PL-00006250 0000033</t>
  </si>
  <si>
    <t>0 OWENDALE DR</t>
  </si>
  <si>
    <t>CR-20140311 0020387</t>
  </si>
  <si>
    <t>RES. PAR. EDGE-O-LAKE EST. SEC. 18</t>
  </si>
  <si>
    <t>DB-00004699 0000831</t>
  </si>
  <si>
    <t>2501 FOREST VIEW DR</t>
  </si>
  <si>
    <t>DB-00005249 0000767</t>
  </si>
  <si>
    <t>LOT 1 CAIN SUB</t>
  </si>
  <si>
    <t>PL-00005210 0000040</t>
  </si>
  <si>
    <t>455 RURAL HILL RD</t>
  </si>
  <si>
    <t>METRO GOV'T  S  LAKEVIEW</t>
  </si>
  <si>
    <t>DB-00003672 0000634</t>
  </si>
  <si>
    <t>E SIDE BELL RD N OF ANDERSON RD</t>
  </si>
  <si>
    <t>SW-20240109 0001828</t>
  </si>
  <si>
    <t>0 CLEARLAKE DR W</t>
  </si>
  <si>
    <t>CR-20100429 0032792</t>
  </si>
  <si>
    <t>RES PAR PRIEST LAKE PARK SEC 4</t>
  </si>
  <si>
    <t>DB-00003427 0000010</t>
  </si>
  <si>
    <t>2749 SMITH SPRINGS RD</t>
  </si>
  <si>
    <t>S SIDE SMITH SPGS RD E OF BELL RD</t>
  </si>
  <si>
    <t>DB-00003615 0000143</t>
  </si>
  <si>
    <t>3056 HIGH RIGGER DR</t>
  </si>
  <si>
    <t>DB-20171206 0124611</t>
  </si>
  <si>
    <t>LOT 107-B HARBOR GATE SEC 2 REV ZLD</t>
  </si>
  <si>
    <t>PL-00006900 0000715</t>
  </si>
  <si>
    <t>3058 HIGH RIGGER DR</t>
  </si>
  <si>
    <t>ZERO LOT LINE</t>
  </si>
  <si>
    <t>DB-20171206 0124613</t>
  </si>
  <si>
    <t>LOT 107-A HARBOR GATE SEC 2 REV ZLD</t>
  </si>
  <si>
    <t>3060 HIGH RIGGER DR</t>
  </si>
  <si>
    <t>DB-20170724 0074312</t>
  </si>
  <si>
    <t>LOT 108-B HARBOR GATE SEC 2 REV ZLD</t>
  </si>
  <si>
    <t>3062 HIGH RIGGER DR</t>
  </si>
  <si>
    <t>DB-20170608 0057557</t>
  </si>
  <si>
    <t>LOT 108-A HARBOR GATE SEC 2 REV ZLD</t>
  </si>
  <si>
    <t>0 HIGH RIGGER DR</t>
  </si>
  <si>
    <t>QC-20150806 0078342</t>
  </si>
  <si>
    <t>RES PAR HARBOR GATE SEC 2 REV LOTS 105 TH 108 &amp; RES PAR</t>
  </si>
  <si>
    <t>PL-00006200 0000693</t>
  </si>
  <si>
    <t>QC-20150806 0078343</t>
  </si>
  <si>
    <t>RES PAR HARBOR GATE SEC 2 REV</t>
  </si>
  <si>
    <t>3912 DEWAIN DR</t>
  </si>
  <si>
    <t>DB-00003708 0000179</t>
  </si>
  <si>
    <t>PT LOT 1 VALLEY VIEW MEADOWS SEC 1</t>
  </si>
  <si>
    <t>DB-00006947 0000865</t>
  </si>
  <si>
    <t>240 WELCH RD</t>
  </si>
  <si>
    <t>BD-00003429 0000393</t>
  </si>
  <si>
    <t>LOT 43 SEC 1 HERBERT HEIGHTS</t>
  </si>
  <si>
    <t>DB-00003429 0000393</t>
  </si>
  <si>
    <t>282 WALLACE RD</t>
  </si>
  <si>
    <t>DB-00003578 0000160</t>
  </si>
  <si>
    <t>N SIDE WALLACE RD E OF WELCH RD</t>
  </si>
  <si>
    <t>465 BENITA DR</t>
  </si>
  <si>
    <t>METRO GOV'T  P  PARAGON MILLS</t>
  </si>
  <si>
    <t>DB-00004746 0000468</t>
  </si>
  <si>
    <t>S. OF ANTIOCH PK. E. OF I-24</t>
  </si>
  <si>
    <t>4170 PROVIDENCE PARK LN</t>
  </si>
  <si>
    <t>DB-20070613 0071068</t>
  </si>
  <si>
    <t>P O BOX 196340</t>
  </si>
  <si>
    <t>OPEN SPACE PROVIDENCE PARK PHASE 3</t>
  </si>
  <si>
    <t>PL-20070130 0012382</t>
  </si>
  <si>
    <t>0 PARAGON MILLS RD</t>
  </si>
  <si>
    <t>DB-20040625 0075925</t>
  </si>
  <si>
    <t>NW OF PARAGON MILLS RD E OF DONNA KAY DR</t>
  </si>
  <si>
    <t>3718 NOLENSVILLE PIKE</t>
  </si>
  <si>
    <t>METRO GOV'T  P  POLICE-SOUTH</t>
  </si>
  <si>
    <t>DB-00004809 0000378</t>
  </si>
  <si>
    <t>E. SIDE OF NOLENSVILLE PK. &amp;, N. SIDE OF HIGHLAND AVE.</t>
  </si>
  <si>
    <t>3790 TURLEY DR</t>
  </si>
  <si>
    <t>METRO GOV'T  S  HAYWOOD</t>
  </si>
  <si>
    <t>DB-00002812 0000253</t>
  </si>
  <si>
    <t>E SIDE OF TURLEY DR N OF DADE DRIVE</t>
  </si>
  <si>
    <t>260 PARAGON MILLS RD</t>
  </si>
  <si>
    <t>METRO GOV'T  S  PARAGON MILLS</t>
  </si>
  <si>
    <t>DB-00003463 0000143</t>
  </si>
  <si>
    <t>N SIDE PARAGON MILLS RD W OF INTERSTATE</t>
  </si>
  <si>
    <t>281 ELYSIAN FIELDS RD</t>
  </si>
  <si>
    <t>DB-20060323 0033535</t>
  </si>
  <si>
    <t>LOT 29 VALLEY VIEW MEADOWS SEC. 3</t>
  </si>
  <si>
    <t>DB-00004233 0000001</t>
  </si>
  <si>
    <t>505 PARAGON MILLS RD</t>
  </si>
  <si>
    <t>DB-20060323 0033534</t>
  </si>
  <si>
    <t>S SIDE PARAGON MILLS RD E OF NOLENSVILLE PK</t>
  </si>
  <si>
    <t>DB-00007550 0000778</t>
  </si>
  <si>
    <t>317 WALLACE RD</t>
  </si>
  <si>
    <t>DB-00008308 0000109</t>
  </si>
  <si>
    <t>LOT 71 SEC 2 BEVERLY HEIGHTS</t>
  </si>
  <si>
    <t>DB-00003619 0000335</t>
  </si>
  <si>
    <t>4802 HUMBER DR</t>
  </si>
  <si>
    <t>DB-00006740 0000199</t>
  </si>
  <si>
    <t>PT LOT 92 SEC 2 BEVERLY HEIGHTS</t>
  </si>
  <si>
    <t>4801 HUMBER DR</t>
  </si>
  <si>
    <t>DB-00008314 0000592</t>
  </si>
  <si>
    <t>LOT 70 SEC 2 BEVERLY HEIGHTS</t>
  </si>
  <si>
    <t>DB-00004279 0000295</t>
  </si>
  <si>
    <t>4808 TORBAY DR</t>
  </si>
  <si>
    <t>DB-20170509 0045888</t>
  </si>
  <si>
    <t>LOT 94 SEC 2 BEVERLY HEIGHTS</t>
  </si>
  <si>
    <t>DB-00004117 0000080</t>
  </si>
  <si>
    <t>497 PARAGON MILLS RD</t>
  </si>
  <si>
    <t>DB-20060324 0034092</t>
  </si>
  <si>
    <t>DB-00007499 0000074</t>
  </si>
  <si>
    <t>220 ELYSIAN FIELDS RD</t>
  </si>
  <si>
    <t>DB-20230315 0018719</t>
  </si>
  <si>
    <t>1600 2ND AVE N/METRO WATER SERVICES</t>
  </si>
  <si>
    <t>LOT 45 VALLEY VIEW MEADOWS SEC. 3</t>
  </si>
  <si>
    <t>DB-00004848 0000147</t>
  </si>
  <si>
    <t>264 ELYSIAN FIELDS RD</t>
  </si>
  <si>
    <t>DB-20220913 0102092</t>
  </si>
  <si>
    <t>LOT 56 VALLEY VIEW MEADOWS SEC. 3</t>
  </si>
  <si>
    <t>DB-00004155 0000382</t>
  </si>
  <si>
    <t>289 ELYSIAN FIELDS RD</t>
  </si>
  <si>
    <t>DB-20240926 0074626</t>
  </si>
  <si>
    <t>LOT 23 VALLEY VIEW MEADOWS SEC 1</t>
  </si>
  <si>
    <t>DB-00004030 0000092</t>
  </si>
  <si>
    <t>3908 DEWAIN DR</t>
  </si>
  <si>
    <t>DB-20230127 0006284</t>
  </si>
  <si>
    <t>LOT 26 VALLEY VIEW MEADOWS SEC 2</t>
  </si>
  <si>
    <t>DB-00004315 0000720</t>
  </si>
  <si>
    <t>233 ELYSIAN FIELDS RD</t>
  </si>
  <si>
    <t>DB-20230504 0033149</t>
  </si>
  <si>
    <t>LOT 41 VALLEY VIEW MEADOWS SEC. 3</t>
  </si>
  <si>
    <t>DB-00004806 0000252</t>
  </si>
  <si>
    <t>263 CATHY JO DR</t>
  </si>
  <si>
    <t>DB-20210929 0130858</t>
  </si>
  <si>
    <t>LOT 97 VALLEY VIEW MEADOWS SEC. 3</t>
  </si>
  <si>
    <t>DB-00004257 0000291</t>
  </si>
  <si>
    <t>245 ELYSIAN FIELDS RD</t>
  </si>
  <si>
    <t>DB-20211203 0160587</t>
  </si>
  <si>
    <t>LOT 38 VALLEY VIEW MEADOWS SEC. 3</t>
  </si>
  <si>
    <t>DB-00004222 0000363</t>
  </si>
  <si>
    <t>249 ELYSIAN FIELDS RD</t>
  </si>
  <si>
    <t>DB-20211203 0160588</t>
  </si>
  <si>
    <t>LOT 37 VALLEY VIEW MEADOWS SEC. 3</t>
  </si>
  <si>
    <t>DB-00004783 0000638</t>
  </si>
  <si>
    <t>253 ELYSIAN FIELDS RD</t>
  </si>
  <si>
    <t>DB-20211008 0135408</t>
  </si>
  <si>
    <t>LOT 36 VALLEY VIEW MEADOWS SEC. 3</t>
  </si>
  <si>
    <t>DB-00004252 0000750</t>
  </si>
  <si>
    <t>257 ELYSIAN FIELDS RD</t>
  </si>
  <si>
    <t>DB-20220815 0092180</t>
  </si>
  <si>
    <t>LOT 35 VALLEY VIEW MEADOWS SEC. 3</t>
  </si>
  <si>
    <t>DB-00004230 0000240</t>
  </si>
  <si>
    <t>261 ELYSIAN FIELDS RD</t>
  </si>
  <si>
    <t>DB-20210916 0124609</t>
  </si>
  <si>
    <t>LOT 34 VALLEY VIEW MEADOWS SEC. 3</t>
  </si>
  <si>
    <t>DB-00004119 0000996</t>
  </si>
  <si>
    <t>266 ELYSIAN FIELDS RD</t>
  </si>
  <si>
    <t>DB-20220131 0010924</t>
  </si>
  <si>
    <t>LOT 57 VALLEY VIEW MEADOWS SEC. 3</t>
  </si>
  <si>
    <t>DB-00004192 0000568</t>
  </si>
  <si>
    <t>265 ELYSIAN FIELDS RD</t>
  </si>
  <si>
    <t>DB-20210825 0114686</t>
  </si>
  <si>
    <t>LOT 33 VALLEY VIEW MEADOWS SEC. 3</t>
  </si>
  <si>
    <t>DB-00004169 0000621</t>
  </si>
  <si>
    <t>274 ELYSIAN FIELDS RD</t>
  </si>
  <si>
    <t>DB-20211220 0167651</t>
  </si>
  <si>
    <t>LOT 58 VALLEY VIEW MEADOWS SEC. 3</t>
  </si>
  <si>
    <t>DB-00004261 0000744</t>
  </si>
  <si>
    <t>269 ELYSIAN FIELDS RD</t>
  </si>
  <si>
    <t>DB-20220211 0016034</t>
  </si>
  <si>
    <t>LOT 32 VALLEY VIEW MEADOWS SEC. 3</t>
  </si>
  <si>
    <t>DB-00004271 0000227</t>
  </si>
  <si>
    <t>273 ELYSIAN FIELDS RD</t>
  </si>
  <si>
    <t>DB-20210916 0124633</t>
  </si>
  <si>
    <t>LOT 31 VALLEY VIEW MEADOWS SEC. 3</t>
  </si>
  <si>
    <t>DB-00004238 0000304</t>
  </si>
  <si>
    <t>286 ELYSIAN FIELDS RD</t>
  </si>
  <si>
    <t>DB-20211215 0165635</t>
  </si>
  <si>
    <t>LOT 60 VALLEY VIEW MEADOWS SEC 2</t>
  </si>
  <si>
    <t>DB-00004848 0000419</t>
  </si>
  <si>
    <t>277 ELYSIAN FIELDS RD</t>
  </si>
  <si>
    <t>DB-20210916 0124629</t>
  </si>
  <si>
    <t>LOT 30 VALLEY VIEW MEADOWS SEC. 3</t>
  </si>
  <si>
    <t>DB-00004230 0000246</t>
  </si>
  <si>
    <t>285 ELYSIAN FIELDS RD</t>
  </si>
  <si>
    <t>DB-20210825 0114688</t>
  </si>
  <si>
    <t>LOT 28 VALLEY VIEW MEADOWS SEC 2</t>
  </si>
  <si>
    <t>DV-00000056 0000175</t>
  </si>
  <si>
    <t>3904 DEWAIN DR</t>
  </si>
  <si>
    <t>DB-20210908 0120227</t>
  </si>
  <si>
    <t>LOT 27 VALLEY VIEW MEADOWS SEC 2</t>
  </si>
  <si>
    <t>DB-00004295 0000370</t>
  </si>
  <si>
    <t>3901 DEWAIN DR</t>
  </si>
  <si>
    <t>DB-20220804 0088783</t>
  </si>
  <si>
    <t>LOT 24 VALLEY VIEW MEADOWS SEC 1</t>
  </si>
  <si>
    <t>DB-00003926 0000955</t>
  </si>
  <si>
    <t>3905 DEWAIN DR</t>
  </si>
  <si>
    <t>DB-20240503 0032612</t>
  </si>
  <si>
    <t>LOT 25 VALLEY VIEW MEADOWS SEC 1</t>
  </si>
  <si>
    <t>DB-00003969 0000018</t>
  </si>
  <si>
    <t>244 WILLARD DR</t>
  </si>
  <si>
    <t>DB-20210617 0081792</t>
  </si>
  <si>
    <t>LOT 139 SEC 5 HAYWOOD ACRES</t>
  </si>
  <si>
    <t>DB-00004765 0000787</t>
  </si>
  <si>
    <t>492 PARAGON MILLS RD</t>
  </si>
  <si>
    <t>DB-20220610 0066334</t>
  </si>
  <si>
    <t>LOT 10 VALLEY VIEW MEADOWS SEC 1</t>
  </si>
  <si>
    <t>DB-00004452 0000175</t>
  </si>
  <si>
    <t>5535 BLUE HOLE RD</t>
  </si>
  <si>
    <t>DB-00011617 0000896</t>
  </si>
  <si>
    <t>W/S BLUE HOLE ROAD N OF PETTUS ROAD</t>
  </si>
  <si>
    <t>DB-00005673 0000092</t>
  </si>
  <si>
    <t>5605 PETTUS RD</t>
  </si>
  <si>
    <t>DB-20140528 0045927</t>
  </si>
  <si>
    <t>S/S PETTUS RD W OF PRESTON RD</t>
  </si>
  <si>
    <t>PL-00005190 0000562</t>
  </si>
  <si>
    <t>5611 PETTUS RD</t>
  </si>
  <si>
    <t>S. S. PETTUS ROAD E. OF OLD HICKORY BOULEVARD</t>
  </si>
  <si>
    <t>DB-00004489 0000497</t>
  </si>
  <si>
    <t>5601 PETTUS RD</t>
  </si>
  <si>
    <t>DB-00003929 0000922</t>
  </si>
  <si>
    <t>0 PETTUS RD</t>
  </si>
  <si>
    <t>QC-20150911 0092570</t>
  </si>
  <si>
    <t>W OF PETTUS ROAD S OF PRESTON ROAD</t>
  </si>
  <si>
    <t>DB-00005597 0000665</t>
  </si>
  <si>
    <t>5807 PETTUS RD</t>
  </si>
  <si>
    <t>W. SIDE PETTUS ROAD S OF PRESTON ROAD</t>
  </si>
  <si>
    <t>DB-00004588 0000165</t>
  </si>
  <si>
    <t>0 CULBERTSON RD</t>
  </si>
  <si>
    <t>DB-20130912 0096480</t>
  </si>
  <si>
    <t>N SIDE CULBERTSON RD E OF NOLENSVILLE PK</t>
  </si>
  <si>
    <t>DB-20060501 0049705</t>
  </si>
  <si>
    <t>0 NOLENSVILLE PIKE</t>
  </si>
  <si>
    <t>DB-20130912 0096455</t>
  </si>
  <si>
    <t>E SIDE NOLENSVILLE PK N OF CULBERTSON RD</t>
  </si>
  <si>
    <t>0 BLAKE DR</t>
  </si>
  <si>
    <t>DB-20121119 0106540</t>
  </si>
  <si>
    <t>S OF BARNES RD W OF OLD HICKORY BLVD</t>
  </si>
  <si>
    <t>5839 PETTUS RD</t>
  </si>
  <si>
    <t>W/S PETTUS ROAD S OF PRESTON ROAD</t>
  </si>
  <si>
    <t>DB-00005460 0000992</t>
  </si>
  <si>
    <t>W OF PETTUS ROAD S OF MILL CREEK</t>
  </si>
  <si>
    <t>DB-00001555 0000008</t>
  </si>
  <si>
    <t>408 BROOK VIEW ESTATES DR</t>
  </si>
  <si>
    <t>METRO GOV'T   WW WATER &amp; SEWER</t>
  </si>
  <si>
    <t>DB-20220915 0102913</t>
  </si>
  <si>
    <t>LOT 3 BELL HEIGHTS</t>
  </si>
  <si>
    <t>PL-00005050 0000059</t>
  </si>
  <si>
    <t>0 CEDARVIEW DR</t>
  </si>
  <si>
    <t>CR-20220602 0063779</t>
  </si>
  <si>
    <t>RES PAR MONTE CARLO EST SEC 1</t>
  </si>
  <si>
    <t>DB-00004665 0000773</t>
  </si>
  <si>
    <t>365 ASH GROVE DR</t>
  </si>
  <si>
    <t>DB-00003372 0000430</t>
  </si>
  <si>
    <t>N. OF BELL RD. E. OF TUDOR LANE</t>
  </si>
  <si>
    <t>5257 TUSCULUM CT</t>
  </si>
  <si>
    <t>DB-00005575 0000342</t>
  </si>
  <si>
    <t>LOT 178 FAIR OAKS SEC. 2</t>
  </si>
  <si>
    <t>DB-00004179 0000821</t>
  </si>
  <si>
    <t>5253 TUSCULUM CT</t>
  </si>
  <si>
    <t>DB-00005575 0000338</t>
  </si>
  <si>
    <t>LOT 177 FAIR OAKS SEC. 2</t>
  </si>
  <si>
    <t>5249 TUSCULUM CT</t>
  </si>
  <si>
    <t>DB-00005575 0000334</t>
  </si>
  <si>
    <t>LOT 176 FAIR OAKS SEC. 2</t>
  </si>
  <si>
    <t>5245 TUSCULUM CT</t>
  </si>
  <si>
    <t>DB-00005575 0000330</t>
  </si>
  <si>
    <t>LOT 175 FAIR OAKS SEC. 2</t>
  </si>
  <si>
    <t>5241 TUSCULUM CT</t>
  </si>
  <si>
    <t>DB-00005575 0000326</t>
  </si>
  <si>
    <t>LOT 174 FAIR OAKS SEC. 2</t>
  </si>
  <si>
    <t>5237 TUSCULUM CT</t>
  </si>
  <si>
    <t>DB-00005575 0000322</t>
  </si>
  <si>
    <t>LOT 173 FAIR OAKS SEC. 2</t>
  </si>
  <si>
    <t>5232 TUSCULUM CT</t>
  </si>
  <si>
    <t>DB-00005575 0000354</t>
  </si>
  <si>
    <t>LOT 192 FAIR OAKS SEC. 2</t>
  </si>
  <si>
    <t>5236 TUSCULUM CT</t>
  </si>
  <si>
    <t>DB-00005575 0000358</t>
  </si>
  <si>
    <t>LOT 191 FAIR OAKS SEC. 2</t>
  </si>
  <si>
    <t>225 OCALA DR</t>
  </si>
  <si>
    <t>DB-00005760 0000658</t>
  </si>
  <si>
    <t>LOT 196 FAIR OAKS SEC. 2</t>
  </si>
  <si>
    <t>221 OCALA DR</t>
  </si>
  <si>
    <t>DB-00005760 0000654</t>
  </si>
  <si>
    <t>LOT 197 FAIR OAKS SEC. 2</t>
  </si>
  <si>
    <t>217 OCALA DR</t>
  </si>
  <si>
    <t>DB-00005760 0000650</t>
  </si>
  <si>
    <t>LOT 198 FAIR OAKS SEC. 2</t>
  </si>
  <si>
    <t>213 OCALA DR</t>
  </si>
  <si>
    <t>DB-00005760 0000646</t>
  </si>
  <si>
    <t>LOT 199 FAIR OAKS SEC. 2</t>
  </si>
  <si>
    <t>13951 OLD HICKORY BLVD</t>
  </si>
  <si>
    <t>DB-20080502 0045005</t>
  </si>
  <si>
    <t>SOUTH EAST CORNER OF OLD HICKORY BLVD ANPETTUS ROAD</t>
  </si>
  <si>
    <t>DB-00004221 0000446</t>
  </si>
  <si>
    <t>6036 CULBERTSON RD</t>
  </si>
  <si>
    <t>DB-20080502 0045006</t>
  </si>
  <si>
    <t>QC-20230315 0018672</t>
  </si>
  <si>
    <t>405 BENZING RD</t>
  </si>
  <si>
    <t>DB-20190911 0091743</t>
  </si>
  <si>
    <t>LOT 5 TABITHA HEIGHTS</t>
  </si>
  <si>
    <t>DB-00004711 0000644</t>
  </si>
  <si>
    <t>412 BROOK VIEW ESTATES DR</t>
  </si>
  <si>
    <t>DB-20051021 0127559</t>
  </si>
  <si>
    <t>LOT 4 BELL HEIGHTS</t>
  </si>
  <si>
    <t>109 CEDARVALLEY CT</t>
  </si>
  <si>
    <t>DB-20061011 0126248</t>
  </si>
  <si>
    <t>LOT 16 CEDARWOOD ESTATES SEC 1</t>
  </si>
  <si>
    <t>DB-00004631 0000730</t>
  </si>
  <si>
    <t>424 CEDARVALLEY DR</t>
  </si>
  <si>
    <t>DB-20190426 0038547</t>
  </si>
  <si>
    <t>LOT 7 CEDARWOOD ESTATES SEC 1</t>
  </si>
  <si>
    <t>105 CEDARVALLEY CT</t>
  </si>
  <si>
    <t>RD-20060428 0049163</t>
  </si>
  <si>
    <t>LOT 17 CEDARWOOD ESTATES SEC 1</t>
  </si>
  <si>
    <t>DB-00004870 0000373</t>
  </si>
  <si>
    <t>5506 TUDOR LN</t>
  </si>
  <si>
    <t>E OF TUDOR LANE N OF OLD HICKORY BLVD</t>
  </si>
  <si>
    <t>DB-00002454 0000382</t>
  </si>
  <si>
    <t>0 BURKITT RD</t>
  </si>
  <si>
    <t xml:space="preserve">METRO GOV'T BOARD OF PUBLIC EDUCATION </t>
  </si>
  <si>
    <t>QC-20211129 0157446</t>
  </si>
  <si>
    <t>N SIDE BURKITT RD W OF WHITTEMORE LANE</t>
  </si>
  <si>
    <t>452 CEDARVALLEY DR</t>
  </si>
  <si>
    <t>DB-20190219 0014634</t>
  </si>
  <si>
    <t>LOT 19 CEDARWOOD ESTATES SEC 1</t>
  </si>
  <si>
    <t>0 CEDARVALLEY DR</t>
  </si>
  <si>
    <t>RES. PAR. 'C' CEDARWOOD ESTATES SEC 1</t>
  </si>
  <si>
    <t>1050 RURAL HILL RD</t>
  </si>
  <si>
    <t>DB-20241001 0076165</t>
  </si>
  <si>
    <t>E OF RURAL HILL RD N OF RICE RD</t>
  </si>
  <si>
    <t>DB-00003792 0000898</t>
  </si>
  <si>
    <t>555 BELL RD</t>
  </si>
  <si>
    <t>MEDICAL OFFICE (ONE OR TWO STORIES)</t>
  </si>
  <si>
    <t>DB-20250304 0015918</t>
  </si>
  <si>
    <t>W SIDE BELL RD N OF RURAL HILL RD</t>
  </si>
  <si>
    <t>DB-00004215 0000139</t>
  </si>
  <si>
    <t>567 BELL RD</t>
  </si>
  <si>
    <t>DB-20241001 0076164</t>
  </si>
  <si>
    <t>LT. 1 SEC. 1 WILDWOOD ACRES</t>
  </si>
  <si>
    <t>DB-00004706 0000063</t>
  </si>
  <si>
    <t>5178 MT VIEW RD</t>
  </si>
  <si>
    <t>QC-20220525 0060821</t>
  </si>
  <si>
    <t>P O BOX 196300 C/O LEGAL DEPT</t>
  </si>
  <si>
    <t>LOT 1 HICKORY HOLLOW MALL RESUB</t>
  </si>
  <si>
    <t>PL-20140214 0013267</t>
  </si>
  <si>
    <t>5252 HICKORY HOLLOW PKWY</t>
  </si>
  <si>
    <t>ENCLOSED MALL</t>
  </si>
  <si>
    <t>LOT 1 HICKORY HOLLOW MALL RE-SUB LTS 1,3 &amp; PAR 352 SEC 1</t>
  </si>
  <si>
    <t>PL-00007900 0000280</t>
  </si>
  <si>
    <t>5246 HICKORY HOLLOW PKWY</t>
  </si>
  <si>
    <t>P/O LOT 4 HICKORY HOLLOW MALL SEC 1</t>
  </si>
  <si>
    <t>PL-00007900 0000258</t>
  </si>
  <si>
    <t>927 BELL RD</t>
  </si>
  <si>
    <t>5211 RICE RD</t>
  </si>
  <si>
    <t>DB-20241002 0076198</t>
  </si>
  <si>
    <t>LOT 2 RICE ROAD ACRES LOTS 1 &amp; 2</t>
  </si>
  <si>
    <t>PL-20230913 0071938</t>
  </si>
  <si>
    <t>1070 RURAL HILL RD</t>
  </si>
  <si>
    <t>LOT 1 RICE ROAD ACRES LOTS 1 &amp; 2</t>
  </si>
  <si>
    <t>DB-20150911 0092568</t>
  </si>
  <si>
    <t>NORTH SIDE L &amp; N RAILROAD WEST OF OLD HICKORY BOULEVARD</t>
  </si>
  <si>
    <t>PL-20061031 0135248</t>
  </si>
  <si>
    <t>5244 HICKORY HOLLOW PKWY</t>
  </si>
  <si>
    <t>DB-20220523 0059792</t>
  </si>
  <si>
    <t>106 METRO COURTHOUSE C/O DIRECTOR FINANCE</t>
  </si>
  <si>
    <t>LOT 1 HICKORY HOLLOW MALL SEC 1</t>
  </si>
  <si>
    <t>DB-00004920 0000916</t>
  </si>
  <si>
    <t>5234 MT VIEW RD</t>
  </si>
  <si>
    <t>LOT 3 HICKORY HOLLOW MALL RESUB</t>
  </si>
  <si>
    <t>DB-20241002 0076191</t>
  </si>
  <si>
    <t>W SIDE BELL RD N OF RICE RD</t>
  </si>
  <si>
    <t>DB-00010167 0000875</t>
  </si>
  <si>
    <t>1058 RURAL HILL RD</t>
  </si>
  <si>
    <t>E SIDE RURAL HILL RD N OF RICE RD</t>
  </si>
  <si>
    <t>QC-20241002 0076192</t>
  </si>
  <si>
    <t>1470 EAGLE VIEW BLVD</t>
  </si>
  <si>
    <t>DB-20161006 0105952</t>
  </si>
  <si>
    <t>LOT 1 CANE RIDGE ELEMENTARY</t>
  </si>
  <si>
    <t>PL-20190103 0000902</t>
  </si>
  <si>
    <t>DB-20150902 0089403</t>
  </si>
  <si>
    <t>W OF OLD HICKORY BLVD N OF I-24</t>
  </si>
  <si>
    <t>DB-00005378 0000753</t>
  </si>
  <si>
    <t>12847 OLD HICKORY BLVD</t>
  </si>
  <si>
    <t>QC-20150911 0092723</t>
  </si>
  <si>
    <t>S/E CORNER OLD HICKORY BOULEVARD AND L. &amp; N. R. R.</t>
  </si>
  <si>
    <t>DB-00004093 0000637</t>
  </si>
  <si>
    <t>0 OLD FRANKLIN RD</t>
  </si>
  <si>
    <t>DB-20151218 0127568</t>
  </si>
  <si>
    <t>N/S INTERSTATE HIGHWAY E. OF OLD FRANKLIN ROAD</t>
  </si>
  <si>
    <t>12900 OLD HICKORY BLVD</t>
  </si>
  <si>
    <t>DB-20180801 0075384</t>
  </si>
  <si>
    <t>W SIDE OLD HICKORY BLVD AND, S OF L AND N RAILROAD</t>
  </si>
  <si>
    <t>DB-20150901 0088557</t>
  </si>
  <si>
    <t>N/S I-24 W OF OLD HICKORY BV</t>
  </si>
  <si>
    <t>DB-00007525 0000792</t>
  </si>
  <si>
    <t>DB-20150904 0090395</t>
  </si>
  <si>
    <t>N. SIDE INTERSTATE 24 W. OF OLD HICKORY BLVD.</t>
  </si>
  <si>
    <t>W OF OLD HICKORY BV N OF I-24</t>
  </si>
  <si>
    <t>W OF OLD HICKORY BV N OF OWEN DR</t>
  </si>
  <si>
    <t>QC-00007525 0000795</t>
  </si>
  <si>
    <t>W/S OLD HICKORY BV S OF L&amp;N R.R.</t>
  </si>
  <si>
    <t>QC-00008135 0000841</t>
  </si>
  <si>
    <t>12924 OLD HICKORY BLVD</t>
  </si>
  <si>
    <t>W/S OLD HICKORY BOULEVARD N. OF I-24</t>
  </si>
  <si>
    <t>DB-00000542 0000291</t>
  </si>
  <si>
    <t>W/S OLD HICKORY BV N OF I-24</t>
  </si>
  <si>
    <t>PL-00006200 0000446</t>
  </si>
  <si>
    <t>12969 OLD HICKORY BLVD</t>
  </si>
  <si>
    <t>E/S OLD HICKORY BOULEVARD &amp; S. OF L. &amp; N. R. R.</t>
  </si>
  <si>
    <t>DB-20061215 0154998</t>
  </si>
  <si>
    <t>WEST SIDE OF OLD HICKORY BV NORTH OF I-24</t>
  </si>
  <si>
    <t>W/S HOBSON PK S OF L&amp;N R.R.</t>
  </si>
  <si>
    <t>DB-20150911 0092558</t>
  </si>
  <si>
    <t>S SIDE L AND N RAILROAD, W OF OLD HICKORY BLVD</t>
  </si>
  <si>
    <t>QC-20180905 0088119</t>
  </si>
  <si>
    <t>5557 MT VIEW RD</t>
  </si>
  <si>
    <t>DB-20201007 0116589</t>
  </si>
  <si>
    <t>N SIDE MT VIEW RD &amp; E OF BELL RD</t>
  </si>
  <si>
    <t>DB-00004329 0000800</t>
  </si>
  <si>
    <t>0 CROSSINGS BLVD</t>
  </si>
  <si>
    <t>DB-20150828 0087496</t>
  </si>
  <si>
    <t>E/S CROSSINGS BV S/S L&amp;N R.R.</t>
  </si>
  <si>
    <t>DB-20091223 0116889</t>
  </si>
  <si>
    <t>2921 OLD FRANKLIN RD</t>
  </si>
  <si>
    <t>DB-20151218 0127567</t>
  </si>
  <si>
    <t>PT LOT 1 CREWS CROSSINGS EASEMENT ABANDONMENT 1ST REV</t>
  </si>
  <si>
    <t>QC-20090925 0089481</t>
  </si>
  <si>
    <t>5260 HICKORY HOLLOW PKWY</t>
  </si>
  <si>
    <t>QC-20140221 0015181</t>
  </si>
  <si>
    <t>LOT 2 HICKORY HOLLOW MALL RESUB</t>
  </si>
  <si>
    <t>0 MT VIEW RD</t>
  </si>
  <si>
    <t>PT LOT 4 HICKORY HOLLOW MALL SEC. 1</t>
  </si>
  <si>
    <t>0 HICKORY HOLLOW PKWY</t>
  </si>
  <si>
    <t>DB-00005760 0000662</t>
  </si>
  <si>
    <t>E/S HICKORY HOLLOW PKWY S OF MT. VIEW ROAD</t>
  </si>
  <si>
    <t>OR-00077642 0000000</t>
  </si>
  <si>
    <t>5204 PRESERVE BLVD</t>
  </si>
  <si>
    <t>DB-20100303 0016293</t>
  </si>
  <si>
    <t>N OF L &amp; N R.R. W OF OLD HICKORY BLVD</t>
  </si>
  <si>
    <t>OR-20090604 0000000</t>
  </si>
  <si>
    <t>4251 HURRICANE CREEK BLVD</t>
  </si>
  <si>
    <t>DB-00007397 0000098</t>
  </si>
  <si>
    <t>W OF MURFREESBORO PK N OF L&amp;N R.R.</t>
  </si>
  <si>
    <t>5500 CANE RIDGE RD</t>
  </si>
  <si>
    <t>DB-00005114 0000695</t>
  </si>
  <si>
    <t>E/S CANE RIDGE ROAD - N OF OLD FRANKLIN RD</t>
  </si>
  <si>
    <t>5050 BLUE HOLE RD</t>
  </si>
  <si>
    <t>DB-00000921 0000516</t>
  </si>
  <si>
    <t>E SIDE BLUE HOLE RD &amp; S OF ANTIOCH PIKE</t>
  </si>
  <si>
    <t>2325 HICKORY HIGHLANDS DR</t>
  </si>
  <si>
    <t>METRO GOV'T  S  CAMBRIDGE ELC</t>
  </si>
  <si>
    <t>DB-00007677 0000059</t>
  </si>
  <si>
    <t>LOT 1 HICKORY HIGHLANDS APARTMENTS</t>
  </si>
  <si>
    <t>PL-00006900 0000729</t>
  </si>
  <si>
    <t>0 SHADOWBROOK TRL</t>
  </si>
  <si>
    <t>METRO GOV'T  S  CANE RIDGE ELEMENTARY</t>
  </si>
  <si>
    <t>DB-20110718 0054865</t>
  </si>
  <si>
    <t>N OF L &amp; N R R W OF OLD HICKORY BLVD</t>
  </si>
  <si>
    <t>QC-20120312 0021018</t>
  </si>
  <si>
    <t>12848 OLD HICKORY BLVD</t>
  </si>
  <si>
    <t>METRO GOV'T  S  CANE RIDGE HIGH SCHOOL</t>
  </si>
  <si>
    <t>DB-20060615 0071597</t>
  </si>
  <si>
    <t>S/S LAND N OF RAILROAD W OF OLD HICKORY BOULEVARD</t>
  </si>
  <si>
    <t>5320 RICE RD</t>
  </si>
  <si>
    <t>W/S RICE ROAD S OF BELL CREST DRIVE</t>
  </si>
  <si>
    <t>DB-00003344 0000471</t>
  </si>
  <si>
    <t>0 TUSCULUM RD</t>
  </si>
  <si>
    <t>DB-20220517 0056662</t>
  </si>
  <si>
    <t>LOT 1 MCLENDON SUB</t>
  </si>
  <si>
    <t>PL-20200721 0079932</t>
  </si>
  <si>
    <t>1299 BLUE HOLE RD</t>
  </si>
  <si>
    <t>DB-20180427 0039910</t>
  </si>
  <si>
    <t>S/E COR. BLUE HOLE RD &amp; BELL RD.</t>
  </si>
  <si>
    <t>DB-00007838 0000934</t>
  </si>
  <si>
    <t>DB-20131231 0131264</t>
  </si>
  <si>
    <t>NW COR PRESTON RD &amp; PETTUS RD</t>
  </si>
  <si>
    <t>0 PRESTON RD</t>
  </si>
  <si>
    <t>DB-20150728 0073942</t>
  </si>
  <si>
    <t>N OF PETTUS RD W OF PRESTON RD</t>
  </si>
  <si>
    <t>LOT 2 MCLENDON SUB</t>
  </si>
  <si>
    <t>0 BART DR</t>
  </si>
  <si>
    <t>LOT 3 MCLENDON SUB</t>
  </si>
  <si>
    <t>0 BATTLE RD</t>
  </si>
  <si>
    <t>NOLENSVILLE</t>
  </si>
  <si>
    <t xml:space="preserve">METRO GOV'T </t>
  </si>
  <si>
    <t>QC-20231005 0078313</t>
  </si>
  <si>
    <t>S SIDE CAROTHERS RD E OF BATTLE RD</t>
  </si>
  <si>
    <t>0 BELL TRACE DR</t>
  </si>
  <si>
    <t>CR-20130822 0088820</t>
  </si>
  <si>
    <t>RES PAR HICKORY PARK VILLAS  SEC 2</t>
  </si>
  <si>
    <t>PL-00005200 0000603</t>
  </si>
  <si>
    <t>0 HICKORY PARK DR</t>
  </si>
  <si>
    <t>CR-20130822 0088821</t>
  </si>
  <si>
    <t>RES PAR HICKORY PARK VILLAS SEC 3 RE-SUB</t>
  </si>
  <si>
    <t>PL-00006250 0000768</t>
  </si>
  <si>
    <t>5410 HICKORY PARK DR</t>
  </si>
  <si>
    <t>DB-00008816 0000253</t>
  </si>
  <si>
    <t>P/O RES PARCEL HICKORY PK VILLAS SEC 2 &amp; PT LT 2 LEISURE HGT</t>
  </si>
  <si>
    <t>6211 BURKITT RD</t>
  </si>
  <si>
    <t>DB-20231013 0080191</t>
  </si>
  <si>
    <t>1214 CHURCH ST C/O ACCOUNTS PAYABLE</t>
  </si>
  <si>
    <t>TRACT 14B RESUB OF TR 14 JENNINGS PROPERTY</t>
  </si>
  <si>
    <t>SV-20080918 0095166</t>
  </si>
  <si>
    <t>6231 BURKITT RD</t>
  </si>
  <si>
    <t>E/S BATTLE RD S OF OLD HICKORY BV</t>
  </si>
  <si>
    <t>6043 CANE RIDGE RD</t>
  </si>
  <si>
    <t>WB-00000140 0000318</t>
  </si>
  <si>
    <t>N/W COR OLD HICKORY BV &amp; CANE RIDGE RD &amp; ACREAGE TRACT</t>
  </si>
  <si>
    <t>419 BATTLE RD</t>
  </si>
  <si>
    <t>DB-00005079 0000540</t>
  </si>
  <si>
    <t>E SIDE BATTLE RD N OF CARUTHERS RD</t>
  </si>
  <si>
    <t>5832 PETTUS RD</t>
  </si>
  <si>
    <t>METRO GOV'T  S THURGOOD MARSHALL</t>
  </si>
  <si>
    <t>DB-20040106 0002097</t>
  </si>
  <si>
    <t>E/S PETTUS ROAD S. OF PRESTON ROAD</t>
  </si>
  <si>
    <t>DB-00004811 0000602</t>
  </si>
  <si>
    <t>133 SHACKLETT LANE CT</t>
  </si>
  <si>
    <t>DB-20111227 0100847</t>
  </si>
  <si>
    <t>LOT 18 LANE ESTATES RESUB</t>
  </si>
  <si>
    <t>PL-00004860 0000065</t>
  </si>
  <si>
    <t>40 BENZING RD</t>
  </si>
  <si>
    <t>DB-20111227 0100846</t>
  </si>
  <si>
    <t>LOT 54 ANTIOCH PARK SEC. 1</t>
  </si>
  <si>
    <t>DB-00004153 0000438</t>
  </si>
  <si>
    <t>42 BENZING RD</t>
  </si>
  <si>
    <t>DB-20120206 0010526</t>
  </si>
  <si>
    <t>LOT 55 ANTIOCH PARK SEC. 1</t>
  </si>
  <si>
    <t>DB-00004817 0000816</t>
  </si>
  <si>
    <t>44 BENZING RD</t>
  </si>
  <si>
    <t>DB-20120130 0008221</t>
  </si>
  <si>
    <t>LOT 56 ANTIOCH PARK SEC. 1</t>
  </si>
  <si>
    <t>DB-00004182 0000455</t>
  </si>
  <si>
    <t>46 BENZING RD</t>
  </si>
  <si>
    <t>DB-20111227 0100862</t>
  </si>
  <si>
    <t>LOT 57 ANTIOCH PARK SEC. 1</t>
  </si>
  <si>
    <t>DB-00004197 0000864</t>
  </si>
  <si>
    <t>128 SHACKLETT LANE CT</t>
  </si>
  <si>
    <t>DB-20111227 0100867</t>
  </si>
  <si>
    <t>LOT 20 LANE ESTATES RESUB</t>
  </si>
  <si>
    <t>48 BENZING RD</t>
  </si>
  <si>
    <t>DB-20111227 0100850</t>
  </si>
  <si>
    <t>LOT 58 ANTIOCH PARK SEC. 1</t>
  </si>
  <si>
    <t>DB-00004228 0000201</t>
  </si>
  <si>
    <t>50 BENZING RD</t>
  </si>
  <si>
    <t>DB-20120720 0063869</t>
  </si>
  <si>
    <t>LOT 59 ANTIOCH PARK SEC. 1</t>
  </si>
  <si>
    <t>DB-00004629 0000918</t>
  </si>
  <si>
    <t>52 BENZING RD</t>
  </si>
  <si>
    <t>DB-20120221 0014688</t>
  </si>
  <si>
    <t>LOT 60 ANTIOCH PARK SEC. 1</t>
  </si>
  <si>
    <t>DB-00004221 0000719</t>
  </si>
  <si>
    <t>54 BENZING RD</t>
  </si>
  <si>
    <t>DB-20120130 0008227</t>
  </si>
  <si>
    <t>LOT 61 ANTIOCH PARK SEC. 1</t>
  </si>
  <si>
    <t>DB-00004226 0000521</t>
  </si>
  <si>
    <t>58 BENZING RD</t>
  </si>
  <si>
    <t>DB-20120727 0066412</t>
  </si>
  <si>
    <t>LOT 63 ANTIOCH PARK SEC. 1</t>
  </si>
  <si>
    <t>DB-00004697 0000980</t>
  </si>
  <si>
    <t>121 SHACKLETT LANE CT</t>
  </si>
  <si>
    <t>DB-20120123 0006104</t>
  </si>
  <si>
    <t>LOT 15 LANE ESTATES RESUB</t>
  </si>
  <si>
    <t>637 BROOK DR</t>
  </si>
  <si>
    <t>DB-20061208 0151970</t>
  </si>
  <si>
    <t>LOT 27 BROOK VIEW EST. SEC. 1</t>
  </si>
  <si>
    <t>DB-00004800 0000597</t>
  </si>
  <si>
    <t>641 BROOK DR</t>
  </si>
  <si>
    <t>DB-20060615 0071686</t>
  </si>
  <si>
    <t>LOT 28 BROOK VIEW EST. SEC. 1</t>
  </si>
  <si>
    <t>DB-00004649 0000231</t>
  </si>
  <si>
    <t>633 BROOK DR</t>
  </si>
  <si>
    <t>DB-20190115 0004014</t>
  </si>
  <si>
    <t>LOT 26 BROOK VIEW EST. SEC. 1</t>
  </si>
  <si>
    <t>DB-00004873 0000169</t>
  </si>
  <si>
    <t>5758 CANE RIDGE RD</t>
  </si>
  <si>
    <t>DB-00005083 0000392</t>
  </si>
  <si>
    <t>CANE RIDGE RESERVOIR SITE</t>
  </si>
  <si>
    <t>PL-00005050 0000044</t>
  </si>
  <si>
    <t>501 BROOK VIEW ESTATES DR</t>
  </si>
  <si>
    <t>DB-20190205 0010971</t>
  </si>
  <si>
    <t>LOT 16 RESUB LOTS 16-17 BROOK-VIEW-EST SEC 1</t>
  </si>
  <si>
    <t>DB-00004817 0000473</t>
  </si>
  <si>
    <t>4940 SHIHMEN DR</t>
  </si>
  <si>
    <t>DB-20201116 0134703</t>
  </si>
  <si>
    <t>LOT 106 ANTIOCH PARK SEC 3</t>
  </si>
  <si>
    <t>DB-00004575 0000031</t>
  </si>
  <si>
    <t>6811 HIGHWAY 70 S</t>
  </si>
  <si>
    <t>QC-20150120 0005517</t>
  </si>
  <si>
    <t>S/S HWY 70S-E OF HICKS RD</t>
  </si>
  <si>
    <t>6949 HIGHWAY 70 S</t>
  </si>
  <si>
    <t>QC-20230921 0074413</t>
  </si>
  <si>
    <t>S SIDE HGHWY 70 S E OF HICKS RD</t>
  </si>
  <si>
    <t>MA-20200123 0008509</t>
  </si>
  <si>
    <t>DB-20130916 0097246</t>
  </si>
  <si>
    <t>PT LOT 2 THE GROVE AT DEVON HILLS</t>
  </si>
  <si>
    <t>DB-20121227 0119385</t>
  </si>
  <si>
    <t>7134 HIGHWAY 100</t>
  </si>
  <si>
    <t>QC-20220121 0008036</t>
  </si>
  <si>
    <t>W SIDE HGHWY 100 S OF VAUGHNS GAP RD</t>
  </si>
  <si>
    <t>DB-20230726 0057709</t>
  </si>
  <si>
    <t>PO BOX 196340</t>
  </si>
  <si>
    <t>W/S OF HIGHWAY 100 S. OF VAUGHNS GAP ROAD</t>
  </si>
  <si>
    <t>DB-00004043 0000020</t>
  </si>
  <si>
    <t>7156 HIGHWAY 100</t>
  </si>
  <si>
    <t>QC-20230921 0074412</t>
  </si>
  <si>
    <t>W SIDE HGHWY 100 N OF OLD HICKORY BLVD</t>
  </si>
  <si>
    <t>DB-00004206 0000782</t>
  </si>
  <si>
    <t>7166 HIGHWAY 100</t>
  </si>
  <si>
    <t>QC-20230921 0074411</t>
  </si>
  <si>
    <t>DB-00003000 0000269</t>
  </si>
  <si>
    <t>DB-20130916 0097245</t>
  </si>
  <si>
    <t>PT OF LOT 1 THE GROVE AT DEVON HILLS</t>
  </si>
  <si>
    <t>6410 HILLSBORO PIKE</t>
  </si>
  <si>
    <t>QC-20141219 0116320</t>
  </si>
  <si>
    <t>S E CORNER OF OLD HICKORY BLVD. &amp; HILLSBORO PIKE</t>
  </si>
  <si>
    <t>QC-20020729 0090663</t>
  </si>
  <si>
    <t>0 LYNNWOOD BLVD</t>
  </si>
  <si>
    <t>DB-00005414 0000413</t>
  </si>
  <si>
    <t>PT RES PAR OF RE-SUB CHICKERING PARK SEC. 3</t>
  </si>
  <si>
    <t>DB-00004229 0000961</t>
  </si>
  <si>
    <t>FH</t>
  </si>
  <si>
    <t>0 WILLOW CREEK DR</t>
  </si>
  <si>
    <t>CR-20220602 0063775</t>
  </si>
  <si>
    <t>RESERVED PARCEL C VALLEY WEST SEC 2</t>
  </si>
  <si>
    <t>DB-00004400 0000544</t>
  </si>
  <si>
    <t>PARCEL 5 DEVON HILLS &amp; N/E CORNER OLD HICKORY BV &amp; HWY 100</t>
  </si>
  <si>
    <t>0 CRATER HILL DR</t>
  </si>
  <si>
    <t>DB-00002692 0000005</t>
  </si>
  <si>
    <t>RES TRACT SEC 3 CHICKERING HILLS</t>
  </si>
  <si>
    <t>7099 OLD HARDING PIKE</t>
  </si>
  <si>
    <t>DB-00004484 0000921</t>
  </si>
  <si>
    <t>S E COR OLD HARDING PK &amp; HICKS RD</t>
  </si>
  <si>
    <t>5824 ROBERT E LEE DR</t>
  </si>
  <si>
    <t>BD-ZERO     0001654</t>
  </si>
  <si>
    <t>P/O LOT 94 TYNE VALLEY ESTATES SEC 5</t>
  </si>
  <si>
    <t>PL-00003600 0000054</t>
  </si>
  <si>
    <t>1261 OLD HICKORY BLVD</t>
  </si>
  <si>
    <t>DB-00004208 0000421</t>
  </si>
  <si>
    <t>S. S. OLD HICKORY BOULEVARD &amp; W. OF GRANNY WHITE PIKE</t>
  </si>
  <si>
    <t>DB-20020102 0000159</t>
  </si>
  <si>
    <t>4400 CARLTON DR</t>
  </si>
  <si>
    <t>DB-00002296 0000303</t>
  </si>
  <si>
    <t>END OF CARLTON DR W OF HILLSBORO RD</t>
  </si>
  <si>
    <t>PL-20030829 0125580</t>
  </si>
  <si>
    <t>3713 HILLDALE DR</t>
  </si>
  <si>
    <t>DB-00002297 0000033</t>
  </si>
  <si>
    <t>W. SIDE OF HILLDALE DRIVE N. OF ABBOTT MARTIN ROAD</t>
  </si>
  <si>
    <t>0 TARA DR</t>
  </si>
  <si>
    <t>DB-00002963 0000386</t>
  </si>
  <si>
    <t>PT LOT 24 SEVEN HILLS SEC 3</t>
  </si>
  <si>
    <t>2257 CASTLEMAN DR</t>
  </si>
  <si>
    <t>DB-00001514 0000502</t>
  </si>
  <si>
    <t>LOT 61 STAMMER</t>
  </si>
  <si>
    <t>QC-20090723 0069245</t>
  </si>
  <si>
    <t>N SIDE HGHWY 100 W OF OLD HICKORY BLVD</t>
  </si>
  <si>
    <t>DB-00003221 0000232</t>
  </si>
  <si>
    <t>7334 HIGHWAY 100</t>
  </si>
  <si>
    <t>DB-00003224 0000471</t>
  </si>
  <si>
    <t>0 VAUGHN RD</t>
  </si>
  <si>
    <t>UD-ZERO     0001717</t>
  </si>
  <si>
    <t>ASSESSED IN WILLIAMSON COUNTY</t>
  </si>
  <si>
    <t>DB-00002636 0000491</t>
  </si>
  <si>
    <t>7311 HIGHWAY 100</t>
  </si>
  <si>
    <t>BD-ZERO     0001716</t>
  </si>
  <si>
    <t>S W CORNER OLD HICKORY BLVD &amp; VAUGHN RD</t>
  </si>
  <si>
    <t>DB-00004820 0000030</t>
  </si>
  <si>
    <t>W OF HGHWY 100 N OF OLD HICKORY BLVD</t>
  </si>
  <si>
    <t>DB-20040518 0058045</t>
  </si>
  <si>
    <t>7216 HIGHWAY 100</t>
  </si>
  <si>
    <t>E SIDE HIGHWAY 100 N OF OLD HICKORY BOULEVARD</t>
  </si>
  <si>
    <t>DB-20050603 0063302</t>
  </si>
  <si>
    <t>6921 HIGHWAY 100</t>
  </si>
  <si>
    <t>METRO GOV'T  P  PERCY WARNER</t>
  </si>
  <si>
    <t>BD-ZERO     0001650</t>
  </si>
  <si>
    <t>N E COR HIGHWAY 100 &amp; OLD HICKORY BLVD</t>
  </si>
  <si>
    <t>PL-00000421 0000051</t>
  </si>
  <si>
    <t>1501 CHICKERING RD</t>
  </si>
  <si>
    <t>N E INTERSECTION OF PAGE ROAD &amp; CHICKERING ROAD</t>
  </si>
  <si>
    <t>7300 HIGHWAY 100</t>
  </si>
  <si>
    <t>DB-00001562 0000237</t>
  </si>
  <si>
    <t>N SIDE HGHWY 100 E OF OLD HICKORY BLVD</t>
  </si>
  <si>
    <t>2547 OLD HICKORY BLVD</t>
  </si>
  <si>
    <t>S E CORNER OLD HICKORY BLVD AND VAUGHN ROAD</t>
  </si>
  <si>
    <t>3500 HOBBS RD</t>
  </si>
  <si>
    <t>METRO GOV'T  S  JULIA GREEN</t>
  </si>
  <si>
    <t>DB-00001645 0000063</t>
  </si>
  <si>
    <t>JULIA GREEN SCHOOL SUB</t>
  </si>
  <si>
    <t>PL-00009700 0000820</t>
  </si>
  <si>
    <t>1700 OTTER CREEK RD</t>
  </si>
  <si>
    <t>METRO GOV'T  S  PERCY PRIEST</t>
  </si>
  <si>
    <t>DB-00002602 0000001</t>
  </si>
  <si>
    <t>RES. PAR OTTER CREEK HILLS</t>
  </si>
  <si>
    <t>3404 HOBBS RD</t>
  </si>
  <si>
    <t>CD-20130516 0049336</t>
  </si>
  <si>
    <t>LOT 35 WALLACE SUB PT 3</t>
  </si>
  <si>
    <t>DB-00004515 0000282</t>
  </si>
  <si>
    <t>3400 HOBBS RD</t>
  </si>
  <si>
    <t>DB-20121204 0111167</t>
  </si>
  <si>
    <t>LOT 34 WALLACE SUB PT 3</t>
  </si>
  <si>
    <t>DB-00003931 0000650</t>
  </si>
  <si>
    <t>0 HILLSBORO PIKE</t>
  </si>
  <si>
    <t>DB-00001072 0000007A</t>
  </si>
  <si>
    <t>PT LOT 26 WESTWOOD</t>
  </si>
  <si>
    <t>DB-00001072 0000007</t>
  </si>
  <si>
    <t>0 CROMWELL DR</t>
  </si>
  <si>
    <t>DB-00003769 0000629</t>
  </si>
  <si>
    <t>W. OF CROMWELL DR. S. OF MELBORNE DR.</t>
  </si>
  <si>
    <t>1025 OMAN DR</t>
  </si>
  <si>
    <t>CD-00892290 0000000</t>
  </si>
  <si>
    <t>E/S OMAN DR S OF OTTER CREEK RD</t>
  </si>
  <si>
    <t>1630 HARDING PL</t>
  </si>
  <si>
    <t>DB-00003769 0000607</t>
  </si>
  <si>
    <t>N SIDE HARDING PL E OF HILLSBORO PK</t>
  </si>
  <si>
    <t>11 INVERARAY</t>
  </si>
  <si>
    <t>DB-00003769 0000609</t>
  </si>
  <si>
    <t>S OF HARDING PLACE E OF ALCOTT DRIVE</t>
  </si>
  <si>
    <t>DB-00003769 0000605</t>
  </si>
  <si>
    <t>PT LOT 45 WEST WOOD</t>
  </si>
  <si>
    <t>1958 OLD HICKORY BLVD</t>
  </si>
  <si>
    <t>DB-20050818 0098721</t>
  </si>
  <si>
    <t>1214 CHURCH ST C/O EUGENE W WARD NO 3119</t>
  </si>
  <si>
    <t>N/S OLD HICKORY BLVD E OF HILLSBORO PIKE</t>
  </si>
  <si>
    <t>AF-20090804 0072746</t>
  </si>
  <si>
    <t>3811 DARTMOUTH AVE</t>
  </si>
  <si>
    <t>DB-20180809 0078531</t>
  </si>
  <si>
    <t>LOT 6 BLK C WOODMONT LANE HOMESITES</t>
  </si>
  <si>
    <t>DB-00004807 0000729</t>
  </si>
  <si>
    <t>0 GARLAND HOLLOW RD</t>
  </si>
  <si>
    <t>PEGRAM</t>
  </si>
  <si>
    <t>CR-20060418 0044156</t>
  </si>
  <si>
    <t>N GARLAND HOLLOW RD E POND CREEK RD</t>
  </si>
  <si>
    <t>DB-00003643 0000109</t>
  </si>
  <si>
    <t>0 MORTON MILL RD</t>
  </si>
  <si>
    <t>QC-20191127 0122800</t>
  </si>
  <si>
    <t>S SIDE OF INTERS HWY W OF MORTON MILL RD</t>
  </si>
  <si>
    <t>DB-00006630 0000588</t>
  </si>
  <si>
    <t>6915 RIVER ROAD PIKE</t>
  </si>
  <si>
    <t>CR-20220602 0063778</t>
  </si>
  <si>
    <t>N SIDE RIVER ROAD PIKE W OF GOWER ROAD</t>
  </si>
  <si>
    <t>DB-00000095 0000170</t>
  </si>
  <si>
    <t>5789 RIVER RD</t>
  </si>
  <si>
    <t>CR-20041217 0150468</t>
  </si>
  <si>
    <t>S SIDE RIVER RD W OF OLD CHARLOTTE PK</t>
  </si>
  <si>
    <t>DB-00004226 0000679</t>
  </si>
  <si>
    <t>8350 HIGHWAY 70</t>
  </si>
  <si>
    <t>DB-00005312 0000727</t>
  </si>
  <si>
    <t>LOT 37-A HUNTWICK EST. SEC. 2 &amp; PT LOT 6 SEC 1</t>
  </si>
  <si>
    <t>930 MORTON MILL RD</t>
  </si>
  <si>
    <t>DB-00009316 0000724</t>
  </si>
  <si>
    <t>E/S MORTON MILL-W OLD HARDING PK</t>
  </si>
  <si>
    <t>DB-00004703 0000242</t>
  </si>
  <si>
    <t>7002 CHARLOTTE PIKE</t>
  </si>
  <si>
    <t>METRO GOV'T  P  BROOKMEADE</t>
  </si>
  <si>
    <t>DB-20010607 0060229</t>
  </si>
  <si>
    <t>LOT 2 THE MARKETPLACE REVISED UNIFIED PLAT</t>
  </si>
  <si>
    <t>PL-20010515 0050282</t>
  </si>
  <si>
    <t>DB-00005413 0000434</t>
  </si>
  <si>
    <t>S. SIDE HWY 100 W. OF HWY 96</t>
  </si>
  <si>
    <t>DB-00002144 0000537</t>
  </si>
  <si>
    <t>5918 TEMPLE RD</t>
  </si>
  <si>
    <t>DB-00005524 0000116</t>
  </si>
  <si>
    <t>W. SIDE TEMPLE RD. S. OF STATE HWY 100</t>
  </si>
  <si>
    <t>DB-00004570 0000937</t>
  </si>
  <si>
    <t>620 HAPWOOD DR</t>
  </si>
  <si>
    <t>METRO GOV'T  S  BROOK MEADE</t>
  </si>
  <si>
    <t>DB-00002694 0000017</t>
  </si>
  <si>
    <t>N SIDE HAPWOOD W OF DAVIDSON DR</t>
  </si>
  <si>
    <t>650 OLD HICKORY BLVD</t>
  </si>
  <si>
    <t>METRO GOV'T  S  GOWER</t>
  </si>
  <si>
    <t>DB-00007303 0000778A</t>
  </si>
  <si>
    <t>E SIDE OLD HICKORY BLVD N OF INTERSTATE HWY</t>
  </si>
  <si>
    <t>7840 LEARNING LN</t>
  </si>
  <si>
    <t>METRO GOV'T  S  HARPETH VALLEY</t>
  </si>
  <si>
    <t>DB-00001968 0000223</t>
  </si>
  <si>
    <t>W/S OLD HARDING PK N COLLINS RD</t>
  </si>
  <si>
    <t>8500 NEWSOM STATION RD</t>
  </si>
  <si>
    <t>DB-20120118 0004777</t>
  </si>
  <si>
    <t>LOT 2. JOHN CUNNINGHAM EST. SEC. 2</t>
  </si>
  <si>
    <t>DB-00004794 0000001</t>
  </si>
  <si>
    <t>8502 NEWSOM STATION RD</t>
  </si>
  <si>
    <t>DB-20120103 0000333</t>
  </si>
  <si>
    <t>LOT 1 JOHN CUNNINGHAM EST. SEC. 2</t>
  </si>
  <si>
    <t>DB-00004662 0000982</t>
  </si>
  <si>
    <t>8504 NEWSOM STATION RD</t>
  </si>
  <si>
    <t>DB-20120103 0000342</t>
  </si>
  <si>
    <t>S. SIDE HIGHWAY 70 N. SIDE NEWSON STATION RD.</t>
  </si>
  <si>
    <t>DB-00004503 0000216</t>
  </si>
  <si>
    <t>0 CABOT DR</t>
  </si>
  <si>
    <t>DB-20141010 0094113</t>
  </si>
  <si>
    <t>PT LOT 2 JAMES W. MC CLENDON SUBD RE-SUB LOT 2</t>
  </si>
  <si>
    <t>DB-20021220 0157788</t>
  </si>
  <si>
    <t>6950 CHARLOTTE PIKE</t>
  </si>
  <si>
    <t>6673 RIVER VIEW DR</t>
  </si>
  <si>
    <t>DB-20111227 0100869</t>
  </si>
  <si>
    <t>N/S RIVER VIEW DR W OF OLD HICKORY BLVD</t>
  </si>
  <si>
    <t>OR-00085975 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</si>
</sst>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3" fillId="33" borderId="0" xfId="0" applyFont="1" applyFill="1" applyAlignment="1">
      <alignment horizontal="center" vertical="center"/>
    </xf>
    <xf numFmtId="0" fontId="13" fillId="33" borderId="0" xfId="0" applyFont="1" applyFill="1" applyAlignment="1">
      <alignment horizontal="center"/>
    </xf>
    <xf numFmtId="0" fontId="13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6AB9-1BA9-4348-9F3F-4E3047FB9D6B}">
  <sheetPr>
    <tabColor rgb="FF002060"/>
  </sheetPr>
  <dimension ref="A1:AA2248"/>
  <sheetViews>
    <sheetView tabSelected="1" workbookViewId="0">
      <selection activeCell="E2253" sqref="E2253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4" t="s">
        <v>27</v>
      </c>
      <c r="B2" s="2" t="str">
        <f>"10200000500"</f>
        <v>10200000500</v>
      </c>
      <c r="C2" s="2" t="s">
        <v>28</v>
      </c>
      <c r="D2" t="s">
        <v>29</v>
      </c>
      <c r="E2" s="2" t="s">
        <v>30</v>
      </c>
      <c r="F2" s="2">
        <v>37218</v>
      </c>
      <c r="G2" s="2" t="s">
        <v>31</v>
      </c>
      <c r="H2" t="s">
        <v>32</v>
      </c>
      <c r="I2" s="6">
        <v>43677</v>
      </c>
      <c r="J2" s="2" t="s">
        <v>33</v>
      </c>
      <c r="K2" s="2" t="s">
        <v>34</v>
      </c>
      <c r="L2" t="s">
        <v>35</v>
      </c>
      <c r="M2" t="s">
        <v>29</v>
      </c>
      <c r="N2" t="s">
        <v>30</v>
      </c>
      <c r="O2">
        <v>37219</v>
      </c>
      <c r="P2" t="s">
        <v>36</v>
      </c>
      <c r="Q2" s="2">
        <v>106.93</v>
      </c>
      <c r="R2" s="2">
        <v>0</v>
      </c>
      <c r="S2" s="2">
        <v>0</v>
      </c>
      <c r="T2" t="s">
        <v>37</v>
      </c>
      <c r="U2" s="6">
        <v>33763</v>
      </c>
      <c r="V2" s="2">
        <v>47037013100</v>
      </c>
      <c r="W2" s="2" t="s">
        <v>38</v>
      </c>
      <c r="X2" s="1">
        <v>45658</v>
      </c>
      <c r="Y2" s="2">
        <v>979400</v>
      </c>
      <c r="Z2" s="2">
        <v>23900</v>
      </c>
      <c r="AA2" s="2">
        <v>955500</v>
      </c>
    </row>
    <row r="3" spans="1:27" x14ac:dyDescent="0.3">
      <c r="A3" s="4" t="s">
        <v>27</v>
      </c>
      <c r="B3" s="2" t="str">
        <f>"04600000100"</f>
        <v>04600000100</v>
      </c>
      <c r="C3" s="2" t="s">
        <v>39</v>
      </c>
      <c r="D3" t="s">
        <v>40</v>
      </c>
      <c r="E3" s="2" t="s">
        <v>30</v>
      </c>
      <c r="F3" s="2">
        <v>37015</v>
      </c>
      <c r="G3" s="2" t="s">
        <v>41</v>
      </c>
      <c r="H3" t="s">
        <v>32</v>
      </c>
      <c r="I3" s="6">
        <v>42310</v>
      </c>
      <c r="J3" s="2" t="s">
        <v>42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43</v>
      </c>
      <c r="Q3" s="2">
        <v>338</v>
      </c>
      <c r="R3" s="2">
        <v>0</v>
      </c>
      <c r="S3" s="2">
        <v>0</v>
      </c>
      <c r="T3" t="s">
        <v>44</v>
      </c>
      <c r="U3" s="6">
        <v>24824</v>
      </c>
      <c r="V3" s="2">
        <v>47037013100</v>
      </c>
      <c r="W3" s="2" t="s">
        <v>38</v>
      </c>
      <c r="X3" s="1">
        <v>45658</v>
      </c>
      <c r="Y3" s="2">
        <v>730100</v>
      </c>
      <c r="Z3" s="2">
        <v>0</v>
      </c>
      <c r="AA3" s="2">
        <v>730100</v>
      </c>
    </row>
    <row r="4" spans="1:27" x14ac:dyDescent="0.3">
      <c r="A4" s="4" t="s">
        <v>27</v>
      </c>
      <c r="B4" s="2" t="str">
        <f>"04500000500"</f>
        <v>04500000500</v>
      </c>
      <c r="C4" s="2" t="s">
        <v>39</v>
      </c>
      <c r="D4" t="s">
        <v>40</v>
      </c>
      <c r="E4" s="2" t="s">
        <v>30</v>
      </c>
      <c r="F4" s="2">
        <v>37015</v>
      </c>
      <c r="G4" s="2" t="s">
        <v>41</v>
      </c>
      <c r="H4" t="s">
        <v>32</v>
      </c>
      <c r="I4" s="6">
        <v>42310</v>
      </c>
      <c r="J4" s="2" t="s">
        <v>45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46</v>
      </c>
      <c r="Q4" s="2">
        <v>35.75</v>
      </c>
      <c r="R4" s="2">
        <v>0</v>
      </c>
      <c r="S4" s="2">
        <v>0</v>
      </c>
      <c r="T4" t="s">
        <v>47</v>
      </c>
      <c r="U4" s="6">
        <v>33701</v>
      </c>
      <c r="V4" s="2">
        <v>47037013100</v>
      </c>
      <c r="W4" s="2" t="s">
        <v>38</v>
      </c>
      <c r="X4" s="1">
        <v>45658</v>
      </c>
      <c r="Y4" s="2">
        <v>116200</v>
      </c>
      <c r="Z4" s="2">
        <v>0</v>
      </c>
      <c r="AA4" s="2">
        <v>116200</v>
      </c>
    </row>
    <row r="5" spans="1:27" x14ac:dyDescent="0.3">
      <c r="A5" s="4" t="s">
        <v>27</v>
      </c>
      <c r="B5" s="2" t="str">
        <f>"04800004201"</f>
        <v>04800004201</v>
      </c>
      <c r="C5" s="2" t="s">
        <v>48</v>
      </c>
      <c r="D5" t="s">
        <v>29</v>
      </c>
      <c r="E5" s="2" t="s">
        <v>30</v>
      </c>
      <c r="F5" s="2">
        <v>37218</v>
      </c>
      <c r="G5" s="2" t="s">
        <v>31</v>
      </c>
      <c r="H5" t="s">
        <v>32</v>
      </c>
      <c r="I5" s="6">
        <v>28796</v>
      </c>
      <c r="J5" s="2" t="s">
        <v>49</v>
      </c>
      <c r="K5" s="2">
        <v>207</v>
      </c>
      <c r="L5" t="s">
        <v>35</v>
      </c>
      <c r="M5" t="s">
        <v>29</v>
      </c>
      <c r="N5" t="s">
        <v>30</v>
      </c>
      <c r="O5">
        <v>37219</v>
      </c>
      <c r="P5" t="s">
        <v>50</v>
      </c>
      <c r="Q5" s="2">
        <v>0.09</v>
      </c>
      <c r="R5" s="2">
        <v>136</v>
      </c>
      <c r="S5" s="2">
        <v>20</v>
      </c>
      <c r="T5" t="s">
        <v>51</v>
      </c>
      <c r="U5" s="6">
        <v>23132</v>
      </c>
      <c r="V5" s="2">
        <v>47037013100</v>
      </c>
      <c r="W5" s="2" t="s">
        <v>38</v>
      </c>
      <c r="X5" s="1">
        <v>45658</v>
      </c>
      <c r="Y5" s="2">
        <v>900</v>
      </c>
      <c r="Z5" s="2">
        <v>0</v>
      </c>
      <c r="AA5" s="2">
        <v>900</v>
      </c>
    </row>
    <row r="6" spans="1:27" x14ac:dyDescent="0.3">
      <c r="A6" s="4" t="s">
        <v>27</v>
      </c>
      <c r="B6" s="2" t="str">
        <f>"03800012600"</f>
        <v>03800012600</v>
      </c>
      <c r="C6" s="2" t="s">
        <v>52</v>
      </c>
      <c r="D6" t="s">
        <v>29</v>
      </c>
      <c r="E6" s="2" t="s">
        <v>30</v>
      </c>
      <c r="F6" s="2">
        <v>37218</v>
      </c>
      <c r="G6" s="2" t="s">
        <v>31</v>
      </c>
      <c r="H6" t="s">
        <v>32</v>
      </c>
      <c r="I6" s="6">
        <v>42503</v>
      </c>
      <c r="J6" s="2" t="s">
        <v>53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54</v>
      </c>
      <c r="Q6" s="2">
        <v>13</v>
      </c>
      <c r="R6" s="2">
        <v>0</v>
      </c>
      <c r="S6" s="2">
        <v>0</v>
      </c>
      <c r="T6" t="s">
        <v>55</v>
      </c>
      <c r="U6" s="6">
        <v>41746</v>
      </c>
      <c r="V6" s="2">
        <v>47037013100</v>
      </c>
      <c r="W6" s="2" t="s">
        <v>38</v>
      </c>
      <c r="X6" s="1">
        <v>45658</v>
      </c>
      <c r="Y6" s="2">
        <v>46800</v>
      </c>
      <c r="Z6" s="2">
        <v>0</v>
      </c>
      <c r="AA6" s="2">
        <v>46800</v>
      </c>
    </row>
    <row r="7" spans="1:27" x14ac:dyDescent="0.3">
      <c r="A7" s="4" t="s">
        <v>27</v>
      </c>
      <c r="B7" s="2" t="str">
        <f>"04500000600"</f>
        <v>04500000600</v>
      </c>
      <c r="C7" s="2" t="s">
        <v>56</v>
      </c>
      <c r="D7" t="s">
        <v>40</v>
      </c>
      <c r="E7" s="2" t="s">
        <v>30</v>
      </c>
      <c r="F7" s="2">
        <v>37015</v>
      </c>
      <c r="G7" s="2" t="s">
        <v>41</v>
      </c>
      <c r="H7" t="s">
        <v>32</v>
      </c>
      <c r="I7" s="6">
        <v>42310</v>
      </c>
      <c r="J7" s="2" t="s">
        <v>42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57</v>
      </c>
      <c r="Q7" s="2">
        <v>194.45</v>
      </c>
      <c r="R7" s="2">
        <v>0</v>
      </c>
      <c r="S7" s="2">
        <v>0</v>
      </c>
      <c r="T7" t="s">
        <v>58</v>
      </c>
      <c r="U7" s="6">
        <v>29641</v>
      </c>
      <c r="V7" s="2">
        <v>47037013100</v>
      </c>
      <c r="W7" s="2" t="s">
        <v>38</v>
      </c>
      <c r="X7" s="1">
        <v>45658</v>
      </c>
      <c r="Y7" s="2">
        <v>592400</v>
      </c>
      <c r="Z7" s="2">
        <v>0</v>
      </c>
      <c r="AA7" s="2">
        <v>592400</v>
      </c>
    </row>
    <row r="8" spans="1:27" x14ac:dyDescent="0.3">
      <c r="A8" s="4" t="s">
        <v>27</v>
      </c>
      <c r="B8" s="2" t="str">
        <f>"03800000300"</f>
        <v>03800000300</v>
      </c>
      <c r="C8" s="2" t="s">
        <v>56</v>
      </c>
      <c r="D8" t="s">
        <v>59</v>
      </c>
      <c r="E8" s="2" t="s">
        <v>30</v>
      </c>
      <c r="F8" s="2">
        <v>37080</v>
      </c>
      <c r="G8" s="2" t="s">
        <v>31</v>
      </c>
      <c r="H8" t="s">
        <v>32</v>
      </c>
      <c r="I8" s="6">
        <v>35223</v>
      </c>
      <c r="J8" s="2" t="s">
        <v>60</v>
      </c>
      <c r="K8" s="2" t="s">
        <v>34</v>
      </c>
      <c r="L8" t="s">
        <v>35</v>
      </c>
      <c r="M8" t="s">
        <v>29</v>
      </c>
      <c r="N8" t="s">
        <v>30</v>
      </c>
      <c r="O8">
        <v>37219</v>
      </c>
      <c r="P8" t="s">
        <v>61</v>
      </c>
      <c r="Q8" s="2">
        <v>1.73</v>
      </c>
      <c r="R8" s="2">
        <v>1912</v>
      </c>
      <c r="S8" s="2">
        <v>0</v>
      </c>
      <c r="T8" t="s">
        <v>62</v>
      </c>
      <c r="U8" s="6">
        <v>39702</v>
      </c>
      <c r="V8" s="2">
        <v>47037010104</v>
      </c>
      <c r="W8" s="2" t="s">
        <v>38</v>
      </c>
      <c r="X8" s="1">
        <v>45658</v>
      </c>
      <c r="Y8" s="2">
        <v>10400</v>
      </c>
      <c r="Z8" s="2">
        <v>0</v>
      </c>
      <c r="AA8" s="2">
        <v>10400</v>
      </c>
    </row>
    <row r="9" spans="1:27" x14ac:dyDescent="0.3">
      <c r="A9" s="4" t="s">
        <v>27</v>
      </c>
      <c r="B9" s="2" t="str">
        <f>"04900030700"</f>
        <v>04900030700</v>
      </c>
      <c r="C9" s="2" t="s">
        <v>63</v>
      </c>
      <c r="D9" t="s">
        <v>29</v>
      </c>
      <c r="E9" s="2" t="s">
        <v>30</v>
      </c>
      <c r="F9" s="2">
        <v>37207</v>
      </c>
      <c r="G9" s="2" t="s">
        <v>64</v>
      </c>
      <c r="H9" t="s">
        <v>32</v>
      </c>
      <c r="I9" s="6">
        <v>41141</v>
      </c>
      <c r="J9" s="2" t="s">
        <v>65</v>
      </c>
      <c r="K9" s="2">
        <v>0</v>
      </c>
      <c r="L9" t="s">
        <v>35</v>
      </c>
      <c r="M9" t="s">
        <v>29</v>
      </c>
      <c r="N9" t="s">
        <v>30</v>
      </c>
      <c r="O9">
        <v>37219</v>
      </c>
      <c r="P9" t="s">
        <v>66</v>
      </c>
      <c r="Q9" s="2">
        <v>1.99</v>
      </c>
      <c r="R9" s="2">
        <v>0</v>
      </c>
      <c r="S9" s="2">
        <v>0</v>
      </c>
      <c r="T9" t="s">
        <v>67</v>
      </c>
      <c r="U9" s="6">
        <v>29872</v>
      </c>
      <c r="V9" s="2">
        <v>47037010106</v>
      </c>
      <c r="W9" s="2" t="s">
        <v>68</v>
      </c>
      <c r="X9" s="1">
        <v>45658</v>
      </c>
      <c r="Y9" s="2">
        <v>193800</v>
      </c>
      <c r="Z9" s="2">
        <v>0</v>
      </c>
      <c r="AA9" s="2">
        <v>193800</v>
      </c>
    </row>
    <row r="10" spans="1:27" x14ac:dyDescent="0.3">
      <c r="A10" s="4" t="s">
        <v>27</v>
      </c>
      <c r="B10" s="2" t="str">
        <f>"06904023400"</f>
        <v>06904023400</v>
      </c>
      <c r="C10" s="2" t="s">
        <v>69</v>
      </c>
      <c r="D10" t="s">
        <v>29</v>
      </c>
      <c r="E10" s="2" t="s">
        <v>30</v>
      </c>
      <c r="F10" s="2">
        <v>37218</v>
      </c>
      <c r="G10" s="2" t="s">
        <v>64</v>
      </c>
      <c r="H10" t="s">
        <v>32</v>
      </c>
      <c r="I10" s="6">
        <v>41808</v>
      </c>
      <c r="J10" s="2" t="s">
        <v>70</v>
      </c>
      <c r="K10" s="2">
        <v>0</v>
      </c>
      <c r="L10" t="s">
        <v>35</v>
      </c>
      <c r="M10" t="s">
        <v>29</v>
      </c>
      <c r="N10" t="s">
        <v>30</v>
      </c>
      <c r="O10">
        <v>37219</v>
      </c>
      <c r="P10" t="s">
        <v>71</v>
      </c>
      <c r="Q10" s="2">
        <v>0.46</v>
      </c>
      <c r="R10" s="2">
        <v>104</v>
      </c>
      <c r="S10" s="2">
        <v>215</v>
      </c>
      <c r="T10" t="s">
        <v>72</v>
      </c>
      <c r="U10" s="6">
        <v>38806</v>
      </c>
      <c r="V10" s="2">
        <v>47037012801</v>
      </c>
      <c r="W10" s="2" t="s">
        <v>68</v>
      </c>
      <c r="X10" s="1">
        <v>45658</v>
      </c>
      <c r="Y10" s="2">
        <v>96300</v>
      </c>
      <c r="Z10" s="2">
        <v>0</v>
      </c>
      <c r="AA10" s="2">
        <v>96300</v>
      </c>
    </row>
    <row r="11" spans="1:27" x14ac:dyDescent="0.3">
      <c r="A11" s="4" t="s">
        <v>27</v>
      </c>
      <c r="B11" s="2" t="str">
        <f>"06904023700"</f>
        <v>06904023700</v>
      </c>
      <c r="C11" s="2" t="s">
        <v>73</v>
      </c>
      <c r="D11" t="s">
        <v>29</v>
      </c>
      <c r="E11" s="2" t="s">
        <v>30</v>
      </c>
      <c r="F11" s="2">
        <v>37218</v>
      </c>
      <c r="G11" s="2" t="s">
        <v>64</v>
      </c>
      <c r="H11" t="s">
        <v>32</v>
      </c>
      <c r="I11" s="6">
        <v>41808</v>
      </c>
      <c r="J11" s="2" t="s">
        <v>70</v>
      </c>
      <c r="K11" s="2">
        <v>0</v>
      </c>
      <c r="L11" t="s">
        <v>35</v>
      </c>
      <c r="M11" t="s">
        <v>29</v>
      </c>
      <c r="N11" t="s">
        <v>30</v>
      </c>
      <c r="O11">
        <v>37219</v>
      </c>
      <c r="P11" t="s">
        <v>74</v>
      </c>
      <c r="Q11" s="2">
        <v>0.45</v>
      </c>
      <c r="R11" s="2">
        <v>101</v>
      </c>
      <c r="S11" s="2">
        <v>195</v>
      </c>
      <c r="T11" t="s">
        <v>75</v>
      </c>
      <c r="U11" s="6">
        <v>41808</v>
      </c>
      <c r="V11" s="2">
        <v>47037012801</v>
      </c>
      <c r="W11" s="2" t="s">
        <v>68</v>
      </c>
      <c r="X11" s="1">
        <v>45658</v>
      </c>
      <c r="Y11" s="2">
        <v>96300</v>
      </c>
      <c r="Z11" s="2">
        <v>0</v>
      </c>
      <c r="AA11" s="2">
        <v>96300</v>
      </c>
    </row>
    <row r="12" spans="1:27" x14ac:dyDescent="0.3">
      <c r="A12" s="4" t="s">
        <v>27</v>
      </c>
      <c r="B12" s="2" t="str">
        <f>"06904023800"</f>
        <v>06904023800</v>
      </c>
      <c r="C12" s="2" t="s">
        <v>76</v>
      </c>
      <c r="D12" t="s">
        <v>29</v>
      </c>
      <c r="E12" s="2" t="s">
        <v>30</v>
      </c>
      <c r="F12" s="2">
        <v>37218</v>
      </c>
      <c r="G12" s="2" t="s">
        <v>77</v>
      </c>
      <c r="H12" t="s">
        <v>32</v>
      </c>
      <c r="I12" s="6">
        <v>41808</v>
      </c>
      <c r="J12" s="2" t="s">
        <v>70</v>
      </c>
      <c r="K12" s="2">
        <v>0</v>
      </c>
      <c r="L12" t="s">
        <v>35</v>
      </c>
      <c r="M12" t="s">
        <v>29</v>
      </c>
      <c r="N12" t="s">
        <v>30</v>
      </c>
      <c r="O12">
        <v>37219</v>
      </c>
      <c r="P12" t="s">
        <v>78</v>
      </c>
      <c r="Q12" s="2">
        <v>0.45</v>
      </c>
      <c r="R12" s="2">
        <v>101</v>
      </c>
      <c r="S12" s="2">
        <v>195</v>
      </c>
      <c r="T12" t="s">
        <v>75</v>
      </c>
      <c r="U12" s="6">
        <v>41808</v>
      </c>
      <c r="V12" s="2">
        <v>47037012801</v>
      </c>
      <c r="W12" s="2" t="s">
        <v>68</v>
      </c>
      <c r="X12" s="1">
        <v>45658</v>
      </c>
      <c r="Y12" s="2">
        <v>178000</v>
      </c>
      <c r="Z12" s="2">
        <v>81700</v>
      </c>
      <c r="AA12" s="2">
        <v>96300</v>
      </c>
    </row>
    <row r="13" spans="1:27" x14ac:dyDescent="0.3">
      <c r="A13" s="4" t="s">
        <v>27</v>
      </c>
      <c r="B13" s="2" t="str">
        <f>"06904023900"</f>
        <v>06904023900</v>
      </c>
      <c r="C13" s="2" t="s">
        <v>79</v>
      </c>
      <c r="D13" t="s">
        <v>29</v>
      </c>
      <c r="E13" s="2" t="s">
        <v>30</v>
      </c>
      <c r="F13" s="2">
        <v>37218</v>
      </c>
      <c r="G13" s="2" t="s">
        <v>64</v>
      </c>
      <c r="H13" t="s">
        <v>32</v>
      </c>
      <c r="I13" s="6">
        <v>41808</v>
      </c>
      <c r="J13" s="2" t="s">
        <v>70</v>
      </c>
      <c r="K13" s="2">
        <v>0</v>
      </c>
      <c r="L13" t="s">
        <v>35</v>
      </c>
      <c r="M13" t="s">
        <v>29</v>
      </c>
      <c r="N13" t="s">
        <v>30</v>
      </c>
      <c r="O13">
        <v>37219</v>
      </c>
      <c r="P13" t="s">
        <v>80</v>
      </c>
      <c r="Q13" s="2">
        <v>0.39</v>
      </c>
      <c r="R13" s="2">
        <v>98</v>
      </c>
      <c r="S13" s="2">
        <v>164</v>
      </c>
      <c r="T13" t="s">
        <v>81</v>
      </c>
      <c r="U13" s="6">
        <v>43298</v>
      </c>
      <c r="V13" s="2">
        <v>47037012801</v>
      </c>
      <c r="W13" s="2" t="s">
        <v>68</v>
      </c>
      <c r="X13" s="1">
        <v>45658</v>
      </c>
      <c r="Y13" s="2">
        <v>90000</v>
      </c>
      <c r="Z13" s="2">
        <v>0</v>
      </c>
      <c r="AA13" s="2">
        <v>90000</v>
      </c>
    </row>
    <row r="14" spans="1:27" x14ac:dyDescent="0.3">
      <c r="A14" s="4" t="s">
        <v>27</v>
      </c>
      <c r="B14" s="2" t="str">
        <f>"06904023600"</f>
        <v>06904023600</v>
      </c>
      <c r="C14" s="2" t="s">
        <v>82</v>
      </c>
      <c r="D14" t="s">
        <v>29</v>
      </c>
      <c r="E14" s="2" t="s">
        <v>30</v>
      </c>
      <c r="F14" s="2">
        <v>37218</v>
      </c>
      <c r="G14" s="2" t="s">
        <v>64</v>
      </c>
      <c r="H14" t="s">
        <v>32</v>
      </c>
      <c r="I14" s="6">
        <v>41808</v>
      </c>
      <c r="J14" s="2" t="s">
        <v>70</v>
      </c>
      <c r="K14" s="2">
        <v>0</v>
      </c>
      <c r="L14" t="s">
        <v>35</v>
      </c>
      <c r="M14" t="s">
        <v>29</v>
      </c>
      <c r="N14" t="s">
        <v>30</v>
      </c>
      <c r="O14">
        <v>37219</v>
      </c>
      <c r="P14" t="s">
        <v>83</v>
      </c>
      <c r="Q14" s="2">
        <v>0.42</v>
      </c>
      <c r="R14" s="2">
        <v>106</v>
      </c>
      <c r="S14" s="2">
        <v>195</v>
      </c>
      <c r="T14" t="s">
        <v>81</v>
      </c>
      <c r="U14" s="6">
        <v>43298</v>
      </c>
      <c r="V14" s="2">
        <v>47037012801</v>
      </c>
      <c r="W14" s="2" t="s">
        <v>68</v>
      </c>
      <c r="X14" s="1">
        <v>45658</v>
      </c>
      <c r="Y14" s="2">
        <v>96300</v>
      </c>
      <c r="Z14" s="2">
        <v>0</v>
      </c>
      <c r="AA14" s="2">
        <v>96300</v>
      </c>
    </row>
    <row r="15" spans="1:27" x14ac:dyDescent="0.3">
      <c r="A15" s="4" t="s">
        <v>27</v>
      </c>
      <c r="B15" s="2" t="str">
        <f>"06908002400"</f>
        <v>06908002400</v>
      </c>
      <c r="C15" s="2" t="s">
        <v>84</v>
      </c>
      <c r="D15" t="s">
        <v>29</v>
      </c>
      <c r="E15" s="2" t="s">
        <v>30</v>
      </c>
      <c r="F15" s="2">
        <v>37218</v>
      </c>
      <c r="G15" s="2" t="s">
        <v>64</v>
      </c>
      <c r="H15" t="s">
        <v>32</v>
      </c>
      <c r="I15" s="6">
        <v>41808</v>
      </c>
      <c r="J15" s="2" t="s">
        <v>70</v>
      </c>
      <c r="K15" s="2">
        <v>0</v>
      </c>
      <c r="L15" t="s">
        <v>85</v>
      </c>
      <c r="M15" t="s">
        <v>29</v>
      </c>
      <c r="N15" t="s">
        <v>30</v>
      </c>
      <c r="O15">
        <v>37219</v>
      </c>
      <c r="P15" t="s">
        <v>86</v>
      </c>
      <c r="Q15" s="2">
        <v>0.26</v>
      </c>
      <c r="R15" s="2">
        <v>0</v>
      </c>
      <c r="S15" s="2">
        <v>0</v>
      </c>
      <c r="T15" t="s">
        <v>87</v>
      </c>
      <c r="U15" s="6">
        <v>43522</v>
      </c>
      <c r="V15" s="2">
        <v>47037012801</v>
      </c>
      <c r="W15" s="2" t="s">
        <v>68</v>
      </c>
      <c r="X15" s="1">
        <v>45658</v>
      </c>
      <c r="Y15" s="2">
        <v>48100</v>
      </c>
      <c r="Z15" s="2">
        <v>0</v>
      </c>
      <c r="AA15" s="2">
        <v>48100</v>
      </c>
    </row>
    <row r="16" spans="1:27" x14ac:dyDescent="0.3">
      <c r="A16" s="4" t="s">
        <v>27</v>
      </c>
      <c r="B16" s="2" t="str">
        <f>"06908000100"</f>
        <v>06908000100</v>
      </c>
      <c r="C16" s="2" t="s">
        <v>88</v>
      </c>
      <c r="D16" t="s">
        <v>29</v>
      </c>
      <c r="E16" s="2" t="s">
        <v>30</v>
      </c>
      <c r="F16" s="2">
        <v>37218</v>
      </c>
      <c r="G16" s="2" t="s">
        <v>64</v>
      </c>
      <c r="H16" t="s">
        <v>32</v>
      </c>
      <c r="I16" s="6">
        <v>41808</v>
      </c>
      <c r="J16" s="2" t="s">
        <v>70</v>
      </c>
      <c r="K16" s="2">
        <v>0</v>
      </c>
      <c r="L16" t="s">
        <v>35</v>
      </c>
      <c r="M16" t="s">
        <v>29</v>
      </c>
      <c r="N16" t="s">
        <v>30</v>
      </c>
      <c r="O16">
        <v>37219</v>
      </c>
      <c r="P16" t="s">
        <v>86</v>
      </c>
      <c r="Q16" s="2">
        <v>69.78</v>
      </c>
      <c r="R16" s="2">
        <v>0</v>
      </c>
      <c r="S16" s="2">
        <v>0</v>
      </c>
      <c r="T16" t="s">
        <v>87</v>
      </c>
      <c r="U16" s="6">
        <v>43522</v>
      </c>
      <c r="V16" s="2">
        <v>47037012801</v>
      </c>
      <c r="W16" s="2" t="s">
        <v>68</v>
      </c>
      <c r="X16" s="1">
        <v>45658</v>
      </c>
      <c r="Y16" s="2">
        <v>492100</v>
      </c>
      <c r="Z16" s="2">
        <v>0</v>
      </c>
      <c r="AA16" s="2">
        <v>492100</v>
      </c>
    </row>
    <row r="17" spans="1:27" x14ac:dyDescent="0.3">
      <c r="A17" s="4" t="s">
        <v>27</v>
      </c>
      <c r="B17" s="2" t="str">
        <f>"04900030600"</f>
        <v>04900030600</v>
      </c>
      <c r="C17" s="2" t="s">
        <v>89</v>
      </c>
      <c r="D17" t="s">
        <v>29</v>
      </c>
      <c r="E17" s="2" t="s">
        <v>30</v>
      </c>
      <c r="F17" s="2">
        <v>37207</v>
      </c>
      <c r="G17" s="2" t="s">
        <v>64</v>
      </c>
      <c r="H17" t="s">
        <v>32</v>
      </c>
      <c r="I17" s="6">
        <v>41141</v>
      </c>
      <c r="J17" s="2" t="s">
        <v>90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66</v>
      </c>
      <c r="Q17" s="2">
        <v>1.87</v>
      </c>
      <c r="R17" s="2">
        <v>0</v>
      </c>
      <c r="S17" s="2">
        <v>0</v>
      </c>
      <c r="T17" t="s">
        <v>91</v>
      </c>
      <c r="U17" s="6">
        <v>34276</v>
      </c>
      <c r="V17" s="2">
        <v>47037010106</v>
      </c>
      <c r="W17" s="2" t="s">
        <v>68</v>
      </c>
      <c r="X17" s="1">
        <v>45658</v>
      </c>
      <c r="Y17" s="2">
        <v>6500</v>
      </c>
      <c r="Z17" s="2">
        <v>0</v>
      </c>
      <c r="AA17" s="2">
        <v>6500</v>
      </c>
    </row>
    <row r="18" spans="1:27" x14ac:dyDescent="0.3">
      <c r="A18" s="4" t="s">
        <v>27</v>
      </c>
      <c r="B18" s="2" t="str">
        <f>"04900009400"</f>
        <v>04900009400</v>
      </c>
      <c r="C18" s="2" t="s">
        <v>92</v>
      </c>
      <c r="D18" t="s">
        <v>29</v>
      </c>
      <c r="E18" s="2" t="s">
        <v>30</v>
      </c>
      <c r="F18" s="2">
        <v>37207</v>
      </c>
      <c r="G18" s="2" t="s">
        <v>64</v>
      </c>
      <c r="H18" t="s">
        <v>32</v>
      </c>
      <c r="I18" s="6">
        <v>41141</v>
      </c>
      <c r="J18" s="2" t="s">
        <v>93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94</v>
      </c>
      <c r="Q18" s="2">
        <v>1.69</v>
      </c>
      <c r="R18" s="2">
        <v>166</v>
      </c>
      <c r="S18" s="2">
        <v>456</v>
      </c>
      <c r="T18" t="s">
        <v>95</v>
      </c>
      <c r="U18" s="6">
        <v>34849</v>
      </c>
      <c r="V18" s="2">
        <v>47037010106</v>
      </c>
      <c r="W18" s="2" t="s">
        <v>68</v>
      </c>
      <c r="X18" s="1">
        <v>45658</v>
      </c>
      <c r="Y18" s="2">
        <v>5900</v>
      </c>
      <c r="Z18" s="2">
        <v>0</v>
      </c>
      <c r="AA18" s="2">
        <v>5900</v>
      </c>
    </row>
    <row r="19" spans="1:27" x14ac:dyDescent="0.3">
      <c r="A19" s="4" t="s">
        <v>27</v>
      </c>
      <c r="B19" s="2" t="str">
        <f>"04900030800"</f>
        <v>04900030800</v>
      </c>
      <c r="C19" s="2" t="s">
        <v>89</v>
      </c>
      <c r="D19" t="s">
        <v>29</v>
      </c>
      <c r="E19" s="2" t="s">
        <v>30</v>
      </c>
      <c r="F19" s="2">
        <v>37207</v>
      </c>
      <c r="G19" s="2" t="s">
        <v>64</v>
      </c>
      <c r="H19" t="s">
        <v>32</v>
      </c>
      <c r="I19" s="6">
        <v>41141</v>
      </c>
      <c r="J19" s="2" t="s">
        <v>96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66</v>
      </c>
      <c r="Q19" s="2">
        <v>2.36</v>
      </c>
      <c r="R19" s="2">
        <v>0</v>
      </c>
      <c r="S19" s="2">
        <v>0</v>
      </c>
      <c r="T19" t="s">
        <v>97</v>
      </c>
      <c r="U19" s="6">
        <v>34275</v>
      </c>
      <c r="V19" s="2">
        <v>47037010106</v>
      </c>
      <c r="W19" s="2" t="s">
        <v>68</v>
      </c>
      <c r="X19" s="1">
        <v>45658</v>
      </c>
      <c r="Y19" s="2">
        <v>8300</v>
      </c>
      <c r="Z19" s="2">
        <v>0</v>
      </c>
      <c r="AA19" s="2">
        <v>8300</v>
      </c>
    </row>
    <row r="20" spans="1:27" x14ac:dyDescent="0.3">
      <c r="A20" s="4" t="s">
        <v>27</v>
      </c>
      <c r="B20" s="2" t="str">
        <f>"01300001000"</f>
        <v>01300001000</v>
      </c>
      <c r="C20" s="2" t="s">
        <v>98</v>
      </c>
      <c r="D20" t="s">
        <v>59</v>
      </c>
      <c r="E20" s="2" t="s">
        <v>30</v>
      </c>
      <c r="F20" s="2">
        <v>37080</v>
      </c>
      <c r="G20" s="2" t="s">
        <v>31</v>
      </c>
      <c r="H20" t="s">
        <v>99</v>
      </c>
      <c r="I20" s="6">
        <v>40198</v>
      </c>
      <c r="J20" s="2" t="s">
        <v>100</v>
      </c>
      <c r="K20" s="2">
        <v>1668</v>
      </c>
      <c r="L20" t="s">
        <v>35</v>
      </c>
      <c r="M20" t="s">
        <v>29</v>
      </c>
      <c r="N20" t="s">
        <v>30</v>
      </c>
      <c r="O20">
        <v>37219</v>
      </c>
      <c r="P20" t="s">
        <v>101</v>
      </c>
      <c r="Q20" s="2">
        <v>0.27</v>
      </c>
      <c r="R20" s="2">
        <v>15</v>
      </c>
      <c r="S20" s="2">
        <v>401</v>
      </c>
      <c r="T20" t="s">
        <v>102</v>
      </c>
      <c r="U20" s="6">
        <v>4605</v>
      </c>
      <c r="V20" s="2">
        <v>47037010104</v>
      </c>
      <c r="W20" s="2" t="s">
        <v>38</v>
      </c>
      <c r="X20" s="1">
        <v>45658</v>
      </c>
      <c r="Y20" s="2">
        <v>800</v>
      </c>
      <c r="Z20" s="2">
        <v>0</v>
      </c>
      <c r="AA20" s="2">
        <v>800</v>
      </c>
    </row>
    <row r="21" spans="1:27" x14ac:dyDescent="0.3">
      <c r="A21" s="4" t="s">
        <v>27</v>
      </c>
      <c r="B21" s="2" t="str">
        <f>"02100007000"</f>
        <v>02100007000</v>
      </c>
      <c r="C21" s="2" t="s">
        <v>84</v>
      </c>
      <c r="D21" t="s">
        <v>103</v>
      </c>
      <c r="E21" s="2" t="s">
        <v>30</v>
      </c>
      <c r="F21" s="2">
        <v>37080</v>
      </c>
      <c r="G21" s="2" t="s">
        <v>31</v>
      </c>
      <c r="H21" t="s">
        <v>99</v>
      </c>
      <c r="I21" s="6">
        <v>37666</v>
      </c>
      <c r="J21" s="2" t="s">
        <v>104</v>
      </c>
      <c r="K21" s="2">
        <v>1217</v>
      </c>
      <c r="L21" t="s">
        <v>35</v>
      </c>
      <c r="M21" t="s">
        <v>29</v>
      </c>
      <c r="N21" t="s">
        <v>30</v>
      </c>
      <c r="O21">
        <v>37219</v>
      </c>
      <c r="P21" t="s">
        <v>105</v>
      </c>
      <c r="Q21" s="2">
        <v>0.32</v>
      </c>
      <c r="R21" s="2">
        <v>230</v>
      </c>
      <c r="S21" s="2">
        <v>110</v>
      </c>
      <c r="T21" t="s">
        <v>106</v>
      </c>
      <c r="U21" s="6">
        <v>24197</v>
      </c>
      <c r="V21" s="2">
        <v>47037010104</v>
      </c>
      <c r="W21" s="2" t="s">
        <v>38</v>
      </c>
      <c r="X21" s="1">
        <v>45658</v>
      </c>
      <c r="Y21" s="2">
        <v>12900</v>
      </c>
      <c r="Z21" s="2">
        <v>0</v>
      </c>
      <c r="AA21" s="2">
        <v>12900</v>
      </c>
    </row>
    <row r="22" spans="1:27" x14ac:dyDescent="0.3">
      <c r="A22" s="4" t="s">
        <v>27</v>
      </c>
      <c r="B22" s="2" t="str">
        <f>"03000015300"</f>
        <v>03000015300</v>
      </c>
      <c r="C22" s="2" t="s">
        <v>107</v>
      </c>
      <c r="D22" t="s">
        <v>103</v>
      </c>
      <c r="E22" s="2" t="s">
        <v>30</v>
      </c>
      <c r="F22" s="2">
        <v>37189</v>
      </c>
      <c r="G22" s="2" t="s">
        <v>31</v>
      </c>
      <c r="H22" t="s">
        <v>99</v>
      </c>
      <c r="I22" s="6">
        <v>41444</v>
      </c>
      <c r="J22" s="2" t="s">
        <v>108</v>
      </c>
      <c r="K22" s="2">
        <v>3500</v>
      </c>
      <c r="L22" t="s">
        <v>35</v>
      </c>
      <c r="M22" t="s">
        <v>29</v>
      </c>
      <c r="N22" t="s">
        <v>30</v>
      </c>
      <c r="O22">
        <v>37219</v>
      </c>
      <c r="P22" t="s">
        <v>109</v>
      </c>
      <c r="Q22" s="2">
        <v>1.06</v>
      </c>
      <c r="R22" s="2">
        <v>0</v>
      </c>
      <c r="S22" s="2">
        <v>0</v>
      </c>
      <c r="T22" t="s">
        <v>110</v>
      </c>
      <c r="U22" s="6">
        <v>32671</v>
      </c>
      <c r="V22" s="2">
        <v>47037010104</v>
      </c>
      <c r="W22" s="2" t="s">
        <v>38</v>
      </c>
      <c r="X22" s="1">
        <v>45658</v>
      </c>
      <c r="Y22" s="2">
        <v>9500</v>
      </c>
      <c r="Z22" s="2">
        <v>0</v>
      </c>
      <c r="AA22" s="2">
        <v>9500</v>
      </c>
    </row>
    <row r="23" spans="1:27" x14ac:dyDescent="0.3">
      <c r="A23" s="4" t="s">
        <v>27</v>
      </c>
      <c r="B23" s="2" t="str">
        <f>"02900023200"</f>
        <v>02900023200</v>
      </c>
      <c r="C23" s="2" t="s">
        <v>111</v>
      </c>
      <c r="D23" t="s">
        <v>59</v>
      </c>
      <c r="E23" s="2" t="s">
        <v>30</v>
      </c>
      <c r="F23" s="2">
        <v>37080</v>
      </c>
      <c r="G23" s="2" t="s">
        <v>31</v>
      </c>
      <c r="H23" t="s">
        <v>99</v>
      </c>
      <c r="I23" s="6">
        <v>41444</v>
      </c>
      <c r="J23" s="2" t="s">
        <v>112</v>
      </c>
      <c r="K23" s="2">
        <v>12004</v>
      </c>
      <c r="L23" t="s">
        <v>35</v>
      </c>
      <c r="M23" t="s">
        <v>29</v>
      </c>
      <c r="N23" t="s">
        <v>30</v>
      </c>
      <c r="O23">
        <v>37219</v>
      </c>
      <c r="P23" t="s">
        <v>113</v>
      </c>
      <c r="Q23" s="2">
        <v>1</v>
      </c>
      <c r="R23" s="2">
        <v>0</v>
      </c>
      <c r="S23" s="2">
        <v>0</v>
      </c>
      <c r="T23" t="s">
        <v>114</v>
      </c>
      <c r="U23" s="6">
        <v>23945</v>
      </c>
      <c r="V23" s="2">
        <v>47037010104</v>
      </c>
      <c r="W23" s="2" t="s">
        <v>38</v>
      </c>
      <c r="X23" s="1">
        <v>45658</v>
      </c>
      <c r="Y23" s="2">
        <v>65000</v>
      </c>
      <c r="Z23" s="2">
        <v>0</v>
      </c>
      <c r="AA23" s="2">
        <v>65000</v>
      </c>
    </row>
    <row r="24" spans="1:27" x14ac:dyDescent="0.3">
      <c r="A24" s="4" t="s">
        <v>27</v>
      </c>
      <c r="B24" s="2" t="str">
        <f>"04600003800"</f>
        <v>04600003800</v>
      </c>
      <c r="C24" s="2" t="s">
        <v>115</v>
      </c>
      <c r="D24" t="s">
        <v>40</v>
      </c>
      <c r="E24" s="2" t="s">
        <v>30</v>
      </c>
      <c r="F24" s="2">
        <v>37015</v>
      </c>
      <c r="G24" s="2" t="s">
        <v>31</v>
      </c>
      <c r="H24" t="s">
        <v>99</v>
      </c>
      <c r="I24" s="6">
        <v>37666</v>
      </c>
      <c r="J24" s="2" t="s">
        <v>116</v>
      </c>
      <c r="K24" s="2">
        <v>530</v>
      </c>
      <c r="L24" t="s">
        <v>35</v>
      </c>
      <c r="M24" t="s">
        <v>29</v>
      </c>
      <c r="N24" t="s">
        <v>30</v>
      </c>
      <c r="O24">
        <v>37219</v>
      </c>
      <c r="P24" t="s">
        <v>43</v>
      </c>
      <c r="Q24" s="2">
        <v>0.28000000000000003</v>
      </c>
      <c r="R24" s="2">
        <v>135</v>
      </c>
      <c r="S24" s="2">
        <v>90</v>
      </c>
      <c r="T24" t="s">
        <v>117</v>
      </c>
      <c r="U24" s="6">
        <v>34964</v>
      </c>
      <c r="V24" s="2">
        <v>47037013100</v>
      </c>
      <c r="W24" s="2" t="s">
        <v>38</v>
      </c>
      <c r="X24" s="1">
        <v>45658</v>
      </c>
      <c r="Y24" s="2">
        <v>31000</v>
      </c>
      <c r="Z24" s="2">
        <v>0</v>
      </c>
      <c r="AA24" s="2">
        <v>31000</v>
      </c>
    </row>
    <row r="25" spans="1:27" x14ac:dyDescent="0.3">
      <c r="A25" s="4" t="s">
        <v>27</v>
      </c>
      <c r="B25" s="2" t="str">
        <f>"06001004400"</f>
        <v>06001004400</v>
      </c>
      <c r="C25" s="2" t="s">
        <v>118</v>
      </c>
      <c r="D25" t="s">
        <v>29</v>
      </c>
      <c r="E25" s="2" t="s">
        <v>30</v>
      </c>
      <c r="F25" s="2">
        <v>37207</v>
      </c>
      <c r="G25" s="2" t="s">
        <v>64</v>
      </c>
      <c r="H25" t="s">
        <v>99</v>
      </c>
      <c r="I25" s="6">
        <v>42139</v>
      </c>
      <c r="J25" s="2" t="s">
        <v>119</v>
      </c>
      <c r="K25" s="2">
        <v>2321</v>
      </c>
      <c r="L25" t="s">
        <v>35</v>
      </c>
      <c r="M25" t="s">
        <v>29</v>
      </c>
      <c r="N25" t="s">
        <v>30</v>
      </c>
      <c r="O25">
        <v>37219</v>
      </c>
      <c r="P25" t="s">
        <v>120</v>
      </c>
      <c r="Q25" s="2">
        <v>0.04</v>
      </c>
      <c r="R25" s="2">
        <v>70</v>
      </c>
      <c r="S25" s="2">
        <v>66</v>
      </c>
      <c r="T25" t="s">
        <v>121</v>
      </c>
      <c r="U25" s="6">
        <v>21642</v>
      </c>
      <c r="V25" s="2">
        <v>47037012701</v>
      </c>
      <c r="W25" s="2" t="s">
        <v>68</v>
      </c>
      <c r="X25" s="1">
        <v>45658</v>
      </c>
      <c r="Y25" s="2">
        <v>2400</v>
      </c>
      <c r="Z25" s="2">
        <v>0</v>
      </c>
      <c r="AA25" s="2">
        <v>2400</v>
      </c>
    </row>
    <row r="26" spans="1:27" x14ac:dyDescent="0.3">
      <c r="A26" s="4" t="s">
        <v>27</v>
      </c>
      <c r="B26" s="2" t="str">
        <f>"06800007400"</f>
        <v>06800007400</v>
      </c>
      <c r="C26" s="2" t="s">
        <v>122</v>
      </c>
      <c r="D26" t="s">
        <v>29</v>
      </c>
      <c r="E26" s="2" t="s">
        <v>30</v>
      </c>
      <c r="F26" s="2">
        <v>37218</v>
      </c>
      <c r="G26" s="2" t="s">
        <v>31</v>
      </c>
      <c r="H26" t="s">
        <v>99</v>
      </c>
      <c r="I26" s="6">
        <v>39792</v>
      </c>
      <c r="J26" s="2" t="s">
        <v>123</v>
      </c>
      <c r="K26" s="2">
        <v>633</v>
      </c>
      <c r="L26" t="s">
        <v>35</v>
      </c>
      <c r="M26" t="s">
        <v>29</v>
      </c>
      <c r="N26" t="s">
        <v>30</v>
      </c>
      <c r="O26">
        <v>37219</v>
      </c>
      <c r="P26" t="s">
        <v>124</v>
      </c>
      <c r="Q26" s="2">
        <v>0.04</v>
      </c>
      <c r="R26" s="2">
        <v>31</v>
      </c>
      <c r="S26" s="2">
        <v>70</v>
      </c>
      <c r="T26" t="s">
        <v>125</v>
      </c>
      <c r="U26" s="6">
        <v>28426</v>
      </c>
      <c r="V26" s="2">
        <v>47037012802</v>
      </c>
      <c r="W26" s="2" t="s">
        <v>38</v>
      </c>
      <c r="X26" s="1">
        <v>45658</v>
      </c>
      <c r="Y26" s="2">
        <v>1900</v>
      </c>
      <c r="Z26" s="2">
        <v>0</v>
      </c>
      <c r="AA26" s="2">
        <v>1900</v>
      </c>
    </row>
    <row r="27" spans="1:27" x14ac:dyDescent="0.3">
      <c r="A27" s="4" t="s">
        <v>27</v>
      </c>
      <c r="B27" s="2" t="str">
        <f>"06900010500"</f>
        <v>06900010500</v>
      </c>
      <c r="C27" s="2" t="s">
        <v>126</v>
      </c>
      <c r="D27" t="s">
        <v>29</v>
      </c>
      <c r="E27" s="2" t="s">
        <v>30</v>
      </c>
      <c r="F27" s="2">
        <v>37218</v>
      </c>
      <c r="G27" s="2" t="s">
        <v>64</v>
      </c>
      <c r="H27" t="s">
        <v>99</v>
      </c>
      <c r="I27" s="6">
        <v>40772</v>
      </c>
      <c r="J27" s="2" t="s">
        <v>127</v>
      </c>
      <c r="K27" s="2">
        <v>364</v>
      </c>
      <c r="L27" t="s">
        <v>35</v>
      </c>
      <c r="M27" t="s">
        <v>29</v>
      </c>
      <c r="N27" t="s">
        <v>30</v>
      </c>
      <c r="O27">
        <v>37219</v>
      </c>
      <c r="P27" t="s">
        <v>128</v>
      </c>
      <c r="Q27" s="2">
        <v>0.12</v>
      </c>
      <c r="R27" s="2">
        <v>490</v>
      </c>
      <c r="S27" s="2">
        <v>80</v>
      </c>
      <c r="T27" t="s">
        <v>129</v>
      </c>
      <c r="U27" s="6">
        <v>34435</v>
      </c>
      <c r="V27" s="2">
        <v>47037013100</v>
      </c>
      <c r="W27" s="2" t="s">
        <v>68</v>
      </c>
      <c r="X27" s="1">
        <v>45658</v>
      </c>
      <c r="Y27" s="2">
        <v>600</v>
      </c>
      <c r="Z27" s="2">
        <v>0</v>
      </c>
      <c r="AA27" s="2">
        <v>600</v>
      </c>
    </row>
    <row r="28" spans="1:27" x14ac:dyDescent="0.3">
      <c r="A28" s="4" t="s">
        <v>27</v>
      </c>
      <c r="B28" s="2" t="str">
        <f>"05808000500"</f>
        <v>05808000500</v>
      </c>
      <c r="C28" s="2" t="s">
        <v>130</v>
      </c>
      <c r="D28" t="s">
        <v>29</v>
      </c>
      <c r="E28" s="2" t="s">
        <v>30</v>
      </c>
      <c r="F28" s="2">
        <v>37218</v>
      </c>
      <c r="G28" s="2" t="s">
        <v>64</v>
      </c>
      <c r="H28" t="s">
        <v>99</v>
      </c>
      <c r="I28" s="6">
        <v>41171</v>
      </c>
      <c r="J28" s="2" t="s">
        <v>131</v>
      </c>
      <c r="K28" s="2">
        <v>382</v>
      </c>
      <c r="L28" t="s">
        <v>35</v>
      </c>
      <c r="M28" t="s">
        <v>29</v>
      </c>
      <c r="N28" t="s">
        <v>30</v>
      </c>
      <c r="O28">
        <v>37219</v>
      </c>
      <c r="P28" t="s">
        <v>132</v>
      </c>
      <c r="Q28" s="2">
        <v>0.17</v>
      </c>
      <c r="R28" s="2">
        <v>0</v>
      </c>
      <c r="S28" s="2">
        <v>205</v>
      </c>
      <c r="T28" t="s">
        <v>133</v>
      </c>
      <c r="U28" s="6">
        <v>27640</v>
      </c>
      <c r="V28" s="2">
        <v>47037010105</v>
      </c>
      <c r="W28" s="2" t="s">
        <v>68</v>
      </c>
      <c r="X28" s="1">
        <v>45658</v>
      </c>
      <c r="Y28" s="2">
        <v>1200</v>
      </c>
      <c r="Z28" s="2">
        <v>0</v>
      </c>
      <c r="AA28" s="2">
        <v>1200</v>
      </c>
    </row>
    <row r="29" spans="1:27" x14ac:dyDescent="0.3">
      <c r="A29" s="4" t="s">
        <v>27</v>
      </c>
      <c r="B29" s="2" t="str">
        <f>"05905001100"</f>
        <v>05905001100</v>
      </c>
      <c r="C29" s="2" t="s">
        <v>134</v>
      </c>
      <c r="D29" t="s">
        <v>29</v>
      </c>
      <c r="E29" s="2" t="s">
        <v>30</v>
      </c>
      <c r="F29" s="2">
        <v>37218</v>
      </c>
      <c r="G29" s="2" t="s">
        <v>64</v>
      </c>
      <c r="H29" t="s">
        <v>99</v>
      </c>
      <c r="I29" s="6">
        <v>37118</v>
      </c>
      <c r="J29" s="2" t="s">
        <v>135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136</v>
      </c>
      <c r="Q29" s="2">
        <v>0.05</v>
      </c>
      <c r="R29" s="2">
        <v>100</v>
      </c>
      <c r="S29" s="2">
        <v>5</v>
      </c>
      <c r="T29" t="s">
        <v>137</v>
      </c>
      <c r="U29" s="6">
        <v>27372</v>
      </c>
      <c r="V29" s="2">
        <v>47037010105</v>
      </c>
      <c r="W29" s="2" t="s">
        <v>68</v>
      </c>
      <c r="X29" s="1">
        <v>45658</v>
      </c>
      <c r="Y29" s="2">
        <v>2000</v>
      </c>
      <c r="Z29" s="2">
        <v>0</v>
      </c>
      <c r="AA29" s="2">
        <v>2000</v>
      </c>
    </row>
    <row r="30" spans="1:27" x14ac:dyDescent="0.3">
      <c r="A30" s="4" t="s">
        <v>27</v>
      </c>
      <c r="B30" s="2" t="str">
        <f>"05905029600"</f>
        <v>05905029600</v>
      </c>
      <c r="C30" s="2" t="s">
        <v>138</v>
      </c>
      <c r="D30" t="s">
        <v>29</v>
      </c>
      <c r="E30" s="2" t="s">
        <v>30</v>
      </c>
      <c r="F30" s="2">
        <v>37218</v>
      </c>
      <c r="G30" s="2" t="s">
        <v>64</v>
      </c>
      <c r="H30" t="s">
        <v>99</v>
      </c>
      <c r="I30" s="6">
        <v>37118</v>
      </c>
      <c r="J30" s="2" t="s">
        <v>139</v>
      </c>
      <c r="K30" s="2">
        <v>0</v>
      </c>
      <c r="L30" t="s">
        <v>35</v>
      </c>
      <c r="M30" t="s">
        <v>29</v>
      </c>
      <c r="N30" t="s">
        <v>30</v>
      </c>
      <c r="O30">
        <v>37219</v>
      </c>
      <c r="P30" t="s">
        <v>140</v>
      </c>
      <c r="Q30" s="2">
        <v>0.01</v>
      </c>
      <c r="R30" s="2">
        <v>0</v>
      </c>
      <c r="S30" s="2">
        <v>13</v>
      </c>
      <c r="T30" t="s">
        <v>141</v>
      </c>
      <c r="U30" s="6">
        <v>26624</v>
      </c>
      <c r="V30" s="2">
        <v>47037010105</v>
      </c>
      <c r="W30" s="2" t="s">
        <v>68</v>
      </c>
      <c r="X30" s="1">
        <v>45658</v>
      </c>
      <c r="Y30" s="2">
        <v>2000</v>
      </c>
      <c r="Z30" s="2">
        <v>0</v>
      </c>
      <c r="AA30" s="2">
        <v>2000</v>
      </c>
    </row>
    <row r="31" spans="1:27" x14ac:dyDescent="0.3">
      <c r="A31" s="4" t="s">
        <v>27</v>
      </c>
      <c r="B31" s="2" t="str">
        <f>"06700008200"</f>
        <v>06700008200</v>
      </c>
      <c r="C31" s="2" t="s">
        <v>142</v>
      </c>
      <c r="D31" t="s">
        <v>29</v>
      </c>
      <c r="E31" s="2" t="s">
        <v>30</v>
      </c>
      <c r="F31" s="2">
        <v>37218</v>
      </c>
      <c r="G31" s="2" t="s">
        <v>64</v>
      </c>
      <c r="H31" t="s">
        <v>99</v>
      </c>
      <c r="I31" s="6">
        <v>41626</v>
      </c>
      <c r="J31" s="2" t="s">
        <v>143</v>
      </c>
      <c r="K31" s="2">
        <v>675</v>
      </c>
      <c r="L31" t="s">
        <v>35</v>
      </c>
      <c r="M31" t="s">
        <v>29</v>
      </c>
      <c r="N31" t="s">
        <v>30</v>
      </c>
      <c r="O31">
        <v>37219</v>
      </c>
      <c r="P31" t="s">
        <v>144</v>
      </c>
      <c r="Q31" s="2">
        <v>0.02</v>
      </c>
      <c r="R31" s="2">
        <v>70</v>
      </c>
      <c r="S31" s="2">
        <v>60</v>
      </c>
      <c r="T31" t="s">
        <v>145</v>
      </c>
      <c r="U31" s="6">
        <v>24169</v>
      </c>
      <c r="V31" s="2">
        <v>47037013100</v>
      </c>
      <c r="W31" s="2" t="s">
        <v>38</v>
      </c>
      <c r="X31" s="1">
        <v>45658</v>
      </c>
      <c r="Y31" s="2">
        <v>1200</v>
      </c>
      <c r="Z31" s="2">
        <v>0</v>
      </c>
      <c r="AA31" s="2">
        <v>1200</v>
      </c>
    </row>
    <row r="32" spans="1:27" x14ac:dyDescent="0.3">
      <c r="A32" s="4" t="s">
        <v>27</v>
      </c>
      <c r="B32" s="2" t="str">
        <f>"06900010300"</f>
        <v>06900010300</v>
      </c>
      <c r="C32" s="2" t="s">
        <v>146</v>
      </c>
      <c r="D32" t="s">
        <v>29</v>
      </c>
      <c r="E32" s="2" t="s">
        <v>30</v>
      </c>
      <c r="F32" s="2">
        <v>37218</v>
      </c>
      <c r="G32" s="2" t="s">
        <v>147</v>
      </c>
      <c r="H32" t="s">
        <v>148</v>
      </c>
      <c r="I32" s="6">
        <v>26830</v>
      </c>
      <c r="J32" s="2" t="s">
        <v>149</v>
      </c>
      <c r="K32" s="2" t="s">
        <v>34</v>
      </c>
      <c r="L32" t="s">
        <v>35</v>
      </c>
      <c r="M32" t="s">
        <v>29</v>
      </c>
      <c r="N32" t="s">
        <v>30</v>
      </c>
      <c r="O32">
        <v>37219</v>
      </c>
      <c r="P32" t="s">
        <v>150</v>
      </c>
      <c r="Q32" s="2">
        <v>0.8</v>
      </c>
      <c r="R32" s="2">
        <v>166</v>
      </c>
      <c r="S32" s="2">
        <v>200</v>
      </c>
      <c r="T32" t="s">
        <v>149</v>
      </c>
      <c r="U32" s="6">
        <v>26830</v>
      </c>
      <c r="V32" s="2">
        <v>47037012801</v>
      </c>
      <c r="W32" s="2" t="s">
        <v>68</v>
      </c>
      <c r="X32" s="1">
        <v>45658</v>
      </c>
      <c r="Y32" s="2">
        <v>296200</v>
      </c>
      <c r="Z32" s="2">
        <v>0</v>
      </c>
      <c r="AA32" s="2">
        <v>296200</v>
      </c>
    </row>
    <row r="33" spans="1:27" x14ac:dyDescent="0.3">
      <c r="A33" s="4" t="s">
        <v>27</v>
      </c>
      <c r="B33" s="2" t="str">
        <f>"06900022800"</f>
        <v>06900022800</v>
      </c>
      <c r="C33" s="2" t="s">
        <v>151</v>
      </c>
      <c r="D33" t="s">
        <v>29</v>
      </c>
      <c r="E33" s="2" t="s">
        <v>30</v>
      </c>
      <c r="F33" s="2">
        <v>37218</v>
      </c>
      <c r="G33" s="2" t="s">
        <v>152</v>
      </c>
      <c r="H33" t="s">
        <v>153</v>
      </c>
      <c r="I33" s="6">
        <v>36292</v>
      </c>
      <c r="J33" s="2" t="s">
        <v>154</v>
      </c>
      <c r="K33" s="2">
        <v>462000</v>
      </c>
      <c r="L33" t="s">
        <v>35</v>
      </c>
      <c r="M33" t="s">
        <v>29</v>
      </c>
      <c r="N33" t="s">
        <v>30</v>
      </c>
      <c r="O33">
        <v>37219</v>
      </c>
      <c r="P33" t="s">
        <v>155</v>
      </c>
      <c r="Q33" s="2">
        <v>3.21</v>
      </c>
      <c r="R33" s="2">
        <v>336</v>
      </c>
      <c r="S33" s="2">
        <v>250</v>
      </c>
      <c r="T33" t="s">
        <v>156</v>
      </c>
      <c r="U33" s="6">
        <v>43298</v>
      </c>
      <c r="V33" s="2">
        <v>47037012801</v>
      </c>
      <c r="W33" s="2" t="s">
        <v>68</v>
      </c>
      <c r="X33" s="1">
        <v>45658</v>
      </c>
      <c r="Y33" s="2">
        <v>950800</v>
      </c>
      <c r="Z33" s="2">
        <v>0</v>
      </c>
      <c r="AA33" s="2">
        <v>950800</v>
      </c>
    </row>
    <row r="34" spans="1:27" x14ac:dyDescent="0.3">
      <c r="A34" s="4" t="s">
        <v>27</v>
      </c>
      <c r="B34" s="2" t="str">
        <f>"08000002900"</f>
        <v>08000002900</v>
      </c>
      <c r="C34" s="2" t="s">
        <v>157</v>
      </c>
      <c r="D34" t="s">
        <v>29</v>
      </c>
      <c r="E34" s="2" t="s">
        <v>30</v>
      </c>
      <c r="F34" s="2">
        <v>37218</v>
      </c>
      <c r="G34" s="2" t="s">
        <v>31</v>
      </c>
      <c r="H34" t="s">
        <v>158</v>
      </c>
      <c r="I34" s="6">
        <v>18086</v>
      </c>
      <c r="J34" s="2" t="s">
        <v>159</v>
      </c>
      <c r="K34" s="2" t="s">
        <v>34</v>
      </c>
      <c r="L34" t="s">
        <v>35</v>
      </c>
      <c r="M34" t="s">
        <v>29</v>
      </c>
      <c r="N34" t="s">
        <v>30</v>
      </c>
      <c r="O34">
        <v>37219</v>
      </c>
      <c r="P34" t="s">
        <v>160</v>
      </c>
      <c r="Q34" s="2">
        <v>37.049999999999997</v>
      </c>
      <c r="R34" s="2">
        <v>0</v>
      </c>
      <c r="S34" s="2">
        <v>0</v>
      </c>
      <c r="T34" t="s">
        <v>161</v>
      </c>
      <c r="U34" s="6">
        <v>32549</v>
      </c>
      <c r="V34" s="2">
        <v>47037012802</v>
      </c>
      <c r="W34" s="2" t="s">
        <v>68</v>
      </c>
      <c r="X34" s="1">
        <v>45658</v>
      </c>
      <c r="Y34" s="2">
        <v>2000700</v>
      </c>
      <c r="Z34" s="2">
        <v>0</v>
      </c>
      <c r="AA34" s="2">
        <v>2000700</v>
      </c>
    </row>
    <row r="35" spans="1:27" x14ac:dyDescent="0.3">
      <c r="A35" s="4" t="s">
        <v>27</v>
      </c>
      <c r="B35" s="2" t="str">
        <f>"08012011100"</f>
        <v>08012011100</v>
      </c>
      <c r="C35" s="2" t="s">
        <v>162</v>
      </c>
      <c r="D35" t="s">
        <v>29</v>
      </c>
      <c r="E35" s="2" t="s">
        <v>30</v>
      </c>
      <c r="F35" s="2">
        <v>37218</v>
      </c>
      <c r="G35" s="2" t="s">
        <v>64</v>
      </c>
      <c r="H35" t="s">
        <v>158</v>
      </c>
      <c r="I35" s="6">
        <v>22866</v>
      </c>
      <c r="J35" s="2" t="s">
        <v>163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164</v>
      </c>
      <c r="Q35" s="2">
        <v>0.85</v>
      </c>
      <c r="R35" s="2">
        <v>0</v>
      </c>
      <c r="S35" s="2">
        <v>304</v>
      </c>
      <c r="T35" t="s">
        <v>163</v>
      </c>
      <c r="U35" s="6">
        <v>22866</v>
      </c>
      <c r="V35" s="2">
        <v>47037012802</v>
      </c>
      <c r="W35" s="2" t="s">
        <v>68</v>
      </c>
      <c r="X35" s="1">
        <v>45658</v>
      </c>
      <c r="Y35" s="2">
        <v>116400</v>
      </c>
      <c r="Z35" s="2">
        <v>0</v>
      </c>
      <c r="AA35" s="2">
        <v>116400</v>
      </c>
    </row>
    <row r="36" spans="1:27" x14ac:dyDescent="0.3">
      <c r="A36" s="4" t="s">
        <v>27</v>
      </c>
      <c r="B36" s="2" t="str">
        <f>"08000003500"</f>
        <v>08000003500</v>
      </c>
      <c r="C36" s="2" t="s">
        <v>165</v>
      </c>
      <c r="D36" t="s">
        <v>29</v>
      </c>
      <c r="E36" s="2" t="s">
        <v>30</v>
      </c>
      <c r="F36" s="2">
        <v>37218</v>
      </c>
      <c r="G36" s="2" t="s">
        <v>166</v>
      </c>
      <c r="H36" t="s">
        <v>167</v>
      </c>
      <c r="I36" s="6">
        <v>22866</v>
      </c>
      <c r="J36" s="2" t="s">
        <v>163</v>
      </c>
      <c r="K36" s="2" t="s">
        <v>34</v>
      </c>
      <c r="L36" t="s">
        <v>35</v>
      </c>
      <c r="M36" t="s">
        <v>29</v>
      </c>
      <c r="N36" t="s">
        <v>30</v>
      </c>
      <c r="O36">
        <v>37219</v>
      </c>
      <c r="P36" t="s">
        <v>168</v>
      </c>
      <c r="Q36" s="2">
        <v>494.44</v>
      </c>
      <c r="R36" s="2">
        <v>0</v>
      </c>
      <c r="S36" s="2">
        <v>0</v>
      </c>
      <c r="T36" t="s">
        <v>169</v>
      </c>
      <c r="U36" s="6">
        <v>43144</v>
      </c>
      <c r="V36" s="2">
        <v>47037012802</v>
      </c>
      <c r="W36" s="2" t="s">
        <v>68</v>
      </c>
      <c r="X36" s="1">
        <v>45658</v>
      </c>
      <c r="Y36" s="2">
        <v>16729400</v>
      </c>
      <c r="Z36" s="2">
        <v>8571100</v>
      </c>
      <c r="AA36" s="2">
        <v>8158300</v>
      </c>
    </row>
    <row r="37" spans="1:27" x14ac:dyDescent="0.3">
      <c r="A37" s="4" t="s">
        <v>27</v>
      </c>
      <c r="B37" s="2" t="str">
        <f>"02100003600"</f>
        <v>02100003600</v>
      </c>
      <c r="C37" s="2" t="s">
        <v>170</v>
      </c>
      <c r="D37" t="s">
        <v>59</v>
      </c>
      <c r="E37" s="2" t="s">
        <v>30</v>
      </c>
      <c r="F37" s="2">
        <v>37080</v>
      </c>
      <c r="G37" s="2" t="s">
        <v>152</v>
      </c>
      <c r="H37" t="s">
        <v>171</v>
      </c>
      <c r="I37" s="6">
        <v>40897</v>
      </c>
      <c r="J37" s="2" t="s">
        <v>172</v>
      </c>
      <c r="K37" s="2">
        <v>57000</v>
      </c>
      <c r="L37" t="s">
        <v>35</v>
      </c>
      <c r="M37" t="s">
        <v>29</v>
      </c>
      <c r="N37" t="s">
        <v>30</v>
      </c>
      <c r="O37">
        <v>37219</v>
      </c>
      <c r="P37" t="s">
        <v>173</v>
      </c>
      <c r="Q37" s="2">
        <v>3</v>
      </c>
      <c r="R37" s="2">
        <v>254</v>
      </c>
      <c r="S37" s="2">
        <v>514</v>
      </c>
      <c r="T37" t="s">
        <v>174</v>
      </c>
      <c r="U37" s="6">
        <v>40896</v>
      </c>
      <c r="V37" s="2">
        <v>47037010104</v>
      </c>
      <c r="W37" s="2" t="s">
        <v>38</v>
      </c>
      <c r="X37" s="1">
        <v>45658</v>
      </c>
      <c r="Y37" s="2">
        <v>156600</v>
      </c>
      <c r="Z37" s="2">
        <v>0</v>
      </c>
      <c r="AA37" s="2">
        <v>156600</v>
      </c>
    </row>
    <row r="38" spans="1:27" x14ac:dyDescent="0.3">
      <c r="A38" s="4" t="s">
        <v>27</v>
      </c>
      <c r="B38" s="2" t="str">
        <f>"06902000900"</f>
        <v>06902000900</v>
      </c>
      <c r="C38" s="2" t="s">
        <v>175</v>
      </c>
      <c r="D38" t="s">
        <v>29</v>
      </c>
      <c r="E38" s="2" t="s">
        <v>30</v>
      </c>
      <c r="F38" s="2">
        <v>37218</v>
      </c>
      <c r="G38" s="2" t="s">
        <v>64</v>
      </c>
      <c r="H38" t="s">
        <v>176</v>
      </c>
      <c r="I38" s="6">
        <v>23097</v>
      </c>
      <c r="J38" s="2" t="s">
        <v>177</v>
      </c>
      <c r="K38" s="2" t="s">
        <v>34</v>
      </c>
      <c r="L38" t="s">
        <v>178</v>
      </c>
      <c r="M38" t="s">
        <v>29</v>
      </c>
      <c r="N38" t="s">
        <v>30</v>
      </c>
      <c r="O38">
        <v>37246</v>
      </c>
      <c r="P38" t="s">
        <v>179</v>
      </c>
      <c r="Q38" s="2">
        <v>0.98</v>
      </c>
      <c r="R38" s="2">
        <v>195</v>
      </c>
      <c r="S38" s="2">
        <v>214</v>
      </c>
      <c r="T38" t="s">
        <v>177</v>
      </c>
      <c r="U38" s="6">
        <v>23097</v>
      </c>
      <c r="V38" s="2">
        <v>47037012801</v>
      </c>
      <c r="W38" s="2" t="s">
        <v>68</v>
      </c>
      <c r="X38" s="1">
        <v>45658</v>
      </c>
      <c r="Y38" s="2">
        <v>106700</v>
      </c>
      <c r="Z38" s="2">
        <v>0</v>
      </c>
      <c r="AA38" s="2">
        <v>106700</v>
      </c>
    </row>
    <row r="39" spans="1:27" x14ac:dyDescent="0.3">
      <c r="A39" s="4" t="s">
        <v>27</v>
      </c>
      <c r="B39" s="2" t="str">
        <f>"08008006300"</f>
        <v>08008006300</v>
      </c>
      <c r="C39" s="2" t="s">
        <v>180</v>
      </c>
      <c r="D39" t="s">
        <v>29</v>
      </c>
      <c r="E39" s="2" t="s">
        <v>30</v>
      </c>
      <c r="F39" s="2">
        <v>37218</v>
      </c>
      <c r="G39" s="2" t="s">
        <v>152</v>
      </c>
      <c r="H39" t="s">
        <v>176</v>
      </c>
      <c r="I39" s="6">
        <v>23078</v>
      </c>
      <c r="J39" s="2" t="s">
        <v>181</v>
      </c>
      <c r="K39" s="2" t="s">
        <v>34</v>
      </c>
      <c r="L39" t="s">
        <v>178</v>
      </c>
      <c r="M39" t="s">
        <v>29</v>
      </c>
      <c r="N39" t="s">
        <v>30</v>
      </c>
      <c r="O39">
        <v>37246</v>
      </c>
      <c r="P39" t="s">
        <v>182</v>
      </c>
      <c r="Q39" s="2">
        <v>0.16</v>
      </c>
      <c r="R39" s="2">
        <v>58</v>
      </c>
      <c r="S39" s="2">
        <v>133</v>
      </c>
      <c r="T39" t="s">
        <v>181</v>
      </c>
      <c r="U39" s="6">
        <v>23078</v>
      </c>
      <c r="V39" s="2">
        <v>47037012802</v>
      </c>
      <c r="W39" s="2" t="s">
        <v>68</v>
      </c>
      <c r="X39" s="1">
        <v>45658</v>
      </c>
      <c r="Y39" s="2">
        <v>102000</v>
      </c>
      <c r="Z39" s="2">
        <v>0</v>
      </c>
      <c r="AA39" s="2">
        <v>102000</v>
      </c>
    </row>
    <row r="40" spans="1:27" x14ac:dyDescent="0.3">
      <c r="A40" s="4" t="s">
        <v>27</v>
      </c>
      <c r="B40" s="2" t="str">
        <f>"04900005500"</f>
        <v>04900005500</v>
      </c>
      <c r="C40" s="2" t="s">
        <v>183</v>
      </c>
      <c r="D40" t="s">
        <v>29</v>
      </c>
      <c r="E40" s="2" t="s">
        <v>30</v>
      </c>
      <c r="F40" s="2">
        <v>37218</v>
      </c>
      <c r="G40" s="2" t="s">
        <v>152</v>
      </c>
      <c r="H40" t="s">
        <v>176</v>
      </c>
      <c r="I40" s="6">
        <v>29078</v>
      </c>
      <c r="J40" s="2" t="s">
        <v>184</v>
      </c>
      <c r="K40" s="2" t="s">
        <v>34</v>
      </c>
      <c r="L40" t="s">
        <v>178</v>
      </c>
      <c r="M40" t="s">
        <v>29</v>
      </c>
      <c r="N40" t="s">
        <v>30</v>
      </c>
      <c r="O40">
        <v>37246</v>
      </c>
      <c r="P40" t="s">
        <v>185</v>
      </c>
      <c r="Q40" s="2">
        <v>12.53</v>
      </c>
      <c r="R40" s="2">
        <v>0</v>
      </c>
      <c r="S40" s="2">
        <v>0</v>
      </c>
      <c r="T40" t="s">
        <v>184</v>
      </c>
      <c r="U40" s="6">
        <v>29078</v>
      </c>
      <c r="V40" s="2">
        <v>47037010105</v>
      </c>
      <c r="W40" s="2" t="s">
        <v>68</v>
      </c>
      <c r="X40" s="1">
        <v>45658</v>
      </c>
      <c r="Y40" s="2">
        <v>298800</v>
      </c>
      <c r="Z40" s="2">
        <v>0</v>
      </c>
      <c r="AA40" s="2">
        <v>298800</v>
      </c>
    </row>
    <row r="41" spans="1:27" x14ac:dyDescent="0.3">
      <c r="A41" s="4" t="s">
        <v>27</v>
      </c>
      <c r="B41" s="2" t="str">
        <f>"06912000101"</f>
        <v>06912000101</v>
      </c>
      <c r="C41" s="2" t="s">
        <v>186</v>
      </c>
      <c r="D41" t="s">
        <v>29</v>
      </c>
      <c r="E41" s="2" t="s">
        <v>30</v>
      </c>
      <c r="F41" s="2">
        <v>37218</v>
      </c>
      <c r="G41" s="2" t="s">
        <v>152</v>
      </c>
      <c r="H41" t="s">
        <v>176</v>
      </c>
      <c r="I41" s="6">
        <v>23586</v>
      </c>
      <c r="J41" s="2" t="s">
        <v>187</v>
      </c>
      <c r="K41" s="2" t="s">
        <v>34</v>
      </c>
      <c r="L41" t="s">
        <v>178</v>
      </c>
      <c r="M41" t="s">
        <v>29</v>
      </c>
      <c r="N41" t="s">
        <v>30</v>
      </c>
      <c r="O41">
        <v>37246</v>
      </c>
      <c r="P41" t="s">
        <v>188</v>
      </c>
      <c r="Q41" s="2">
        <v>5.6</v>
      </c>
      <c r="R41" s="2">
        <v>0</v>
      </c>
      <c r="S41" s="2">
        <v>0</v>
      </c>
      <c r="T41" t="s">
        <v>189</v>
      </c>
      <c r="U41" s="6">
        <v>33816</v>
      </c>
      <c r="V41" s="2">
        <v>47037012801</v>
      </c>
      <c r="W41" s="2" t="s">
        <v>68</v>
      </c>
      <c r="X41" s="1">
        <v>45658</v>
      </c>
      <c r="Y41" s="2">
        <v>424700</v>
      </c>
      <c r="Z41" s="2">
        <v>0</v>
      </c>
      <c r="AA41" s="2">
        <v>424700</v>
      </c>
    </row>
    <row r="42" spans="1:27" x14ac:dyDescent="0.3">
      <c r="A42" s="4" t="s">
        <v>27</v>
      </c>
      <c r="B42" s="2" t="str">
        <f>"06916018000"</f>
        <v>06916018000</v>
      </c>
      <c r="C42" s="2" t="s">
        <v>190</v>
      </c>
      <c r="D42" t="s">
        <v>29</v>
      </c>
      <c r="E42" s="2" t="s">
        <v>30</v>
      </c>
      <c r="F42" s="2">
        <v>37218</v>
      </c>
      <c r="G42" s="2" t="s">
        <v>152</v>
      </c>
      <c r="H42" t="s">
        <v>176</v>
      </c>
      <c r="I42" s="6">
        <v>16491</v>
      </c>
      <c r="J42" s="2" t="s">
        <v>191</v>
      </c>
      <c r="K42" s="2" t="s">
        <v>34</v>
      </c>
      <c r="L42" t="s">
        <v>178</v>
      </c>
      <c r="M42" t="s">
        <v>29</v>
      </c>
      <c r="N42" t="s">
        <v>30</v>
      </c>
      <c r="O42">
        <v>37246</v>
      </c>
      <c r="P42" t="s">
        <v>192</v>
      </c>
      <c r="Q42" s="2">
        <v>0.36</v>
      </c>
      <c r="R42" s="2">
        <v>60</v>
      </c>
      <c r="S42" s="2">
        <v>270</v>
      </c>
      <c r="T42" t="s">
        <v>191</v>
      </c>
      <c r="U42" s="6">
        <v>16491</v>
      </c>
      <c r="V42" s="2">
        <v>47037012802</v>
      </c>
      <c r="W42" s="2" t="s">
        <v>68</v>
      </c>
      <c r="X42" s="1">
        <v>45658</v>
      </c>
      <c r="Y42" s="2">
        <v>250000</v>
      </c>
      <c r="Z42" s="2">
        <v>0</v>
      </c>
      <c r="AA42" s="2">
        <v>250000</v>
      </c>
    </row>
    <row r="43" spans="1:27" x14ac:dyDescent="0.3">
      <c r="A43" s="4" t="s">
        <v>27</v>
      </c>
      <c r="B43" s="2" t="str">
        <f>"10100000100"</f>
        <v>10100000100</v>
      </c>
      <c r="C43" s="2" t="s">
        <v>193</v>
      </c>
      <c r="D43" t="s">
        <v>29</v>
      </c>
      <c r="E43" s="2" t="s">
        <v>30</v>
      </c>
      <c r="F43" s="2">
        <v>37218</v>
      </c>
      <c r="G43" s="2" t="s">
        <v>194</v>
      </c>
      <c r="H43" t="s">
        <v>195</v>
      </c>
      <c r="I43" s="6">
        <v>34782</v>
      </c>
      <c r="J43" s="2" t="s">
        <v>196</v>
      </c>
      <c r="K43" s="2">
        <v>12000000</v>
      </c>
      <c r="L43" t="s">
        <v>35</v>
      </c>
      <c r="M43" t="s">
        <v>29</v>
      </c>
      <c r="N43" t="s">
        <v>30</v>
      </c>
      <c r="O43">
        <v>37219</v>
      </c>
      <c r="P43" t="s">
        <v>197</v>
      </c>
      <c r="Q43" s="2">
        <v>808.74</v>
      </c>
      <c r="R43" s="2">
        <v>0</v>
      </c>
      <c r="S43" s="2">
        <v>0</v>
      </c>
      <c r="T43" t="s">
        <v>198</v>
      </c>
      <c r="U43" s="6">
        <v>27395</v>
      </c>
      <c r="V43" s="2">
        <v>47037013100</v>
      </c>
      <c r="W43" s="2" t="s">
        <v>38</v>
      </c>
      <c r="X43" s="1">
        <v>45658</v>
      </c>
      <c r="Y43" s="2">
        <v>7572800</v>
      </c>
      <c r="Z43" s="2">
        <v>1299000</v>
      </c>
      <c r="AA43" s="2">
        <v>6273800</v>
      </c>
    </row>
    <row r="44" spans="1:27" x14ac:dyDescent="0.3">
      <c r="A44" s="4" t="s">
        <v>27</v>
      </c>
      <c r="B44" s="2" t="str">
        <f>"05800012400"</f>
        <v>05800012400</v>
      </c>
      <c r="C44" s="2" t="s">
        <v>199</v>
      </c>
      <c r="D44" t="s">
        <v>29</v>
      </c>
      <c r="E44" s="2" t="s">
        <v>30</v>
      </c>
      <c r="F44" s="2">
        <v>37218</v>
      </c>
      <c r="G44" s="2" t="s">
        <v>200</v>
      </c>
      <c r="H44" t="s">
        <v>201</v>
      </c>
      <c r="I44" s="6">
        <v>29571</v>
      </c>
      <c r="J44" s="2" t="s">
        <v>202</v>
      </c>
      <c r="K44" s="2">
        <v>214000</v>
      </c>
      <c r="L44" t="s">
        <v>35</v>
      </c>
      <c r="M44" t="s">
        <v>29</v>
      </c>
      <c r="N44" t="s">
        <v>30</v>
      </c>
      <c r="O44">
        <v>37219</v>
      </c>
      <c r="P44" t="s">
        <v>203</v>
      </c>
      <c r="Q44" s="2">
        <v>16.440000000000001</v>
      </c>
      <c r="R44" s="2">
        <v>0</v>
      </c>
      <c r="S44" s="2">
        <v>0</v>
      </c>
      <c r="T44" t="s">
        <v>204</v>
      </c>
      <c r="U44" s="6">
        <v>27164</v>
      </c>
      <c r="V44" s="2">
        <v>47037012801</v>
      </c>
      <c r="W44" s="2" t="s">
        <v>68</v>
      </c>
      <c r="X44" s="1">
        <v>45658</v>
      </c>
      <c r="Y44" s="2">
        <v>465600</v>
      </c>
      <c r="Z44" s="2">
        <v>0</v>
      </c>
      <c r="AA44" s="2">
        <v>465600</v>
      </c>
    </row>
    <row r="45" spans="1:27" x14ac:dyDescent="0.3">
      <c r="A45" s="4" t="s">
        <v>27</v>
      </c>
      <c r="B45" s="2" t="str">
        <f>"02200013800"</f>
        <v>02200013800</v>
      </c>
      <c r="C45" s="2" t="s">
        <v>205</v>
      </c>
      <c r="D45" t="s">
        <v>59</v>
      </c>
      <c r="E45" s="2" t="s">
        <v>30</v>
      </c>
      <c r="F45" s="2">
        <v>37080</v>
      </c>
      <c r="G45" s="2" t="s">
        <v>200</v>
      </c>
      <c r="H45" t="s">
        <v>206</v>
      </c>
      <c r="I45" s="6">
        <v>32539</v>
      </c>
      <c r="J45" s="2" t="s">
        <v>207</v>
      </c>
      <c r="K45" s="2" t="s">
        <v>34</v>
      </c>
      <c r="L45" t="s">
        <v>35</v>
      </c>
      <c r="M45" t="s">
        <v>29</v>
      </c>
      <c r="N45" t="s">
        <v>30</v>
      </c>
      <c r="O45">
        <v>37219</v>
      </c>
      <c r="P45" t="s">
        <v>208</v>
      </c>
      <c r="Q45" s="2">
        <v>15.39</v>
      </c>
      <c r="R45" s="2">
        <v>0</v>
      </c>
      <c r="S45" s="2">
        <v>0</v>
      </c>
      <c r="T45" t="s">
        <v>209</v>
      </c>
      <c r="U45" s="6">
        <v>40178</v>
      </c>
      <c r="V45" s="2">
        <v>47037010104</v>
      </c>
      <c r="W45" s="2" t="s">
        <v>38</v>
      </c>
      <c r="X45" s="1">
        <v>45658</v>
      </c>
      <c r="Y45" s="2">
        <v>425400</v>
      </c>
      <c r="Z45" s="2">
        <v>0</v>
      </c>
      <c r="AA45" s="2">
        <v>425400</v>
      </c>
    </row>
    <row r="46" spans="1:27" x14ac:dyDescent="0.3">
      <c r="A46" s="4" t="s">
        <v>27</v>
      </c>
      <c r="B46" s="2" t="str">
        <f>"06903007201"</f>
        <v>06903007201</v>
      </c>
      <c r="C46" s="2" t="s">
        <v>210</v>
      </c>
      <c r="D46" t="s">
        <v>29</v>
      </c>
      <c r="E46" s="2" t="s">
        <v>30</v>
      </c>
      <c r="F46" s="2">
        <v>37218</v>
      </c>
      <c r="G46" s="2" t="s">
        <v>64</v>
      </c>
      <c r="H46" t="s">
        <v>211</v>
      </c>
      <c r="I46" s="6">
        <v>40695</v>
      </c>
      <c r="J46" s="2" t="s">
        <v>212</v>
      </c>
      <c r="K46" s="2">
        <v>0</v>
      </c>
      <c r="L46" t="s">
        <v>35</v>
      </c>
      <c r="M46" t="s">
        <v>29</v>
      </c>
      <c r="N46" t="s">
        <v>30</v>
      </c>
      <c r="O46">
        <v>37219</v>
      </c>
      <c r="P46" t="s">
        <v>213</v>
      </c>
      <c r="Q46" s="2">
        <v>0.64</v>
      </c>
      <c r="R46" s="2">
        <v>87</v>
      </c>
      <c r="S46" s="2">
        <v>316</v>
      </c>
      <c r="T46" t="s">
        <v>214</v>
      </c>
      <c r="U46" s="6">
        <v>23596</v>
      </c>
      <c r="V46" s="2">
        <v>47037012801</v>
      </c>
      <c r="W46" s="2" t="s">
        <v>68</v>
      </c>
      <c r="X46" s="1">
        <v>45658</v>
      </c>
      <c r="Y46" s="2">
        <v>1500</v>
      </c>
      <c r="Z46" s="2">
        <v>0</v>
      </c>
      <c r="AA46" s="2">
        <v>1500</v>
      </c>
    </row>
    <row r="47" spans="1:27" x14ac:dyDescent="0.3">
      <c r="A47" s="4" t="s">
        <v>27</v>
      </c>
      <c r="B47" s="2" t="str">
        <f>"06903007301"</f>
        <v>06903007301</v>
      </c>
      <c r="C47" s="2" t="s">
        <v>215</v>
      </c>
      <c r="D47" t="s">
        <v>29</v>
      </c>
      <c r="E47" s="2" t="s">
        <v>30</v>
      </c>
      <c r="F47" s="2">
        <v>37218</v>
      </c>
      <c r="G47" s="2" t="s">
        <v>64</v>
      </c>
      <c r="H47" t="s">
        <v>211</v>
      </c>
      <c r="I47" s="6">
        <v>40723</v>
      </c>
      <c r="J47" s="2" t="s">
        <v>216</v>
      </c>
      <c r="K47" s="2">
        <v>0</v>
      </c>
      <c r="L47" t="s">
        <v>35</v>
      </c>
      <c r="M47" t="s">
        <v>29</v>
      </c>
      <c r="N47" t="s">
        <v>30</v>
      </c>
      <c r="O47">
        <v>37219</v>
      </c>
      <c r="P47" t="s">
        <v>217</v>
      </c>
      <c r="Q47" s="2">
        <v>0.56999999999999995</v>
      </c>
      <c r="R47" s="2">
        <v>87</v>
      </c>
      <c r="S47" s="2">
        <v>290</v>
      </c>
      <c r="T47" t="s">
        <v>218</v>
      </c>
      <c r="U47" s="6">
        <v>23596</v>
      </c>
      <c r="V47" s="2">
        <v>47037012801</v>
      </c>
      <c r="W47" s="2" t="s">
        <v>68</v>
      </c>
      <c r="X47" s="1">
        <v>45658</v>
      </c>
      <c r="Y47" s="2">
        <v>1500</v>
      </c>
      <c r="Z47" s="2">
        <v>0</v>
      </c>
      <c r="AA47" s="2">
        <v>1500</v>
      </c>
    </row>
    <row r="48" spans="1:27" x14ac:dyDescent="0.3">
      <c r="A48" s="4" t="s">
        <v>27</v>
      </c>
      <c r="B48" s="2" t="str">
        <f>"06903007300"</f>
        <v>06903007300</v>
      </c>
      <c r="C48" s="2" t="s">
        <v>219</v>
      </c>
      <c r="D48" t="s">
        <v>29</v>
      </c>
      <c r="E48" s="2" t="s">
        <v>30</v>
      </c>
      <c r="F48" s="2">
        <v>37218</v>
      </c>
      <c r="G48" s="2" t="s">
        <v>64</v>
      </c>
      <c r="H48" t="s">
        <v>211</v>
      </c>
      <c r="I48" s="6">
        <v>40689</v>
      </c>
      <c r="J48" s="2" t="s">
        <v>220</v>
      </c>
      <c r="K48" s="2">
        <v>0</v>
      </c>
      <c r="L48" t="s">
        <v>35</v>
      </c>
      <c r="M48" t="s">
        <v>29</v>
      </c>
      <c r="N48" t="s">
        <v>30</v>
      </c>
      <c r="O48">
        <v>37219</v>
      </c>
      <c r="P48" t="s">
        <v>221</v>
      </c>
      <c r="Q48" s="2">
        <v>0.37</v>
      </c>
      <c r="R48" s="2">
        <v>76</v>
      </c>
      <c r="S48" s="2">
        <v>264</v>
      </c>
      <c r="T48" t="s">
        <v>222</v>
      </c>
      <c r="U48" s="6">
        <v>24068</v>
      </c>
      <c r="V48" s="2">
        <v>47037012801</v>
      </c>
      <c r="W48" s="2" t="s">
        <v>68</v>
      </c>
      <c r="X48" s="1">
        <v>45658</v>
      </c>
      <c r="Y48" s="2">
        <v>1500</v>
      </c>
      <c r="Z48" s="2">
        <v>0</v>
      </c>
      <c r="AA48" s="2">
        <v>1500</v>
      </c>
    </row>
    <row r="49" spans="1:27" x14ac:dyDescent="0.3">
      <c r="A49" s="4" t="s">
        <v>27</v>
      </c>
      <c r="B49" s="2" t="str">
        <f>"07000003600"</f>
        <v>07000003600</v>
      </c>
      <c r="C49" s="2" t="s">
        <v>223</v>
      </c>
      <c r="D49" t="s">
        <v>29</v>
      </c>
      <c r="E49" s="2" t="s">
        <v>30</v>
      </c>
      <c r="F49" s="2">
        <v>37218</v>
      </c>
      <c r="G49" s="2" t="s">
        <v>64</v>
      </c>
      <c r="H49" t="s">
        <v>211</v>
      </c>
      <c r="I49" s="6">
        <v>38862</v>
      </c>
      <c r="J49" s="2" t="s">
        <v>224</v>
      </c>
      <c r="K49" s="2">
        <v>50000</v>
      </c>
      <c r="L49" t="s">
        <v>35</v>
      </c>
      <c r="M49" t="s">
        <v>29</v>
      </c>
      <c r="N49" t="s">
        <v>30</v>
      </c>
      <c r="O49">
        <v>37219</v>
      </c>
      <c r="P49" t="s">
        <v>225</v>
      </c>
      <c r="Q49" s="2">
        <v>1</v>
      </c>
      <c r="R49" s="2">
        <v>0</v>
      </c>
      <c r="S49" s="2">
        <v>0</v>
      </c>
      <c r="T49" t="s">
        <v>226</v>
      </c>
      <c r="U49" s="6">
        <v>25890</v>
      </c>
      <c r="V49" s="2">
        <v>47037012801</v>
      </c>
      <c r="W49" s="2" t="s">
        <v>68</v>
      </c>
      <c r="X49" s="1">
        <v>45658</v>
      </c>
      <c r="Y49" s="2">
        <v>40000</v>
      </c>
      <c r="Z49" s="2">
        <v>0</v>
      </c>
      <c r="AA49" s="2">
        <v>40000</v>
      </c>
    </row>
    <row r="50" spans="1:27" x14ac:dyDescent="0.3">
      <c r="A50" s="4" t="s">
        <v>27</v>
      </c>
      <c r="B50" s="2" t="str">
        <f>"04000014200"</f>
        <v>04000014200</v>
      </c>
      <c r="C50" s="2" t="s">
        <v>227</v>
      </c>
      <c r="D50" t="s">
        <v>103</v>
      </c>
      <c r="E50" s="2" t="s">
        <v>30</v>
      </c>
      <c r="F50" s="2">
        <v>37189</v>
      </c>
      <c r="G50" s="2" t="s">
        <v>200</v>
      </c>
      <c r="H50" t="s">
        <v>228</v>
      </c>
      <c r="I50" s="6">
        <v>27565</v>
      </c>
      <c r="J50" s="2" t="s">
        <v>229</v>
      </c>
      <c r="K50" s="2" t="s">
        <v>34</v>
      </c>
      <c r="L50" t="s">
        <v>35</v>
      </c>
      <c r="M50" t="s">
        <v>29</v>
      </c>
      <c r="N50" t="s">
        <v>30</v>
      </c>
      <c r="O50">
        <v>37219</v>
      </c>
      <c r="P50" t="s">
        <v>230</v>
      </c>
      <c r="Q50" s="2">
        <v>20</v>
      </c>
      <c r="R50" s="2">
        <v>0</v>
      </c>
      <c r="S50" s="2">
        <v>0</v>
      </c>
      <c r="T50" t="s">
        <v>229</v>
      </c>
      <c r="U50" s="6">
        <v>27565</v>
      </c>
      <c r="V50" s="2">
        <v>47037010104</v>
      </c>
      <c r="W50" s="2" t="s">
        <v>38</v>
      </c>
      <c r="X50" s="1">
        <v>45658</v>
      </c>
      <c r="Y50" s="2">
        <v>381000</v>
      </c>
      <c r="Z50" s="2">
        <v>0</v>
      </c>
      <c r="AA50" s="2">
        <v>381000</v>
      </c>
    </row>
    <row r="51" spans="1:27" x14ac:dyDescent="0.3">
      <c r="A51" s="4" t="s">
        <v>27</v>
      </c>
      <c r="B51" s="2" t="str">
        <f>"03800002700"</f>
        <v>03800002700</v>
      </c>
      <c r="C51" s="2" t="s">
        <v>231</v>
      </c>
      <c r="D51" t="s">
        <v>59</v>
      </c>
      <c r="E51" s="2" t="s">
        <v>30</v>
      </c>
      <c r="F51" s="2">
        <v>37080</v>
      </c>
      <c r="G51" s="2" t="s">
        <v>31</v>
      </c>
      <c r="H51" t="s">
        <v>232</v>
      </c>
      <c r="I51" s="6">
        <v>40393</v>
      </c>
      <c r="J51" s="2" t="s">
        <v>233</v>
      </c>
      <c r="K51" s="2">
        <v>0</v>
      </c>
      <c r="L51" t="s">
        <v>35</v>
      </c>
      <c r="M51" t="s">
        <v>29</v>
      </c>
      <c r="N51" t="s">
        <v>30</v>
      </c>
      <c r="O51">
        <v>37219</v>
      </c>
      <c r="P51" t="s">
        <v>234</v>
      </c>
      <c r="Q51" s="2">
        <v>1600.74</v>
      </c>
      <c r="R51" s="2">
        <v>1615</v>
      </c>
      <c r="S51" s="2">
        <v>0</v>
      </c>
      <c r="T51" t="s">
        <v>235</v>
      </c>
      <c r="U51" s="6">
        <v>39968</v>
      </c>
      <c r="V51" s="2">
        <v>47037013100</v>
      </c>
      <c r="W51" s="2" t="s">
        <v>38</v>
      </c>
      <c r="X51" s="1">
        <v>45658</v>
      </c>
      <c r="Y51" s="2">
        <v>5396200</v>
      </c>
      <c r="Z51" s="2">
        <v>0</v>
      </c>
      <c r="AA51" s="2">
        <v>5396200</v>
      </c>
    </row>
    <row r="52" spans="1:27" x14ac:dyDescent="0.3">
      <c r="A52" s="4" t="s">
        <v>27</v>
      </c>
      <c r="B52" s="2" t="str">
        <f>"08008041800"</f>
        <v>08008041800</v>
      </c>
      <c r="C52" s="2" t="s">
        <v>236</v>
      </c>
      <c r="D52" t="s">
        <v>29</v>
      </c>
      <c r="E52" s="2" t="s">
        <v>30</v>
      </c>
      <c r="F52" s="2">
        <v>37218</v>
      </c>
      <c r="G52" s="2" t="s">
        <v>64</v>
      </c>
      <c r="H52" t="s">
        <v>237</v>
      </c>
      <c r="I52" s="6">
        <v>32323</v>
      </c>
      <c r="J52" s="2" t="s">
        <v>238</v>
      </c>
      <c r="K52" s="2" t="s">
        <v>34</v>
      </c>
      <c r="L52" t="s">
        <v>35</v>
      </c>
      <c r="M52" t="s">
        <v>29</v>
      </c>
      <c r="N52" t="s">
        <v>30</v>
      </c>
      <c r="O52">
        <v>37219</v>
      </c>
      <c r="P52" t="s">
        <v>239</v>
      </c>
      <c r="Q52" s="2">
        <v>0.41</v>
      </c>
      <c r="R52" s="2">
        <v>112</v>
      </c>
      <c r="S52" s="2">
        <v>131</v>
      </c>
      <c r="T52" t="s">
        <v>240</v>
      </c>
      <c r="U52" s="6">
        <v>35116</v>
      </c>
      <c r="V52" s="2">
        <v>47037012802</v>
      </c>
      <c r="W52" s="2" t="s">
        <v>68</v>
      </c>
      <c r="X52" s="1">
        <v>45658</v>
      </c>
      <c r="Y52" s="2">
        <v>98400</v>
      </c>
      <c r="Z52" s="2">
        <v>0</v>
      </c>
      <c r="AA52" s="2">
        <v>98400</v>
      </c>
    </row>
    <row r="53" spans="1:27" x14ac:dyDescent="0.3">
      <c r="A53" s="4" t="s">
        <v>27</v>
      </c>
      <c r="B53" s="2" t="str">
        <f>"02200008800"</f>
        <v>02200008800</v>
      </c>
      <c r="C53" s="2" t="s">
        <v>241</v>
      </c>
      <c r="D53" t="s">
        <v>103</v>
      </c>
      <c r="E53" s="2" t="s">
        <v>30</v>
      </c>
      <c r="F53" s="2">
        <v>37189</v>
      </c>
      <c r="G53" s="2" t="s">
        <v>152</v>
      </c>
      <c r="H53" t="s">
        <v>242</v>
      </c>
      <c r="I53" s="6">
        <v>16656</v>
      </c>
      <c r="J53" s="2" t="s">
        <v>243</v>
      </c>
      <c r="K53" s="2" t="s">
        <v>34</v>
      </c>
      <c r="L53" t="s">
        <v>35</v>
      </c>
      <c r="M53" t="s">
        <v>29</v>
      </c>
      <c r="N53" t="s">
        <v>30</v>
      </c>
      <c r="O53">
        <v>37219</v>
      </c>
      <c r="P53" t="s">
        <v>244</v>
      </c>
      <c r="Q53" s="2">
        <v>3</v>
      </c>
      <c r="R53" s="2">
        <v>0</v>
      </c>
      <c r="S53" s="2">
        <v>0</v>
      </c>
      <c r="T53" t="s">
        <v>243</v>
      </c>
      <c r="U53" s="6">
        <v>16656</v>
      </c>
      <c r="V53" s="2">
        <v>47037010104</v>
      </c>
      <c r="W53" s="2" t="s">
        <v>38</v>
      </c>
      <c r="X53" s="1">
        <v>45658</v>
      </c>
      <c r="Y53" s="2">
        <v>156600</v>
      </c>
      <c r="Z53" s="2">
        <v>0</v>
      </c>
      <c r="AA53" s="2">
        <v>156600</v>
      </c>
    </row>
    <row r="54" spans="1:27" x14ac:dyDescent="0.3">
      <c r="A54" s="4" t="s">
        <v>27</v>
      </c>
      <c r="B54" s="2" t="str">
        <f>"08100005400"</f>
        <v>08100005400</v>
      </c>
      <c r="C54" s="2" t="s">
        <v>142</v>
      </c>
      <c r="D54" t="s">
        <v>29</v>
      </c>
      <c r="E54" s="2" t="s">
        <v>30</v>
      </c>
      <c r="F54" s="2">
        <v>37218</v>
      </c>
      <c r="G54" s="2" t="s">
        <v>64</v>
      </c>
      <c r="H54" t="s">
        <v>245</v>
      </c>
      <c r="I54" s="6">
        <v>734</v>
      </c>
      <c r="J54" s="2" t="s">
        <v>246</v>
      </c>
      <c r="K54" s="2" t="s">
        <v>34</v>
      </c>
      <c r="L54" t="s">
        <v>35</v>
      </c>
      <c r="M54" t="s">
        <v>29</v>
      </c>
      <c r="N54" t="s">
        <v>30</v>
      </c>
      <c r="O54">
        <v>37219</v>
      </c>
      <c r="P54" t="s">
        <v>247</v>
      </c>
      <c r="Q54" s="2">
        <v>1.19</v>
      </c>
      <c r="R54" s="2">
        <v>290</v>
      </c>
      <c r="S54" s="2">
        <v>420</v>
      </c>
      <c r="T54" t="s">
        <v>246</v>
      </c>
      <c r="U54" s="6">
        <v>734</v>
      </c>
      <c r="V54" s="2">
        <v>47037012802</v>
      </c>
      <c r="W54" s="2" t="s">
        <v>68</v>
      </c>
      <c r="X54" s="1">
        <v>45658</v>
      </c>
      <c r="Y54" s="2">
        <v>132300</v>
      </c>
      <c r="Z54" s="2">
        <v>0</v>
      </c>
      <c r="AA54" s="2">
        <v>132300</v>
      </c>
    </row>
    <row r="55" spans="1:27" x14ac:dyDescent="0.3">
      <c r="A55" s="4" t="s">
        <v>27</v>
      </c>
      <c r="B55" s="2" t="str">
        <f>"06900002800"</f>
        <v>06900002800</v>
      </c>
      <c r="C55" s="2" t="s">
        <v>248</v>
      </c>
      <c r="D55" t="s">
        <v>29</v>
      </c>
      <c r="E55" s="2" t="s">
        <v>30</v>
      </c>
      <c r="F55" s="2">
        <v>37218</v>
      </c>
      <c r="G55" s="2" t="s">
        <v>64</v>
      </c>
      <c r="H55" t="s">
        <v>249</v>
      </c>
      <c r="I55" s="6">
        <v>40119</v>
      </c>
      <c r="J55" s="2" t="s">
        <v>250</v>
      </c>
      <c r="K55" s="2">
        <v>235000</v>
      </c>
      <c r="L55" t="s">
        <v>35</v>
      </c>
      <c r="M55" t="s">
        <v>29</v>
      </c>
      <c r="N55" t="s">
        <v>30</v>
      </c>
      <c r="O55">
        <v>37219</v>
      </c>
      <c r="P55" t="s">
        <v>251</v>
      </c>
      <c r="Q55" s="2">
        <v>32.5</v>
      </c>
      <c r="R55" s="2">
        <v>0</v>
      </c>
      <c r="S55" s="2">
        <v>0</v>
      </c>
      <c r="T55" t="s">
        <v>189</v>
      </c>
      <c r="U55" s="6">
        <v>33816</v>
      </c>
      <c r="V55" s="2">
        <v>47037012801</v>
      </c>
      <c r="W55" s="2" t="s">
        <v>68</v>
      </c>
      <c r="X55" s="1">
        <v>45658</v>
      </c>
      <c r="Y55" s="2">
        <v>143100</v>
      </c>
      <c r="Z55" s="2">
        <v>0</v>
      </c>
      <c r="AA55" s="2">
        <v>143100</v>
      </c>
    </row>
    <row r="56" spans="1:27" x14ac:dyDescent="0.3">
      <c r="A56" s="4" t="s">
        <v>27</v>
      </c>
      <c r="B56" s="2" t="str">
        <f>"04900004400"</f>
        <v>04900004400</v>
      </c>
      <c r="C56" s="2" t="s">
        <v>252</v>
      </c>
      <c r="D56" t="s">
        <v>103</v>
      </c>
      <c r="E56" s="2" t="s">
        <v>30</v>
      </c>
      <c r="F56" s="2">
        <v>37189</v>
      </c>
      <c r="G56" s="2" t="s">
        <v>253</v>
      </c>
      <c r="H56" t="s">
        <v>254</v>
      </c>
      <c r="I56" s="6">
        <v>18878</v>
      </c>
      <c r="J56" s="2" t="s">
        <v>255</v>
      </c>
      <c r="K56" s="2" t="s">
        <v>34</v>
      </c>
      <c r="L56" t="s">
        <v>35</v>
      </c>
      <c r="M56" t="s">
        <v>29</v>
      </c>
      <c r="N56" t="s">
        <v>30</v>
      </c>
      <c r="O56">
        <v>37219</v>
      </c>
      <c r="P56" t="s">
        <v>256</v>
      </c>
      <c r="Q56" s="2">
        <v>10.29</v>
      </c>
      <c r="R56" s="2">
        <v>0</v>
      </c>
      <c r="S56" s="2">
        <v>0</v>
      </c>
      <c r="T56" t="s">
        <v>255</v>
      </c>
      <c r="U56" s="6">
        <v>18878</v>
      </c>
      <c r="V56" s="2">
        <v>47037010105</v>
      </c>
      <c r="W56" s="2" t="s">
        <v>68</v>
      </c>
      <c r="X56" s="1">
        <v>45658</v>
      </c>
      <c r="Y56" s="2">
        <v>274200</v>
      </c>
      <c r="Z56" s="2">
        <v>0</v>
      </c>
      <c r="AA56" s="2">
        <v>274200</v>
      </c>
    </row>
    <row r="57" spans="1:27" x14ac:dyDescent="0.3">
      <c r="A57" s="4" t="s">
        <v>27</v>
      </c>
      <c r="B57" s="2" t="str">
        <f>"06916001000"</f>
        <v>06916001000</v>
      </c>
      <c r="C57" s="2" t="s">
        <v>257</v>
      </c>
      <c r="D57" t="s">
        <v>29</v>
      </c>
      <c r="E57" s="2" t="s">
        <v>30</v>
      </c>
      <c r="F57" s="2">
        <v>37218</v>
      </c>
      <c r="G57" s="2" t="s">
        <v>253</v>
      </c>
      <c r="H57" t="s">
        <v>258</v>
      </c>
      <c r="I57" s="6">
        <v>18402</v>
      </c>
      <c r="J57" s="2" t="s">
        <v>259</v>
      </c>
      <c r="K57" s="2" t="s">
        <v>34</v>
      </c>
      <c r="L57" t="s">
        <v>35</v>
      </c>
      <c r="M57" t="s">
        <v>29</v>
      </c>
      <c r="N57" t="s">
        <v>30</v>
      </c>
      <c r="O57">
        <v>37219</v>
      </c>
      <c r="P57" t="s">
        <v>260</v>
      </c>
      <c r="Q57" s="2">
        <v>18.86</v>
      </c>
      <c r="R57" s="2">
        <v>0</v>
      </c>
      <c r="S57" s="2">
        <v>0</v>
      </c>
      <c r="T57" t="s">
        <v>261</v>
      </c>
      <c r="U57" s="6">
        <v>43298</v>
      </c>
      <c r="V57" s="2">
        <v>47037012802</v>
      </c>
      <c r="W57" s="2" t="s">
        <v>68</v>
      </c>
      <c r="X57" s="1">
        <v>45658</v>
      </c>
      <c r="Y57" s="2">
        <v>3491600</v>
      </c>
      <c r="Z57" s="2">
        <v>0</v>
      </c>
      <c r="AA57" s="2">
        <v>3491600</v>
      </c>
    </row>
    <row r="58" spans="1:27" x14ac:dyDescent="0.3">
      <c r="A58" s="4" t="s">
        <v>27</v>
      </c>
      <c r="B58" s="2" t="str">
        <f>"06900001000"</f>
        <v>06900001000</v>
      </c>
      <c r="C58" s="2" t="s">
        <v>262</v>
      </c>
      <c r="D58" t="s">
        <v>29</v>
      </c>
      <c r="E58" s="2" t="s">
        <v>30</v>
      </c>
      <c r="F58" s="2">
        <v>37218</v>
      </c>
      <c r="G58" s="2" t="s">
        <v>253</v>
      </c>
      <c r="H58" t="s">
        <v>263</v>
      </c>
      <c r="I58" s="6">
        <v>34901</v>
      </c>
      <c r="J58" s="2" t="s">
        <v>264</v>
      </c>
      <c r="K58" s="2">
        <v>0</v>
      </c>
      <c r="L58" t="s">
        <v>35</v>
      </c>
      <c r="M58" t="s">
        <v>29</v>
      </c>
      <c r="N58" t="s">
        <v>30</v>
      </c>
      <c r="O58">
        <v>37219</v>
      </c>
      <c r="P58" t="s">
        <v>265</v>
      </c>
      <c r="Q58" s="2">
        <v>10.67</v>
      </c>
      <c r="R58" s="2">
        <v>0</v>
      </c>
      <c r="S58" s="2">
        <v>0</v>
      </c>
      <c r="T58" t="s">
        <v>266</v>
      </c>
      <c r="U58" s="6">
        <v>35034</v>
      </c>
      <c r="V58" s="2">
        <v>47037013100</v>
      </c>
      <c r="W58" s="2" t="s">
        <v>68</v>
      </c>
      <c r="X58" s="1">
        <v>45658</v>
      </c>
      <c r="Y58" s="2">
        <v>0</v>
      </c>
      <c r="Z58" s="2">
        <v>0</v>
      </c>
      <c r="AA58" s="2">
        <v>0</v>
      </c>
    </row>
    <row r="59" spans="1:27" x14ac:dyDescent="0.3">
      <c r="A59" s="4" t="s">
        <v>27</v>
      </c>
      <c r="B59" s="2" t="str">
        <f>"07013014300"</f>
        <v>07013014300</v>
      </c>
      <c r="C59" s="2" t="s">
        <v>267</v>
      </c>
      <c r="D59" t="s">
        <v>29</v>
      </c>
      <c r="E59" s="2" t="s">
        <v>30</v>
      </c>
      <c r="F59" s="2">
        <v>37218</v>
      </c>
      <c r="G59" s="2" t="s">
        <v>253</v>
      </c>
      <c r="H59" t="s">
        <v>268</v>
      </c>
      <c r="I59" s="6">
        <v>8949</v>
      </c>
      <c r="J59" s="2" t="s">
        <v>269</v>
      </c>
      <c r="K59" s="2">
        <v>0</v>
      </c>
      <c r="L59" t="s">
        <v>35</v>
      </c>
      <c r="M59" t="s">
        <v>29</v>
      </c>
      <c r="N59" t="s">
        <v>30</v>
      </c>
      <c r="O59">
        <v>37219</v>
      </c>
      <c r="P59" t="s">
        <v>270</v>
      </c>
      <c r="Q59" s="2">
        <v>4.0999999999999996</v>
      </c>
      <c r="R59" s="2">
        <v>0</v>
      </c>
      <c r="S59" s="2">
        <v>0</v>
      </c>
      <c r="T59" t="s">
        <v>269</v>
      </c>
      <c r="U59" s="6">
        <v>8949</v>
      </c>
      <c r="V59" s="2">
        <v>47037012802</v>
      </c>
      <c r="W59" s="2" t="s">
        <v>68</v>
      </c>
      <c r="X59" s="1">
        <v>45658</v>
      </c>
      <c r="Y59" s="2">
        <v>330900</v>
      </c>
      <c r="Z59" s="2">
        <v>0</v>
      </c>
      <c r="AA59" s="2">
        <v>330900</v>
      </c>
    </row>
    <row r="60" spans="1:27" x14ac:dyDescent="0.3">
      <c r="A60" s="4" t="s">
        <v>27</v>
      </c>
      <c r="B60" s="2" t="str">
        <f>"02200001900"</f>
        <v>02200001900</v>
      </c>
      <c r="C60" s="2" t="s">
        <v>271</v>
      </c>
      <c r="D60" t="s">
        <v>59</v>
      </c>
      <c r="E60" s="2" t="s">
        <v>30</v>
      </c>
      <c r="F60" s="2">
        <v>37080</v>
      </c>
      <c r="G60" s="2" t="s">
        <v>253</v>
      </c>
      <c r="H60" t="s">
        <v>272</v>
      </c>
      <c r="I60" s="6">
        <v>7898</v>
      </c>
      <c r="J60" s="2" t="s">
        <v>273</v>
      </c>
      <c r="K60" s="2" t="s">
        <v>34</v>
      </c>
      <c r="L60" t="s">
        <v>35</v>
      </c>
      <c r="M60" t="s">
        <v>29</v>
      </c>
      <c r="N60" t="s">
        <v>30</v>
      </c>
      <c r="O60">
        <v>37219</v>
      </c>
      <c r="P60" t="s">
        <v>274</v>
      </c>
      <c r="Q60" s="2">
        <v>29.3</v>
      </c>
      <c r="R60" s="2">
        <v>0</v>
      </c>
      <c r="S60" s="2">
        <v>0</v>
      </c>
      <c r="T60" t="s">
        <v>273</v>
      </c>
      <c r="U60" s="6">
        <v>7898</v>
      </c>
      <c r="V60" s="2">
        <v>47037010104</v>
      </c>
      <c r="W60" s="2" t="s">
        <v>38</v>
      </c>
      <c r="X60" s="1">
        <v>45658</v>
      </c>
      <c r="Y60" s="2">
        <v>629100</v>
      </c>
      <c r="Z60" s="2">
        <v>0</v>
      </c>
      <c r="AA60" s="2">
        <v>629100</v>
      </c>
    </row>
    <row r="61" spans="1:27" x14ac:dyDescent="0.3">
      <c r="A61" s="4" t="s">
        <v>27</v>
      </c>
      <c r="B61" s="2" t="str">
        <f>"04000012000"</f>
        <v>04000012000</v>
      </c>
      <c r="C61" s="2" t="s">
        <v>275</v>
      </c>
      <c r="D61" t="s">
        <v>103</v>
      </c>
      <c r="E61" s="2" t="s">
        <v>30</v>
      </c>
      <c r="F61" s="2">
        <v>37189</v>
      </c>
      <c r="G61" s="2" t="s">
        <v>253</v>
      </c>
      <c r="H61" t="s">
        <v>276</v>
      </c>
      <c r="I61" s="6">
        <v>27565</v>
      </c>
      <c r="J61" s="2" t="s">
        <v>229</v>
      </c>
      <c r="K61" s="2" t="s">
        <v>34</v>
      </c>
      <c r="L61" t="s">
        <v>35</v>
      </c>
      <c r="M61" t="s">
        <v>29</v>
      </c>
      <c r="N61" t="s">
        <v>30</v>
      </c>
      <c r="O61">
        <v>37219</v>
      </c>
      <c r="P61" t="s">
        <v>277</v>
      </c>
      <c r="Q61" s="2">
        <v>47.77</v>
      </c>
      <c r="R61" s="2">
        <v>0</v>
      </c>
      <c r="S61" s="2">
        <v>0</v>
      </c>
      <c r="T61" t="s">
        <v>278</v>
      </c>
      <c r="U61" s="6">
        <v>29325</v>
      </c>
      <c r="V61" s="2">
        <v>47037010104</v>
      </c>
      <c r="W61" s="2" t="s">
        <v>38</v>
      </c>
      <c r="X61" s="1">
        <v>45658</v>
      </c>
      <c r="Y61" s="2">
        <v>662900</v>
      </c>
      <c r="Z61" s="2">
        <v>0</v>
      </c>
      <c r="AA61" s="2">
        <v>662900</v>
      </c>
    </row>
    <row r="62" spans="1:27" x14ac:dyDescent="0.3">
      <c r="A62" s="4" t="s">
        <v>27</v>
      </c>
      <c r="B62" s="2" t="str">
        <f>"02200009100"</f>
        <v>02200009100</v>
      </c>
      <c r="C62" s="2" t="s">
        <v>279</v>
      </c>
      <c r="D62" t="s">
        <v>59</v>
      </c>
      <c r="E62" s="2" t="s">
        <v>30</v>
      </c>
      <c r="F62" s="2">
        <v>37080</v>
      </c>
      <c r="G62" s="2" t="s">
        <v>253</v>
      </c>
      <c r="H62" t="s">
        <v>280</v>
      </c>
      <c r="I62" s="6">
        <v>33535</v>
      </c>
      <c r="J62" s="2" t="s">
        <v>281</v>
      </c>
      <c r="K62" s="2" t="s">
        <v>34</v>
      </c>
      <c r="L62" t="s">
        <v>35</v>
      </c>
      <c r="M62" t="s">
        <v>29</v>
      </c>
      <c r="N62" t="s">
        <v>30</v>
      </c>
      <c r="O62">
        <v>37219</v>
      </c>
      <c r="P62" t="s">
        <v>282</v>
      </c>
      <c r="Q62" s="2">
        <v>1.88</v>
      </c>
      <c r="R62" s="2">
        <v>228</v>
      </c>
      <c r="S62" s="2">
        <v>148</v>
      </c>
      <c r="T62" t="s">
        <v>283</v>
      </c>
      <c r="U62" s="6">
        <v>39008</v>
      </c>
      <c r="V62" s="2">
        <v>47037010104</v>
      </c>
      <c r="W62" s="2" t="s">
        <v>38</v>
      </c>
      <c r="X62" s="1">
        <v>45658</v>
      </c>
      <c r="Y62" s="2">
        <v>104900</v>
      </c>
      <c r="Z62" s="2">
        <v>0</v>
      </c>
      <c r="AA62" s="2">
        <v>104900</v>
      </c>
    </row>
    <row r="63" spans="1:27" x14ac:dyDescent="0.3">
      <c r="A63" s="4" t="s">
        <v>27</v>
      </c>
      <c r="B63" s="2" t="str">
        <f>"04000001001"</f>
        <v>04000001001</v>
      </c>
      <c r="C63" s="2" t="s">
        <v>284</v>
      </c>
      <c r="D63" t="s">
        <v>103</v>
      </c>
      <c r="E63" s="2" t="s">
        <v>30</v>
      </c>
      <c r="F63" s="2">
        <v>37189</v>
      </c>
      <c r="G63" s="2" t="s">
        <v>152</v>
      </c>
      <c r="H63" t="s">
        <v>280</v>
      </c>
      <c r="I63" s="6">
        <v>27030</v>
      </c>
      <c r="J63" s="2" t="s">
        <v>285</v>
      </c>
      <c r="K63" s="2" t="s">
        <v>34</v>
      </c>
      <c r="L63" t="s">
        <v>35</v>
      </c>
      <c r="M63" t="s">
        <v>29</v>
      </c>
      <c r="N63" t="s">
        <v>30</v>
      </c>
      <c r="O63">
        <v>37219</v>
      </c>
      <c r="P63" t="s">
        <v>286</v>
      </c>
      <c r="Q63" s="2">
        <v>0.91</v>
      </c>
      <c r="R63" s="2">
        <v>200</v>
      </c>
      <c r="S63" s="2">
        <v>200</v>
      </c>
      <c r="T63" t="s">
        <v>287</v>
      </c>
      <c r="U63" s="6">
        <v>23498</v>
      </c>
      <c r="V63" s="2">
        <v>47037010104</v>
      </c>
      <c r="W63" s="2" t="s">
        <v>38</v>
      </c>
      <c r="X63" s="1">
        <v>45658</v>
      </c>
      <c r="Y63" s="2">
        <v>31900</v>
      </c>
      <c r="Z63" s="2">
        <v>0</v>
      </c>
      <c r="AA63" s="2">
        <v>31900</v>
      </c>
    </row>
    <row r="64" spans="1:27" x14ac:dyDescent="0.3">
      <c r="A64" s="4" t="s">
        <v>27</v>
      </c>
      <c r="B64" s="2" t="str">
        <f>"04000000101"</f>
        <v>04000000101</v>
      </c>
      <c r="C64" s="2" t="s">
        <v>89</v>
      </c>
      <c r="D64" t="s">
        <v>59</v>
      </c>
      <c r="E64" s="2" t="s">
        <v>30</v>
      </c>
      <c r="F64" s="2">
        <v>37080</v>
      </c>
      <c r="G64" s="2" t="s">
        <v>152</v>
      </c>
      <c r="H64" t="s">
        <v>280</v>
      </c>
      <c r="I64" s="6">
        <v>27030</v>
      </c>
      <c r="J64" s="2" t="s">
        <v>285</v>
      </c>
      <c r="K64" s="2" t="s">
        <v>34</v>
      </c>
      <c r="L64" t="s">
        <v>35</v>
      </c>
      <c r="M64" t="s">
        <v>29</v>
      </c>
      <c r="N64" t="s">
        <v>30</v>
      </c>
      <c r="O64">
        <v>37219</v>
      </c>
      <c r="P64" t="s">
        <v>288</v>
      </c>
      <c r="Q64" s="2">
        <v>0.12</v>
      </c>
      <c r="R64" s="2">
        <v>70</v>
      </c>
      <c r="S64" s="2">
        <v>51</v>
      </c>
      <c r="T64" t="s">
        <v>289</v>
      </c>
      <c r="U64" s="6">
        <v>23498</v>
      </c>
      <c r="V64" s="2">
        <v>47037010104</v>
      </c>
      <c r="W64" s="2" t="s">
        <v>38</v>
      </c>
      <c r="X64" s="1">
        <v>45658</v>
      </c>
      <c r="Y64" s="2">
        <v>1100</v>
      </c>
      <c r="Z64" s="2">
        <v>0</v>
      </c>
      <c r="AA64" s="2">
        <v>1100</v>
      </c>
    </row>
    <row r="65" spans="1:27" x14ac:dyDescent="0.3">
      <c r="A65" s="4" t="s">
        <v>27</v>
      </c>
      <c r="B65" s="2" t="str">
        <f>"05700008600"</f>
        <v>05700008600</v>
      </c>
      <c r="C65" s="2" t="s">
        <v>290</v>
      </c>
      <c r="D65" t="s">
        <v>40</v>
      </c>
      <c r="E65" s="2" t="s">
        <v>30</v>
      </c>
      <c r="F65" s="2">
        <v>37015</v>
      </c>
      <c r="G65" s="2" t="s">
        <v>152</v>
      </c>
      <c r="H65" t="s">
        <v>280</v>
      </c>
      <c r="I65" s="6">
        <v>27030</v>
      </c>
      <c r="J65" s="2" t="s">
        <v>285</v>
      </c>
      <c r="K65" s="2" t="s">
        <v>34</v>
      </c>
      <c r="L65" t="s">
        <v>35</v>
      </c>
      <c r="M65" t="s">
        <v>29</v>
      </c>
      <c r="N65" t="s">
        <v>30</v>
      </c>
      <c r="O65">
        <v>37219</v>
      </c>
      <c r="P65" t="s">
        <v>291</v>
      </c>
      <c r="Q65" s="2">
        <v>0.56000000000000005</v>
      </c>
      <c r="R65" s="2">
        <v>168</v>
      </c>
      <c r="S65" s="2">
        <v>172</v>
      </c>
      <c r="T65" t="s">
        <v>292</v>
      </c>
      <c r="U65" s="6">
        <v>24992</v>
      </c>
      <c r="V65" s="2">
        <v>47037013100</v>
      </c>
      <c r="W65" s="2" t="s">
        <v>38</v>
      </c>
      <c r="X65" s="1">
        <v>45658</v>
      </c>
      <c r="Y65" s="2">
        <v>4500</v>
      </c>
      <c r="Z65" s="2">
        <v>0</v>
      </c>
      <c r="AA65" s="2">
        <v>4500</v>
      </c>
    </row>
    <row r="66" spans="1:27" x14ac:dyDescent="0.3">
      <c r="A66" s="4" t="s">
        <v>27</v>
      </c>
      <c r="B66" s="2" t="str">
        <f>"06001017700"</f>
        <v>06001017700</v>
      </c>
      <c r="C66" s="2" t="s">
        <v>293</v>
      </c>
      <c r="D66" t="s">
        <v>29</v>
      </c>
      <c r="E66" s="2" t="s">
        <v>30</v>
      </c>
      <c r="F66" s="2">
        <v>37207</v>
      </c>
      <c r="G66" s="2" t="s">
        <v>64</v>
      </c>
      <c r="H66" t="s">
        <v>280</v>
      </c>
      <c r="I66" s="6">
        <v>36531</v>
      </c>
      <c r="J66" s="2" t="s">
        <v>294</v>
      </c>
      <c r="K66" s="2">
        <v>3000</v>
      </c>
      <c r="L66" t="s">
        <v>35</v>
      </c>
      <c r="M66" t="s">
        <v>29</v>
      </c>
      <c r="N66" t="s">
        <v>30</v>
      </c>
      <c r="O66">
        <v>37219</v>
      </c>
      <c r="P66" t="s">
        <v>295</v>
      </c>
      <c r="Q66" s="2">
        <v>0.41</v>
      </c>
      <c r="R66" s="2">
        <v>99</v>
      </c>
      <c r="S66" s="2">
        <v>100</v>
      </c>
      <c r="T66" t="s">
        <v>296</v>
      </c>
      <c r="U66" s="6">
        <v>26731</v>
      </c>
      <c r="V66" s="2">
        <v>47037010106</v>
      </c>
      <c r="W66" s="2" t="s">
        <v>68</v>
      </c>
      <c r="X66" s="1">
        <v>45658</v>
      </c>
      <c r="Y66" s="2">
        <v>70400</v>
      </c>
      <c r="Z66" s="2">
        <v>0</v>
      </c>
      <c r="AA66" s="2">
        <v>70400</v>
      </c>
    </row>
    <row r="67" spans="1:27" x14ac:dyDescent="0.3">
      <c r="A67" s="4" t="s">
        <v>27</v>
      </c>
      <c r="B67" s="2" t="str">
        <f>"05815009000"</f>
        <v>05815009000</v>
      </c>
      <c r="C67" s="2" t="s">
        <v>297</v>
      </c>
      <c r="D67" t="s">
        <v>29</v>
      </c>
      <c r="E67" s="2" t="s">
        <v>30</v>
      </c>
      <c r="F67" s="2">
        <v>37218</v>
      </c>
      <c r="G67" s="2" t="s">
        <v>64</v>
      </c>
      <c r="H67" t="s">
        <v>280</v>
      </c>
      <c r="I67" s="6">
        <v>40163</v>
      </c>
      <c r="J67" s="2" t="s">
        <v>298</v>
      </c>
      <c r="K67" s="2">
        <v>0</v>
      </c>
      <c r="L67" t="s">
        <v>35</v>
      </c>
      <c r="M67" t="s">
        <v>29</v>
      </c>
      <c r="N67" t="s">
        <v>30</v>
      </c>
      <c r="O67">
        <v>37219</v>
      </c>
      <c r="P67" t="s">
        <v>299</v>
      </c>
      <c r="Q67" s="2">
        <v>0.45</v>
      </c>
      <c r="R67" s="2">
        <v>55</v>
      </c>
      <c r="S67" s="2">
        <v>211</v>
      </c>
      <c r="T67" t="s">
        <v>300</v>
      </c>
      <c r="U67" s="6">
        <v>26779</v>
      </c>
      <c r="V67" s="2">
        <v>47037012801</v>
      </c>
      <c r="W67" s="2" t="s">
        <v>68</v>
      </c>
      <c r="X67" s="1">
        <v>45658</v>
      </c>
      <c r="Y67" s="2">
        <v>96300</v>
      </c>
      <c r="Z67" s="2">
        <v>0</v>
      </c>
      <c r="AA67" s="2">
        <v>96300</v>
      </c>
    </row>
    <row r="68" spans="1:27" x14ac:dyDescent="0.3">
      <c r="A68" s="4" t="s">
        <v>27</v>
      </c>
      <c r="B68" s="2" t="str">
        <f>"08000007200"</f>
        <v>08000007200</v>
      </c>
      <c r="C68" s="2" t="s">
        <v>157</v>
      </c>
      <c r="D68" t="s">
        <v>29</v>
      </c>
      <c r="E68" s="2" t="s">
        <v>30</v>
      </c>
      <c r="F68" s="2">
        <v>37218</v>
      </c>
      <c r="G68" s="2" t="s">
        <v>64</v>
      </c>
      <c r="H68" t="s">
        <v>280</v>
      </c>
      <c r="I68" s="6">
        <v>32549</v>
      </c>
      <c r="J68" s="2" t="s">
        <v>161</v>
      </c>
      <c r="K68" s="2" t="s">
        <v>34</v>
      </c>
      <c r="L68" t="s">
        <v>35</v>
      </c>
      <c r="M68" t="s">
        <v>29</v>
      </c>
      <c r="N68" t="s">
        <v>30</v>
      </c>
      <c r="O68">
        <v>37219</v>
      </c>
      <c r="P68" t="s">
        <v>301</v>
      </c>
      <c r="Q68" s="2">
        <v>23.2</v>
      </c>
      <c r="R68" s="2">
        <v>0</v>
      </c>
      <c r="S68" s="2">
        <v>0</v>
      </c>
      <c r="T68" t="s">
        <v>278</v>
      </c>
      <c r="U68" s="6">
        <v>35797</v>
      </c>
      <c r="V68" s="2">
        <v>47037012802</v>
      </c>
      <c r="W68" s="2" t="s">
        <v>68</v>
      </c>
      <c r="X68" s="1">
        <v>45658</v>
      </c>
      <c r="Y68" s="2">
        <v>723800</v>
      </c>
      <c r="Z68" s="2">
        <v>0</v>
      </c>
      <c r="AA68" s="2">
        <v>723800</v>
      </c>
    </row>
    <row r="69" spans="1:27" x14ac:dyDescent="0.3">
      <c r="A69" s="4" t="s">
        <v>27</v>
      </c>
      <c r="B69" s="2" t="str">
        <f>"08000005500"</f>
        <v>08000005500</v>
      </c>
      <c r="C69" s="2" t="s">
        <v>302</v>
      </c>
      <c r="D69" t="s">
        <v>29</v>
      </c>
      <c r="E69" s="2" t="s">
        <v>30</v>
      </c>
      <c r="F69" s="2">
        <v>37218</v>
      </c>
      <c r="G69" s="2" t="s">
        <v>152</v>
      </c>
      <c r="H69" t="s">
        <v>280</v>
      </c>
      <c r="I69" s="6">
        <v>32549</v>
      </c>
      <c r="J69" s="2" t="s">
        <v>161</v>
      </c>
      <c r="K69" s="2" t="s">
        <v>34</v>
      </c>
      <c r="L69" t="s">
        <v>35</v>
      </c>
      <c r="M69" t="s">
        <v>29</v>
      </c>
      <c r="N69" t="s">
        <v>30</v>
      </c>
      <c r="O69">
        <v>37219</v>
      </c>
      <c r="P69" t="s">
        <v>303</v>
      </c>
      <c r="Q69" s="2">
        <v>68.53</v>
      </c>
      <c r="R69" s="2">
        <v>0</v>
      </c>
      <c r="S69" s="2">
        <v>0</v>
      </c>
      <c r="T69" t="s">
        <v>278</v>
      </c>
      <c r="U69" s="6">
        <v>35797</v>
      </c>
      <c r="V69" s="2">
        <v>47037012802</v>
      </c>
      <c r="W69" s="2" t="s">
        <v>68</v>
      </c>
      <c r="X69" s="1">
        <v>45658</v>
      </c>
      <c r="Y69" s="2">
        <v>1703200</v>
      </c>
      <c r="Z69" s="2">
        <v>0</v>
      </c>
      <c r="AA69" s="2">
        <v>1703200</v>
      </c>
    </row>
    <row r="70" spans="1:27" x14ac:dyDescent="0.3">
      <c r="A70" s="4" t="s">
        <v>27</v>
      </c>
      <c r="B70" s="2" t="str">
        <f>"08000005600"</f>
        <v>08000005600</v>
      </c>
      <c r="C70" s="2" t="s">
        <v>157</v>
      </c>
      <c r="D70" t="s">
        <v>29</v>
      </c>
      <c r="E70" s="2" t="s">
        <v>30</v>
      </c>
      <c r="F70" s="2">
        <v>37218</v>
      </c>
      <c r="G70" s="2" t="s">
        <v>152</v>
      </c>
      <c r="H70" t="s">
        <v>280</v>
      </c>
      <c r="I70" s="6">
        <v>32549</v>
      </c>
      <c r="J70" s="2" t="s">
        <v>161</v>
      </c>
      <c r="K70" s="2">
        <v>0</v>
      </c>
      <c r="L70" t="s">
        <v>35</v>
      </c>
      <c r="M70" t="s">
        <v>29</v>
      </c>
      <c r="N70" t="s">
        <v>30</v>
      </c>
      <c r="O70">
        <v>37219</v>
      </c>
      <c r="P70" t="s">
        <v>304</v>
      </c>
      <c r="Q70" s="2">
        <v>1.85</v>
      </c>
      <c r="R70" s="2">
        <v>0</v>
      </c>
      <c r="S70" s="2">
        <v>0</v>
      </c>
      <c r="T70" t="s">
        <v>161</v>
      </c>
      <c r="U70" s="6">
        <v>32549</v>
      </c>
      <c r="V70" s="2">
        <v>47037012802</v>
      </c>
      <c r="W70" s="2" t="s">
        <v>68</v>
      </c>
      <c r="X70" s="1">
        <v>45658</v>
      </c>
      <c r="Y70" s="2">
        <v>172000</v>
      </c>
      <c r="Z70" s="2">
        <v>0</v>
      </c>
      <c r="AA70" s="2">
        <v>172000</v>
      </c>
    </row>
    <row r="71" spans="1:27" x14ac:dyDescent="0.3">
      <c r="A71" s="4" t="s">
        <v>27</v>
      </c>
      <c r="B71" s="2" t="str">
        <f>"08000005700"</f>
        <v>08000005700</v>
      </c>
      <c r="C71" s="2" t="s">
        <v>157</v>
      </c>
      <c r="D71" t="s">
        <v>29</v>
      </c>
      <c r="E71" s="2" t="s">
        <v>30</v>
      </c>
      <c r="F71" s="2">
        <v>37218</v>
      </c>
      <c r="G71" s="2" t="s">
        <v>152</v>
      </c>
      <c r="H71" t="s">
        <v>280</v>
      </c>
      <c r="I71" s="6">
        <v>32549</v>
      </c>
      <c r="J71" s="2" t="s">
        <v>161</v>
      </c>
      <c r="K71" s="2">
        <v>0</v>
      </c>
      <c r="L71" t="s">
        <v>35</v>
      </c>
      <c r="M71" t="s">
        <v>29</v>
      </c>
      <c r="N71" t="s">
        <v>30</v>
      </c>
      <c r="O71">
        <v>37219</v>
      </c>
      <c r="P71" t="s">
        <v>305</v>
      </c>
      <c r="Q71" s="2">
        <v>3.7</v>
      </c>
      <c r="R71" s="2">
        <v>0</v>
      </c>
      <c r="S71" s="2">
        <v>0</v>
      </c>
      <c r="T71" t="s">
        <v>161</v>
      </c>
      <c r="U71" s="6">
        <v>32549</v>
      </c>
      <c r="V71" s="2">
        <v>47037012802</v>
      </c>
      <c r="W71" s="2" t="s">
        <v>68</v>
      </c>
      <c r="X71" s="1">
        <v>45658</v>
      </c>
      <c r="Y71" s="2">
        <v>222000</v>
      </c>
      <c r="Z71" s="2">
        <v>0</v>
      </c>
      <c r="AA71" s="2">
        <v>222000</v>
      </c>
    </row>
    <row r="72" spans="1:27" x14ac:dyDescent="0.3">
      <c r="A72" s="4" t="s">
        <v>27</v>
      </c>
      <c r="B72" s="2" t="str">
        <f>"08012007400"</f>
        <v>08012007400</v>
      </c>
      <c r="C72" s="2" t="s">
        <v>306</v>
      </c>
      <c r="D72" t="s">
        <v>29</v>
      </c>
      <c r="E72" s="2" t="s">
        <v>30</v>
      </c>
      <c r="F72" s="2">
        <v>37218</v>
      </c>
      <c r="G72" s="2" t="s">
        <v>152</v>
      </c>
      <c r="H72" t="s">
        <v>280</v>
      </c>
      <c r="I72" s="6">
        <v>23175</v>
      </c>
      <c r="J72" s="2" t="s">
        <v>307</v>
      </c>
      <c r="K72" s="2" t="s">
        <v>34</v>
      </c>
      <c r="L72" t="s">
        <v>35</v>
      </c>
      <c r="M72" t="s">
        <v>29</v>
      </c>
      <c r="N72" t="s">
        <v>30</v>
      </c>
      <c r="O72">
        <v>37219</v>
      </c>
      <c r="P72" t="s">
        <v>308</v>
      </c>
      <c r="Q72" s="2">
        <v>0.16</v>
      </c>
      <c r="R72" s="2">
        <v>55</v>
      </c>
      <c r="S72" s="2">
        <v>125</v>
      </c>
      <c r="T72" t="s">
        <v>307</v>
      </c>
      <c r="U72" s="6">
        <v>23175</v>
      </c>
      <c r="V72" s="2">
        <v>47037012802</v>
      </c>
      <c r="W72" s="2" t="s">
        <v>68</v>
      </c>
      <c r="X72" s="1">
        <v>45658</v>
      </c>
      <c r="Y72" s="2">
        <v>102000</v>
      </c>
      <c r="Z72" s="2">
        <v>0</v>
      </c>
      <c r="AA72" s="2">
        <v>102000</v>
      </c>
    </row>
    <row r="73" spans="1:27" x14ac:dyDescent="0.3">
      <c r="A73" s="4" t="s">
        <v>27</v>
      </c>
      <c r="B73" s="2" t="str">
        <f>"06001017600"</f>
        <v>06001017600</v>
      </c>
      <c r="C73" s="2" t="s">
        <v>309</v>
      </c>
      <c r="D73" t="s">
        <v>29</v>
      </c>
      <c r="E73" s="2" t="s">
        <v>30</v>
      </c>
      <c r="F73" s="2">
        <v>37207</v>
      </c>
      <c r="G73" s="2" t="s">
        <v>64</v>
      </c>
      <c r="H73" t="s">
        <v>280</v>
      </c>
      <c r="I73" s="6">
        <v>37697</v>
      </c>
      <c r="J73" s="2" t="s">
        <v>310</v>
      </c>
      <c r="K73" s="2" t="s">
        <v>34</v>
      </c>
      <c r="L73" t="s">
        <v>35</v>
      </c>
      <c r="M73" t="s">
        <v>29</v>
      </c>
      <c r="N73" t="s">
        <v>30</v>
      </c>
      <c r="O73">
        <v>37219</v>
      </c>
      <c r="P73" t="s">
        <v>311</v>
      </c>
      <c r="Q73" s="2">
        <v>0.42</v>
      </c>
      <c r="R73" s="2">
        <v>83</v>
      </c>
      <c r="S73" s="2">
        <v>160</v>
      </c>
      <c r="T73" t="s">
        <v>312</v>
      </c>
      <c r="U73" s="6">
        <v>26109</v>
      </c>
      <c r="V73" s="2">
        <v>47037010106</v>
      </c>
      <c r="W73" s="2" t="s">
        <v>68</v>
      </c>
      <c r="X73" s="1">
        <v>45658</v>
      </c>
      <c r="Y73" s="2">
        <v>70400</v>
      </c>
      <c r="Z73" s="2">
        <v>0</v>
      </c>
      <c r="AA73" s="2">
        <v>70400</v>
      </c>
    </row>
    <row r="74" spans="1:27" x14ac:dyDescent="0.3">
      <c r="A74" s="4" t="s">
        <v>27</v>
      </c>
      <c r="B74" s="2" t="str">
        <f>"05800017300"</f>
        <v>05800017300</v>
      </c>
      <c r="C74" s="2" t="s">
        <v>313</v>
      </c>
      <c r="D74" t="s">
        <v>29</v>
      </c>
      <c r="E74" s="2" t="s">
        <v>30</v>
      </c>
      <c r="F74" s="2">
        <v>37218</v>
      </c>
      <c r="G74" s="2" t="s">
        <v>64</v>
      </c>
      <c r="H74" t="s">
        <v>280</v>
      </c>
      <c r="I74" s="6">
        <v>43613</v>
      </c>
      <c r="J74" s="2" t="s">
        <v>314</v>
      </c>
      <c r="K74" s="2" t="s">
        <v>34</v>
      </c>
      <c r="L74" t="s">
        <v>315</v>
      </c>
      <c r="M74" t="s">
        <v>29</v>
      </c>
      <c r="N74" t="s">
        <v>30</v>
      </c>
      <c r="O74">
        <v>37208</v>
      </c>
      <c r="P74" t="s">
        <v>316</v>
      </c>
      <c r="Q74" s="2">
        <v>1.64</v>
      </c>
      <c r="R74" s="2">
        <v>0</v>
      </c>
      <c r="S74" s="2">
        <v>0</v>
      </c>
      <c r="T74" t="s">
        <v>317</v>
      </c>
      <c r="U74" s="6">
        <v>25917</v>
      </c>
      <c r="V74" s="2">
        <v>47037013100</v>
      </c>
      <c r="W74" s="2" t="s">
        <v>68</v>
      </c>
      <c r="X74" s="1">
        <v>45658</v>
      </c>
      <c r="Y74" s="2">
        <v>75000</v>
      </c>
      <c r="Z74" s="2">
        <v>0</v>
      </c>
      <c r="AA74" s="2">
        <v>75000</v>
      </c>
    </row>
    <row r="75" spans="1:27" x14ac:dyDescent="0.3">
      <c r="A75" s="4" t="s">
        <v>27</v>
      </c>
      <c r="B75" s="2" t="str">
        <f>"06001017400"</f>
        <v>06001017400</v>
      </c>
      <c r="C75" s="2" t="s">
        <v>318</v>
      </c>
      <c r="D75" t="s">
        <v>29</v>
      </c>
      <c r="E75" s="2" t="s">
        <v>30</v>
      </c>
      <c r="F75" s="2">
        <v>37207</v>
      </c>
      <c r="G75" s="2" t="s">
        <v>64</v>
      </c>
      <c r="H75" t="s">
        <v>280</v>
      </c>
      <c r="I75" s="6">
        <v>36531</v>
      </c>
      <c r="J75" s="2" t="s">
        <v>319</v>
      </c>
      <c r="K75" s="2">
        <v>3000</v>
      </c>
      <c r="L75" t="s">
        <v>35</v>
      </c>
      <c r="M75" t="s">
        <v>29</v>
      </c>
      <c r="N75" t="s">
        <v>30</v>
      </c>
      <c r="O75">
        <v>37219</v>
      </c>
      <c r="P75" t="s">
        <v>320</v>
      </c>
      <c r="Q75" s="2">
        <v>0.11</v>
      </c>
      <c r="R75" s="2">
        <v>63</v>
      </c>
      <c r="S75" s="2">
        <v>112</v>
      </c>
      <c r="T75" t="s">
        <v>321</v>
      </c>
      <c r="U75" s="6">
        <v>22066</v>
      </c>
      <c r="V75" s="2">
        <v>47037010106</v>
      </c>
      <c r="W75" s="2" t="s">
        <v>68</v>
      </c>
      <c r="X75" s="1">
        <v>45658</v>
      </c>
      <c r="Y75" s="2">
        <v>1500</v>
      </c>
      <c r="Z75" s="2">
        <v>0</v>
      </c>
      <c r="AA75" s="2">
        <v>1500</v>
      </c>
    </row>
    <row r="76" spans="1:27" x14ac:dyDescent="0.3">
      <c r="A76" s="4" t="s">
        <v>27</v>
      </c>
      <c r="B76" s="2" t="str">
        <f>"06001017500"</f>
        <v>06001017500</v>
      </c>
      <c r="C76" s="2" t="s">
        <v>322</v>
      </c>
      <c r="D76" t="s">
        <v>29</v>
      </c>
      <c r="E76" s="2" t="s">
        <v>30</v>
      </c>
      <c r="F76" s="2">
        <v>37207</v>
      </c>
      <c r="G76" s="2" t="s">
        <v>64</v>
      </c>
      <c r="H76" t="s">
        <v>280</v>
      </c>
      <c r="I76" s="6">
        <v>36706</v>
      </c>
      <c r="J76" s="2" t="s">
        <v>323</v>
      </c>
      <c r="K76" s="2">
        <v>75000</v>
      </c>
      <c r="L76" t="s">
        <v>35</v>
      </c>
      <c r="M76" t="s">
        <v>29</v>
      </c>
      <c r="N76" t="s">
        <v>30</v>
      </c>
      <c r="O76">
        <v>37219</v>
      </c>
      <c r="P76" t="s">
        <v>324</v>
      </c>
      <c r="Q76" s="2">
        <v>0.2</v>
      </c>
      <c r="R76" s="2">
        <v>84</v>
      </c>
      <c r="S76" s="2">
        <v>76</v>
      </c>
      <c r="T76" t="s">
        <v>325</v>
      </c>
      <c r="U76" s="6">
        <v>26721</v>
      </c>
      <c r="V76" s="2">
        <v>47037010106</v>
      </c>
      <c r="W76" s="2" t="s">
        <v>68</v>
      </c>
      <c r="X76" s="1">
        <v>45658</v>
      </c>
      <c r="Y76" s="2">
        <v>67000</v>
      </c>
      <c r="Z76" s="2">
        <v>0</v>
      </c>
      <c r="AA76" s="2">
        <v>67000</v>
      </c>
    </row>
    <row r="77" spans="1:27" x14ac:dyDescent="0.3">
      <c r="A77" s="4" t="s">
        <v>27</v>
      </c>
      <c r="B77" s="2" t="str">
        <f>"06001019200"</f>
        <v>06001019200</v>
      </c>
      <c r="C77" s="2" t="s">
        <v>326</v>
      </c>
      <c r="D77" t="s">
        <v>29</v>
      </c>
      <c r="E77" s="2" t="s">
        <v>30</v>
      </c>
      <c r="F77" s="2">
        <v>37207</v>
      </c>
      <c r="G77" s="2" t="s">
        <v>64</v>
      </c>
      <c r="H77" t="s">
        <v>280</v>
      </c>
      <c r="I77" s="6">
        <v>36047</v>
      </c>
      <c r="J77" s="2" t="s">
        <v>327</v>
      </c>
      <c r="K77" s="2">
        <v>66000</v>
      </c>
      <c r="L77" t="s">
        <v>35</v>
      </c>
      <c r="M77" t="s">
        <v>29</v>
      </c>
      <c r="N77" t="s">
        <v>30</v>
      </c>
      <c r="O77">
        <v>37219</v>
      </c>
      <c r="P77" t="s">
        <v>328</v>
      </c>
      <c r="Q77" s="2">
        <v>4.3899999999999997</v>
      </c>
      <c r="R77" s="2">
        <v>999</v>
      </c>
      <c r="S77" s="2">
        <v>139</v>
      </c>
      <c r="T77" t="s">
        <v>278</v>
      </c>
      <c r="U77" s="6">
        <v>36581</v>
      </c>
      <c r="V77" s="2">
        <v>47037010106</v>
      </c>
      <c r="W77" s="2" t="s">
        <v>68</v>
      </c>
      <c r="X77" s="1">
        <v>45658</v>
      </c>
      <c r="Y77" s="2">
        <v>20000</v>
      </c>
      <c r="Z77" s="2">
        <v>0</v>
      </c>
      <c r="AA77" s="2">
        <v>20000</v>
      </c>
    </row>
    <row r="78" spans="1:27" x14ac:dyDescent="0.3">
      <c r="A78" s="4" t="s">
        <v>27</v>
      </c>
      <c r="B78" s="2" t="str">
        <f>"08000002301"</f>
        <v>08000002301</v>
      </c>
      <c r="C78" s="2" t="s">
        <v>329</v>
      </c>
      <c r="D78" t="s">
        <v>29</v>
      </c>
      <c r="E78" s="2" t="s">
        <v>30</v>
      </c>
      <c r="F78" s="2">
        <v>37218</v>
      </c>
      <c r="G78" s="2" t="s">
        <v>330</v>
      </c>
      <c r="H78" t="s">
        <v>280</v>
      </c>
      <c r="I78" s="6">
        <v>41159</v>
      </c>
      <c r="J78" s="2" t="s">
        <v>331</v>
      </c>
      <c r="K78" s="2" t="s">
        <v>34</v>
      </c>
      <c r="L78" t="s">
        <v>35</v>
      </c>
      <c r="M78" t="s">
        <v>29</v>
      </c>
      <c r="N78" t="s">
        <v>30</v>
      </c>
      <c r="O78">
        <v>37219</v>
      </c>
      <c r="P78" t="s">
        <v>332</v>
      </c>
      <c r="Q78" s="2">
        <v>17.32</v>
      </c>
      <c r="R78" s="2">
        <v>360</v>
      </c>
      <c r="S78" s="2">
        <v>0</v>
      </c>
      <c r="T78" t="s">
        <v>333</v>
      </c>
      <c r="U78" s="6">
        <v>44306</v>
      </c>
      <c r="V78" s="2">
        <v>47037012802</v>
      </c>
      <c r="W78" s="2" t="s">
        <v>68</v>
      </c>
      <c r="X78" s="1">
        <v>45658</v>
      </c>
      <c r="Y78" s="2">
        <v>5883600</v>
      </c>
      <c r="Z78" s="2">
        <v>4324800</v>
      </c>
      <c r="AA78" s="2">
        <v>1558800</v>
      </c>
    </row>
    <row r="79" spans="1:27" x14ac:dyDescent="0.3">
      <c r="A79" s="4" t="s">
        <v>27</v>
      </c>
      <c r="B79" s="2" t="str">
        <f>"08101006000"</f>
        <v>08101006000</v>
      </c>
      <c r="C79" s="2" t="s">
        <v>334</v>
      </c>
      <c r="D79" t="s">
        <v>29</v>
      </c>
      <c r="E79" s="2" t="s">
        <v>30</v>
      </c>
      <c r="F79" s="2">
        <v>37218</v>
      </c>
      <c r="G79" s="2" t="s">
        <v>64</v>
      </c>
      <c r="H79" t="s">
        <v>280</v>
      </c>
      <c r="I79" s="6">
        <v>24313</v>
      </c>
      <c r="J79" s="2" t="s">
        <v>335</v>
      </c>
      <c r="K79" s="2">
        <v>0</v>
      </c>
      <c r="L79" t="s">
        <v>35</v>
      </c>
      <c r="M79" t="s">
        <v>29</v>
      </c>
      <c r="N79" t="s">
        <v>30</v>
      </c>
      <c r="O79">
        <v>37219</v>
      </c>
      <c r="P79" t="s">
        <v>336</v>
      </c>
      <c r="Q79" s="2">
        <v>0.48</v>
      </c>
      <c r="R79" s="2">
        <v>200</v>
      </c>
      <c r="S79" s="2">
        <v>155</v>
      </c>
      <c r="T79" t="s">
        <v>335</v>
      </c>
      <c r="U79" s="6">
        <v>24313</v>
      </c>
      <c r="V79" s="2">
        <v>47037012802</v>
      </c>
      <c r="W79" s="2" t="s">
        <v>68</v>
      </c>
      <c r="X79" s="1">
        <v>45658</v>
      </c>
      <c r="Y79" s="2">
        <v>101000</v>
      </c>
      <c r="Z79" s="2">
        <v>0</v>
      </c>
      <c r="AA79" s="2">
        <v>101000</v>
      </c>
    </row>
    <row r="80" spans="1:27" x14ac:dyDescent="0.3">
      <c r="A80" s="4" t="s">
        <v>27</v>
      </c>
      <c r="B80" s="2" t="str">
        <f>"04900013800"</f>
        <v>04900013800</v>
      </c>
      <c r="C80" s="2" t="s">
        <v>337</v>
      </c>
      <c r="D80" t="s">
        <v>29</v>
      </c>
      <c r="E80" s="2" t="s">
        <v>30</v>
      </c>
      <c r="F80" s="2">
        <v>37218</v>
      </c>
      <c r="G80" s="2" t="s">
        <v>64</v>
      </c>
      <c r="H80" t="s">
        <v>280</v>
      </c>
      <c r="I80" s="6">
        <v>40934</v>
      </c>
      <c r="J80" s="2" t="s">
        <v>338</v>
      </c>
      <c r="K80" s="2">
        <v>0</v>
      </c>
      <c r="L80" t="s">
        <v>35</v>
      </c>
      <c r="M80" t="s">
        <v>29</v>
      </c>
      <c r="N80" t="s">
        <v>30</v>
      </c>
      <c r="O80">
        <v>37219</v>
      </c>
      <c r="P80" t="s">
        <v>339</v>
      </c>
      <c r="Q80" s="2">
        <v>1.83</v>
      </c>
      <c r="R80" s="2">
        <v>0</v>
      </c>
      <c r="S80" s="2">
        <v>0</v>
      </c>
      <c r="T80" t="s">
        <v>340</v>
      </c>
      <c r="U80" s="6">
        <v>26946</v>
      </c>
      <c r="V80" s="2">
        <v>47037010106</v>
      </c>
      <c r="W80" s="2" t="s">
        <v>68</v>
      </c>
      <c r="X80" s="1">
        <v>45658</v>
      </c>
      <c r="Y80" s="2">
        <v>6400</v>
      </c>
      <c r="Z80" s="2">
        <v>0</v>
      </c>
      <c r="AA80" s="2">
        <v>6400</v>
      </c>
    </row>
    <row r="81" spans="1:27" x14ac:dyDescent="0.3">
      <c r="A81" s="4" t="s">
        <v>27</v>
      </c>
      <c r="B81" s="2" t="str">
        <f>"04900013807"</f>
        <v>04900013807</v>
      </c>
      <c r="C81" s="2" t="s">
        <v>341</v>
      </c>
      <c r="D81" t="s">
        <v>29</v>
      </c>
      <c r="E81" s="2" t="s">
        <v>30</v>
      </c>
      <c r="F81" s="2">
        <v>37218</v>
      </c>
      <c r="G81" s="2" t="s">
        <v>64</v>
      </c>
      <c r="H81" t="s">
        <v>280</v>
      </c>
      <c r="I81" s="6">
        <v>43087</v>
      </c>
      <c r="J81" s="2" t="s">
        <v>342</v>
      </c>
      <c r="K81" s="2" t="s">
        <v>34</v>
      </c>
      <c r="L81" t="s">
        <v>343</v>
      </c>
      <c r="M81" t="s">
        <v>29</v>
      </c>
      <c r="N81" t="s">
        <v>30</v>
      </c>
      <c r="O81">
        <v>37201</v>
      </c>
      <c r="P81" t="s">
        <v>344</v>
      </c>
      <c r="Q81" s="2">
        <v>1.1000000000000001</v>
      </c>
      <c r="R81" s="2">
        <v>0</v>
      </c>
      <c r="S81" s="2">
        <v>0</v>
      </c>
      <c r="T81" t="s">
        <v>345</v>
      </c>
      <c r="U81" s="6">
        <v>26655</v>
      </c>
      <c r="V81" s="2">
        <v>47037010106</v>
      </c>
      <c r="W81" s="2" t="s">
        <v>68</v>
      </c>
      <c r="X81" s="1">
        <v>45658</v>
      </c>
      <c r="Y81" s="2">
        <v>143700</v>
      </c>
      <c r="Z81" s="2">
        <v>0</v>
      </c>
      <c r="AA81" s="2">
        <v>143700</v>
      </c>
    </row>
    <row r="82" spans="1:27" x14ac:dyDescent="0.3">
      <c r="A82" s="4" t="s">
        <v>27</v>
      </c>
      <c r="B82" s="2" t="str">
        <f>"06903004200"</f>
        <v>06903004200</v>
      </c>
      <c r="C82" s="2" t="s">
        <v>346</v>
      </c>
      <c r="D82" t="s">
        <v>29</v>
      </c>
      <c r="E82" s="2" t="s">
        <v>30</v>
      </c>
      <c r="F82" s="2">
        <v>37218</v>
      </c>
      <c r="G82" s="2" t="s">
        <v>64</v>
      </c>
      <c r="H82" t="s">
        <v>280</v>
      </c>
      <c r="I82" s="6">
        <v>40682</v>
      </c>
      <c r="J82" s="2" t="s">
        <v>347</v>
      </c>
      <c r="K82" s="2">
        <v>0</v>
      </c>
      <c r="L82" t="s">
        <v>35</v>
      </c>
      <c r="M82" t="s">
        <v>29</v>
      </c>
      <c r="N82" t="s">
        <v>30</v>
      </c>
      <c r="O82">
        <v>37219</v>
      </c>
      <c r="P82" t="s">
        <v>348</v>
      </c>
      <c r="Q82" s="2">
        <v>1.23</v>
      </c>
      <c r="R82" s="2">
        <v>200</v>
      </c>
      <c r="S82" s="2">
        <v>307</v>
      </c>
      <c r="T82" t="s">
        <v>349</v>
      </c>
      <c r="U82" s="6">
        <v>24931</v>
      </c>
      <c r="V82" s="2">
        <v>47037012801</v>
      </c>
      <c r="W82" s="2" t="s">
        <v>68</v>
      </c>
      <c r="X82" s="1">
        <v>45658</v>
      </c>
      <c r="Y82" s="2">
        <v>1800</v>
      </c>
      <c r="Z82" s="2">
        <v>0</v>
      </c>
      <c r="AA82" s="2">
        <v>1800</v>
      </c>
    </row>
    <row r="83" spans="1:27" x14ac:dyDescent="0.3">
      <c r="A83" s="4" t="s">
        <v>27</v>
      </c>
      <c r="B83" s="2" t="str">
        <f>"06903004100"</f>
        <v>06903004100</v>
      </c>
      <c r="C83" s="2" t="s">
        <v>350</v>
      </c>
      <c r="D83" t="s">
        <v>29</v>
      </c>
      <c r="E83" s="2" t="s">
        <v>30</v>
      </c>
      <c r="F83" s="2">
        <v>37218</v>
      </c>
      <c r="G83" s="2" t="s">
        <v>64</v>
      </c>
      <c r="H83" t="s">
        <v>280</v>
      </c>
      <c r="I83" s="6">
        <v>41226</v>
      </c>
      <c r="J83" s="2" t="s">
        <v>351</v>
      </c>
      <c r="K83" s="2">
        <v>0</v>
      </c>
      <c r="L83" t="s">
        <v>35</v>
      </c>
      <c r="M83" t="s">
        <v>29</v>
      </c>
      <c r="N83" t="s">
        <v>30</v>
      </c>
      <c r="O83">
        <v>37219</v>
      </c>
      <c r="P83" t="s">
        <v>352</v>
      </c>
      <c r="Q83" s="2">
        <v>0.91</v>
      </c>
      <c r="R83" s="2">
        <v>354</v>
      </c>
      <c r="S83" s="2">
        <v>116</v>
      </c>
      <c r="T83" t="s">
        <v>353</v>
      </c>
      <c r="U83" s="6">
        <v>24296</v>
      </c>
      <c r="V83" s="2">
        <v>47037012801</v>
      </c>
      <c r="W83" s="2" t="s">
        <v>68</v>
      </c>
      <c r="X83" s="1">
        <v>45658</v>
      </c>
      <c r="Y83" s="2">
        <v>103500</v>
      </c>
      <c r="Z83" s="2">
        <v>0</v>
      </c>
      <c r="AA83" s="2">
        <v>103500</v>
      </c>
    </row>
    <row r="84" spans="1:27" x14ac:dyDescent="0.3">
      <c r="A84" s="4" t="s">
        <v>27</v>
      </c>
      <c r="B84" s="2" t="str">
        <f>"06900008800"</f>
        <v>06900008800</v>
      </c>
      <c r="C84" s="2" t="s">
        <v>354</v>
      </c>
      <c r="D84" t="s">
        <v>29</v>
      </c>
      <c r="E84" s="2" t="s">
        <v>30</v>
      </c>
      <c r="F84" s="2">
        <v>37218</v>
      </c>
      <c r="G84" s="2" t="s">
        <v>31</v>
      </c>
      <c r="H84" t="s">
        <v>280</v>
      </c>
      <c r="I84" s="6">
        <v>24204</v>
      </c>
      <c r="J84" s="2" t="s">
        <v>355</v>
      </c>
      <c r="K84" s="2" t="s">
        <v>34</v>
      </c>
      <c r="L84" t="s">
        <v>35</v>
      </c>
      <c r="M84" t="s">
        <v>29</v>
      </c>
      <c r="N84" t="s">
        <v>30</v>
      </c>
      <c r="O84">
        <v>37219</v>
      </c>
      <c r="P84" t="s">
        <v>356</v>
      </c>
      <c r="Q84" s="2">
        <v>0.83</v>
      </c>
      <c r="R84" s="2">
        <v>100</v>
      </c>
      <c r="S84" s="2">
        <v>475</v>
      </c>
      <c r="T84" t="s">
        <v>355</v>
      </c>
      <c r="U84" s="6">
        <v>24204</v>
      </c>
      <c r="V84" s="2">
        <v>47037012802</v>
      </c>
      <c r="W84" s="2" t="s">
        <v>68</v>
      </c>
      <c r="X84" s="1">
        <v>45658</v>
      </c>
      <c r="Y84" s="2">
        <v>80000</v>
      </c>
      <c r="Z84" s="2">
        <v>0</v>
      </c>
      <c r="AA84" s="2">
        <v>80000</v>
      </c>
    </row>
    <row r="85" spans="1:27" x14ac:dyDescent="0.3">
      <c r="A85" s="4" t="s">
        <v>27</v>
      </c>
      <c r="B85" s="2" t="str">
        <f>"06915002900"</f>
        <v>06915002900</v>
      </c>
      <c r="C85" s="2" t="s">
        <v>357</v>
      </c>
      <c r="D85" t="s">
        <v>29</v>
      </c>
      <c r="E85" s="2" t="s">
        <v>30</v>
      </c>
      <c r="F85" s="2">
        <v>37218</v>
      </c>
      <c r="G85" s="2" t="s">
        <v>64</v>
      </c>
      <c r="H85" t="s">
        <v>280</v>
      </c>
      <c r="I85" s="6">
        <v>24203</v>
      </c>
      <c r="J85" s="2" t="s">
        <v>358</v>
      </c>
      <c r="K85" s="2" t="s">
        <v>34</v>
      </c>
      <c r="L85" t="s">
        <v>35</v>
      </c>
      <c r="M85" t="s">
        <v>29</v>
      </c>
      <c r="N85" t="s">
        <v>30</v>
      </c>
      <c r="O85">
        <v>37219</v>
      </c>
      <c r="P85" t="s">
        <v>359</v>
      </c>
      <c r="Q85" s="2">
        <v>0.19</v>
      </c>
      <c r="R85" s="2">
        <v>30</v>
      </c>
      <c r="S85" s="2">
        <v>222</v>
      </c>
      <c r="T85" t="s">
        <v>358</v>
      </c>
      <c r="U85" s="6">
        <v>24203</v>
      </c>
      <c r="V85" s="2">
        <v>47037012802</v>
      </c>
      <c r="W85" s="2" t="s">
        <v>68</v>
      </c>
      <c r="X85" s="1">
        <v>45658</v>
      </c>
      <c r="Y85" s="2">
        <v>294500</v>
      </c>
      <c r="Z85" s="2">
        <v>0</v>
      </c>
      <c r="AA85" s="2">
        <v>294500</v>
      </c>
    </row>
    <row r="86" spans="1:27" x14ac:dyDescent="0.3">
      <c r="A86" s="4" t="s">
        <v>27</v>
      </c>
      <c r="B86" s="2" t="str">
        <f>"06900007900"</f>
        <v>06900007900</v>
      </c>
      <c r="C86" s="2" t="s">
        <v>360</v>
      </c>
      <c r="D86" t="s">
        <v>29</v>
      </c>
      <c r="E86" s="2" t="s">
        <v>30</v>
      </c>
      <c r="F86" s="2">
        <v>37218</v>
      </c>
      <c r="G86" s="2" t="s">
        <v>31</v>
      </c>
      <c r="H86" t="s">
        <v>280</v>
      </c>
      <c r="I86" s="6">
        <v>40834</v>
      </c>
      <c r="J86" s="2" t="s">
        <v>361</v>
      </c>
      <c r="K86" s="2">
        <v>0</v>
      </c>
      <c r="L86" t="s">
        <v>35</v>
      </c>
      <c r="M86" t="s">
        <v>29</v>
      </c>
      <c r="N86" t="s">
        <v>30</v>
      </c>
      <c r="O86">
        <v>37219</v>
      </c>
      <c r="P86" t="s">
        <v>362</v>
      </c>
      <c r="Q86" s="2">
        <v>22.17</v>
      </c>
      <c r="R86" s="2">
        <v>0</v>
      </c>
      <c r="S86" s="2">
        <v>0</v>
      </c>
      <c r="T86" t="s">
        <v>189</v>
      </c>
      <c r="U86" s="6">
        <v>33816</v>
      </c>
      <c r="V86" s="2">
        <v>47037012802</v>
      </c>
      <c r="W86" s="2" t="s">
        <v>68</v>
      </c>
      <c r="X86" s="1">
        <v>45658</v>
      </c>
      <c r="Y86" s="2">
        <v>411700</v>
      </c>
      <c r="Z86" s="2">
        <v>0</v>
      </c>
      <c r="AA86" s="2">
        <v>411700</v>
      </c>
    </row>
    <row r="87" spans="1:27" x14ac:dyDescent="0.3">
      <c r="A87" s="4" t="s">
        <v>27</v>
      </c>
      <c r="B87" s="2" t="str">
        <f>"04900009200"</f>
        <v>04900009200</v>
      </c>
      <c r="C87" s="2" t="s">
        <v>363</v>
      </c>
      <c r="D87" t="s">
        <v>103</v>
      </c>
      <c r="E87" s="2" t="s">
        <v>30</v>
      </c>
      <c r="F87" s="2">
        <v>37189</v>
      </c>
      <c r="G87" s="2" t="s">
        <v>64</v>
      </c>
      <c r="H87" t="s">
        <v>280</v>
      </c>
      <c r="I87" s="6">
        <v>40982</v>
      </c>
      <c r="J87" s="2" t="s">
        <v>364</v>
      </c>
      <c r="K87" s="2">
        <v>0</v>
      </c>
      <c r="L87" t="s">
        <v>35</v>
      </c>
      <c r="M87" t="s">
        <v>29</v>
      </c>
      <c r="N87" t="s">
        <v>30</v>
      </c>
      <c r="O87">
        <v>37219</v>
      </c>
      <c r="P87" t="s">
        <v>365</v>
      </c>
      <c r="Q87" s="2">
        <v>0.35</v>
      </c>
      <c r="R87" s="2">
        <v>64</v>
      </c>
      <c r="S87" s="2">
        <v>224</v>
      </c>
      <c r="T87" t="s">
        <v>366</v>
      </c>
      <c r="U87" s="6">
        <v>36173</v>
      </c>
      <c r="V87" s="2">
        <v>47037010106</v>
      </c>
      <c r="W87" s="2" t="s">
        <v>68</v>
      </c>
      <c r="X87" s="1">
        <v>45658</v>
      </c>
      <c r="Y87" s="2">
        <v>125300</v>
      </c>
      <c r="Z87" s="2">
        <v>0</v>
      </c>
      <c r="AA87" s="2">
        <v>125300</v>
      </c>
    </row>
    <row r="88" spans="1:27" x14ac:dyDescent="0.3">
      <c r="A88" s="4" t="s">
        <v>27</v>
      </c>
      <c r="B88" s="2" t="str">
        <f>"04900009000"</f>
        <v>04900009000</v>
      </c>
      <c r="C88" s="2" t="s">
        <v>367</v>
      </c>
      <c r="D88" t="s">
        <v>103</v>
      </c>
      <c r="E88" s="2" t="s">
        <v>30</v>
      </c>
      <c r="F88" s="2">
        <v>37189</v>
      </c>
      <c r="G88" s="2" t="s">
        <v>64</v>
      </c>
      <c r="H88" t="s">
        <v>280</v>
      </c>
      <c r="I88" s="6">
        <v>41128</v>
      </c>
      <c r="J88" s="2" t="s">
        <v>368</v>
      </c>
      <c r="K88" s="2">
        <v>0</v>
      </c>
      <c r="L88" t="s">
        <v>35</v>
      </c>
      <c r="M88" t="s">
        <v>29</v>
      </c>
      <c r="N88" t="s">
        <v>30</v>
      </c>
      <c r="O88">
        <v>37219</v>
      </c>
      <c r="P88" t="s">
        <v>339</v>
      </c>
      <c r="Q88" s="2">
        <v>0.36</v>
      </c>
      <c r="R88" s="2">
        <v>124</v>
      </c>
      <c r="S88" s="2">
        <v>195</v>
      </c>
      <c r="T88" t="s">
        <v>369</v>
      </c>
      <c r="U88" s="6">
        <v>34295</v>
      </c>
      <c r="V88" s="2">
        <v>47037010106</v>
      </c>
      <c r="W88" s="2" t="s">
        <v>68</v>
      </c>
      <c r="X88" s="1">
        <v>45658</v>
      </c>
      <c r="Y88" s="2">
        <v>125300</v>
      </c>
      <c r="Z88" s="2">
        <v>0</v>
      </c>
      <c r="AA88" s="2">
        <v>125300</v>
      </c>
    </row>
    <row r="89" spans="1:27" x14ac:dyDescent="0.3">
      <c r="A89" s="4" t="s">
        <v>27</v>
      </c>
      <c r="B89" s="2" t="str">
        <f>"04900009300"</f>
        <v>04900009300</v>
      </c>
      <c r="C89" s="2" t="s">
        <v>370</v>
      </c>
      <c r="D89" t="s">
        <v>103</v>
      </c>
      <c r="E89" s="2" t="s">
        <v>30</v>
      </c>
      <c r="F89" s="2">
        <v>37189</v>
      </c>
      <c r="G89" s="2" t="s">
        <v>64</v>
      </c>
      <c r="H89" t="s">
        <v>280</v>
      </c>
      <c r="I89" s="6">
        <v>40938</v>
      </c>
      <c r="J89" s="2" t="s">
        <v>371</v>
      </c>
      <c r="K89" s="2">
        <v>0</v>
      </c>
      <c r="L89" t="s">
        <v>35</v>
      </c>
      <c r="M89" t="s">
        <v>29</v>
      </c>
      <c r="N89" t="s">
        <v>30</v>
      </c>
      <c r="O89">
        <v>37219</v>
      </c>
      <c r="P89" t="s">
        <v>339</v>
      </c>
      <c r="Q89" s="2">
        <v>0.87</v>
      </c>
      <c r="R89" s="2">
        <v>186</v>
      </c>
      <c r="S89" s="2">
        <v>200</v>
      </c>
      <c r="T89" t="s">
        <v>372</v>
      </c>
      <c r="U89" s="6">
        <v>23827</v>
      </c>
      <c r="V89" s="2">
        <v>47037010106</v>
      </c>
      <c r="W89" s="2" t="s">
        <v>68</v>
      </c>
      <c r="X89" s="1">
        <v>45658</v>
      </c>
      <c r="Y89" s="2">
        <v>3500</v>
      </c>
      <c r="Z89" s="2">
        <v>0</v>
      </c>
      <c r="AA89" s="2">
        <v>3500</v>
      </c>
    </row>
    <row r="90" spans="1:27" x14ac:dyDescent="0.3">
      <c r="A90" s="4" t="s">
        <v>27</v>
      </c>
      <c r="B90" s="2" t="str">
        <f>"04700017000"</f>
        <v>04700017000</v>
      </c>
      <c r="C90" s="2" t="s">
        <v>373</v>
      </c>
      <c r="D90" t="s">
        <v>29</v>
      </c>
      <c r="E90" s="2" t="s">
        <v>30</v>
      </c>
      <c r="F90" s="2">
        <v>37218</v>
      </c>
      <c r="G90" s="2" t="s">
        <v>31</v>
      </c>
      <c r="H90" t="s">
        <v>374</v>
      </c>
      <c r="I90" s="6">
        <v>39443</v>
      </c>
      <c r="J90" s="2" t="s">
        <v>375</v>
      </c>
      <c r="K90" s="2">
        <v>0</v>
      </c>
      <c r="L90" t="s">
        <v>35</v>
      </c>
      <c r="M90" t="s">
        <v>29</v>
      </c>
      <c r="N90" t="s">
        <v>30</v>
      </c>
      <c r="O90">
        <v>37219</v>
      </c>
      <c r="P90" t="s">
        <v>376</v>
      </c>
      <c r="Q90" s="2">
        <v>170.82</v>
      </c>
      <c r="R90" s="2">
        <v>135</v>
      </c>
      <c r="S90" s="2">
        <v>0</v>
      </c>
      <c r="T90" t="s">
        <v>377</v>
      </c>
      <c r="U90" s="6">
        <v>39072</v>
      </c>
      <c r="V90" s="2">
        <v>47037013100</v>
      </c>
      <c r="W90" s="2" t="s">
        <v>38</v>
      </c>
      <c r="X90" s="1">
        <v>45658</v>
      </c>
      <c r="Y90" s="2">
        <v>598000</v>
      </c>
      <c r="Z90" s="2">
        <v>0</v>
      </c>
      <c r="AA90" s="2">
        <v>598000</v>
      </c>
    </row>
    <row r="91" spans="1:27" x14ac:dyDescent="0.3">
      <c r="A91" s="4" t="s">
        <v>27</v>
      </c>
      <c r="B91" s="2" t="str">
        <f>"04700017100"</f>
        <v>04700017100</v>
      </c>
      <c r="C91" s="2" t="s">
        <v>28</v>
      </c>
      <c r="D91" t="s">
        <v>29</v>
      </c>
      <c r="E91" s="2" t="s">
        <v>30</v>
      </c>
      <c r="F91" s="2">
        <v>37218</v>
      </c>
      <c r="G91" s="2" t="s">
        <v>194</v>
      </c>
      <c r="H91" t="s">
        <v>374</v>
      </c>
      <c r="I91" s="6">
        <v>39443</v>
      </c>
      <c r="J91" s="2" t="s">
        <v>375</v>
      </c>
      <c r="K91" s="2">
        <v>0</v>
      </c>
      <c r="L91" t="s">
        <v>35</v>
      </c>
      <c r="M91" t="s">
        <v>29</v>
      </c>
      <c r="N91" t="s">
        <v>30</v>
      </c>
      <c r="O91">
        <v>37219</v>
      </c>
      <c r="P91" t="s">
        <v>376</v>
      </c>
      <c r="Q91" s="2">
        <v>18.329999999999998</v>
      </c>
      <c r="R91" s="2">
        <v>100</v>
      </c>
      <c r="S91" s="2">
        <v>0</v>
      </c>
      <c r="T91" t="s">
        <v>377</v>
      </c>
      <c r="U91" s="6">
        <v>39072</v>
      </c>
      <c r="V91" s="2">
        <v>47037013100</v>
      </c>
      <c r="W91" s="2" t="s">
        <v>38</v>
      </c>
      <c r="X91" s="1">
        <v>45658</v>
      </c>
      <c r="Y91" s="2">
        <v>314200</v>
      </c>
      <c r="Z91" s="2">
        <v>50000</v>
      </c>
      <c r="AA91" s="2">
        <v>264200</v>
      </c>
    </row>
    <row r="92" spans="1:27" x14ac:dyDescent="0.3">
      <c r="A92" s="4" t="s">
        <v>27</v>
      </c>
      <c r="B92" s="2" t="str">
        <f>"07001004700"</f>
        <v>07001004700</v>
      </c>
      <c r="C92" s="2" t="s">
        <v>378</v>
      </c>
      <c r="D92" t="s">
        <v>29</v>
      </c>
      <c r="E92" s="2" t="s">
        <v>30</v>
      </c>
      <c r="F92" s="2">
        <v>37218</v>
      </c>
      <c r="G92" s="2" t="s">
        <v>64</v>
      </c>
      <c r="H92" t="s">
        <v>379</v>
      </c>
      <c r="I92" s="6">
        <v>43993</v>
      </c>
      <c r="J92" s="2" t="s">
        <v>380</v>
      </c>
      <c r="K92" s="2" t="s">
        <v>34</v>
      </c>
      <c r="L92" t="s">
        <v>315</v>
      </c>
      <c r="M92" t="s">
        <v>29</v>
      </c>
      <c r="N92" t="s">
        <v>30</v>
      </c>
      <c r="O92">
        <v>37208</v>
      </c>
      <c r="P92" t="s">
        <v>381</v>
      </c>
      <c r="Q92" s="2">
        <v>1.32</v>
      </c>
      <c r="R92" s="2">
        <v>91</v>
      </c>
      <c r="S92" s="2">
        <v>622</v>
      </c>
      <c r="T92" t="s">
        <v>382</v>
      </c>
      <c r="U92" s="6">
        <v>25386</v>
      </c>
      <c r="V92" s="2">
        <v>47037012801</v>
      </c>
      <c r="W92" s="2" t="s">
        <v>68</v>
      </c>
      <c r="X92" s="1">
        <v>45658</v>
      </c>
      <c r="Y92" s="2">
        <v>61300</v>
      </c>
      <c r="Z92" s="2">
        <v>0</v>
      </c>
      <c r="AA92" s="2">
        <v>61300</v>
      </c>
    </row>
    <row r="93" spans="1:27" x14ac:dyDescent="0.3">
      <c r="A93" s="4" t="s">
        <v>27</v>
      </c>
      <c r="B93" s="2" t="str">
        <f>"04900013809"</f>
        <v>04900013809</v>
      </c>
      <c r="C93" s="2" t="s">
        <v>383</v>
      </c>
      <c r="D93" t="s">
        <v>29</v>
      </c>
      <c r="E93" s="2" t="s">
        <v>30</v>
      </c>
      <c r="F93" s="2">
        <v>37218</v>
      </c>
      <c r="G93" s="2" t="s">
        <v>64</v>
      </c>
      <c r="H93" t="s">
        <v>379</v>
      </c>
      <c r="I93" s="6">
        <v>43943</v>
      </c>
      <c r="J93" s="2" t="s">
        <v>384</v>
      </c>
      <c r="K93" s="2" t="s">
        <v>34</v>
      </c>
      <c r="L93" t="s">
        <v>315</v>
      </c>
      <c r="M93" t="s">
        <v>29</v>
      </c>
      <c r="N93" t="s">
        <v>30</v>
      </c>
      <c r="O93">
        <v>37208</v>
      </c>
      <c r="P93" t="s">
        <v>344</v>
      </c>
      <c r="Q93" s="2">
        <v>1.06</v>
      </c>
      <c r="R93" s="2">
        <v>0</v>
      </c>
      <c r="S93" s="2">
        <v>0</v>
      </c>
      <c r="T93" t="s">
        <v>385</v>
      </c>
      <c r="U93" s="6">
        <v>26837</v>
      </c>
      <c r="V93" s="2">
        <v>47037010106</v>
      </c>
      <c r="W93" s="2" t="s">
        <v>68</v>
      </c>
      <c r="X93" s="1">
        <v>45658</v>
      </c>
      <c r="Y93" s="2">
        <v>141300</v>
      </c>
      <c r="Z93" s="2">
        <v>0</v>
      </c>
      <c r="AA93" s="2">
        <v>141300</v>
      </c>
    </row>
    <row r="94" spans="1:27" x14ac:dyDescent="0.3">
      <c r="A94" s="5" t="s">
        <v>386</v>
      </c>
      <c r="B94" s="2" t="str">
        <f>"07105030000"</f>
        <v>07105030000</v>
      </c>
      <c r="C94" s="2" t="s">
        <v>387</v>
      </c>
      <c r="D94" t="s">
        <v>29</v>
      </c>
      <c r="E94" s="2" t="s">
        <v>30</v>
      </c>
      <c r="F94" s="2">
        <v>37207</v>
      </c>
      <c r="G94" s="2" t="s">
        <v>34</v>
      </c>
      <c r="H94" t="s">
        <v>32</v>
      </c>
      <c r="I94" s="6">
        <v>45734</v>
      </c>
      <c r="J94" s="2" t="s">
        <v>388</v>
      </c>
      <c r="K94" s="2">
        <v>0</v>
      </c>
      <c r="L94" t="s">
        <v>389</v>
      </c>
      <c r="M94" t="s">
        <v>29</v>
      </c>
      <c r="N94" t="s">
        <v>30</v>
      </c>
      <c r="O94">
        <v>37201</v>
      </c>
      <c r="P94" t="s">
        <v>390</v>
      </c>
      <c r="Q94" s="2">
        <v>3</v>
      </c>
      <c r="R94" s="2">
        <v>295</v>
      </c>
      <c r="S94" s="2">
        <v>443</v>
      </c>
      <c r="T94" t="s">
        <v>391</v>
      </c>
      <c r="U94" s="6">
        <v>45688</v>
      </c>
      <c r="V94" s="2">
        <v>47047037012702</v>
      </c>
      <c r="W94" s="2" t="s">
        <v>392</v>
      </c>
      <c r="X94" s="1">
        <v>25569</v>
      </c>
      <c r="Y94" s="2" t="s">
        <v>34</v>
      </c>
      <c r="Z94" s="2" t="s">
        <v>34</v>
      </c>
      <c r="AA94" s="2" t="s">
        <v>34</v>
      </c>
    </row>
    <row r="95" spans="1:27" x14ac:dyDescent="0.3">
      <c r="A95" s="5" t="s">
        <v>386</v>
      </c>
      <c r="B95" s="2" t="str">
        <f>"06014009600"</f>
        <v>06014009600</v>
      </c>
      <c r="C95" s="2" t="s">
        <v>393</v>
      </c>
      <c r="D95" t="s">
        <v>29</v>
      </c>
      <c r="E95" s="2" t="s">
        <v>30</v>
      </c>
      <c r="F95" s="2">
        <v>37207</v>
      </c>
      <c r="G95" s="2" t="s">
        <v>64</v>
      </c>
      <c r="H95" t="s">
        <v>99</v>
      </c>
      <c r="I95" s="6">
        <v>42139</v>
      </c>
      <c r="J95" s="2" t="s">
        <v>394</v>
      </c>
      <c r="K95" s="2">
        <v>553</v>
      </c>
      <c r="L95" t="s">
        <v>35</v>
      </c>
      <c r="M95" t="s">
        <v>29</v>
      </c>
      <c r="N95" t="s">
        <v>30</v>
      </c>
      <c r="O95">
        <v>37219</v>
      </c>
      <c r="P95" t="s">
        <v>395</v>
      </c>
      <c r="Q95" s="2">
        <v>7.0000000000000007E-2</v>
      </c>
      <c r="R95" s="2">
        <v>105</v>
      </c>
      <c r="S95" s="2">
        <v>137</v>
      </c>
      <c r="T95" t="s">
        <v>396</v>
      </c>
      <c r="U95" s="6">
        <v>45312</v>
      </c>
      <c r="V95" s="2">
        <v>47047037012701</v>
      </c>
      <c r="W95" s="2" t="s">
        <v>68</v>
      </c>
      <c r="X95" s="1">
        <v>45658</v>
      </c>
      <c r="Y95" s="2">
        <v>8000</v>
      </c>
      <c r="Z95" s="2">
        <v>0</v>
      </c>
      <c r="AA95" s="2">
        <v>8000</v>
      </c>
    </row>
    <row r="96" spans="1:27" x14ac:dyDescent="0.3">
      <c r="A96" s="4" t="s">
        <v>386</v>
      </c>
      <c r="B96" s="2" t="str">
        <f>"07103000100"</f>
        <v>07103000100</v>
      </c>
      <c r="C96" s="2" t="s">
        <v>397</v>
      </c>
      <c r="D96" t="s">
        <v>29</v>
      </c>
      <c r="E96" s="2" t="s">
        <v>30</v>
      </c>
      <c r="F96" s="2">
        <v>37207</v>
      </c>
      <c r="G96" s="2" t="s">
        <v>398</v>
      </c>
      <c r="H96" t="s">
        <v>32</v>
      </c>
      <c r="I96" s="6">
        <v>36662</v>
      </c>
      <c r="J96" s="2" t="s">
        <v>399</v>
      </c>
      <c r="K96" s="2">
        <v>525000</v>
      </c>
      <c r="L96" t="s">
        <v>35</v>
      </c>
      <c r="M96" t="s">
        <v>29</v>
      </c>
      <c r="N96" t="s">
        <v>30</v>
      </c>
      <c r="O96">
        <v>37219</v>
      </c>
      <c r="P96" t="s">
        <v>400</v>
      </c>
      <c r="Q96" s="2">
        <v>1</v>
      </c>
      <c r="R96" s="2">
        <v>124</v>
      </c>
      <c r="S96" s="2">
        <v>300</v>
      </c>
      <c r="T96" t="s">
        <v>401</v>
      </c>
      <c r="U96" s="6">
        <v>33142</v>
      </c>
      <c r="V96" s="2">
        <v>47037011001</v>
      </c>
      <c r="W96" s="2" t="s">
        <v>68</v>
      </c>
      <c r="X96" s="1">
        <v>45658</v>
      </c>
      <c r="Y96" s="2">
        <v>2281600</v>
      </c>
      <c r="Z96" s="2">
        <v>2042000</v>
      </c>
      <c r="AA96" s="2">
        <v>239600</v>
      </c>
    </row>
    <row r="97" spans="1:27" x14ac:dyDescent="0.3">
      <c r="A97" s="4" t="s">
        <v>386</v>
      </c>
      <c r="B97" s="2" t="str">
        <f>"08103036200"</f>
        <v>08103036200</v>
      </c>
      <c r="C97" s="2" t="s">
        <v>402</v>
      </c>
      <c r="D97" t="s">
        <v>29</v>
      </c>
      <c r="E97" s="2" t="s">
        <v>30</v>
      </c>
      <c r="F97" s="2">
        <v>37208</v>
      </c>
      <c r="G97" s="2" t="s">
        <v>64</v>
      </c>
      <c r="H97" t="s">
        <v>32</v>
      </c>
      <c r="I97" s="6">
        <v>38782</v>
      </c>
      <c r="J97" s="2" t="s">
        <v>403</v>
      </c>
      <c r="K97" s="2">
        <v>8617</v>
      </c>
      <c r="L97" t="s">
        <v>35</v>
      </c>
      <c r="M97" t="s">
        <v>29</v>
      </c>
      <c r="N97" t="s">
        <v>30</v>
      </c>
      <c r="O97">
        <v>37219</v>
      </c>
      <c r="P97" t="s">
        <v>404</v>
      </c>
      <c r="Q97" s="2">
        <v>0.17</v>
      </c>
      <c r="R97" s="2">
        <v>64</v>
      </c>
      <c r="S97" s="2">
        <v>121</v>
      </c>
      <c r="T97" t="s">
        <v>405</v>
      </c>
      <c r="U97" s="6">
        <v>26562</v>
      </c>
      <c r="V97" s="2">
        <v>47037013700</v>
      </c>
      <c r="W97" s="2" t="s">
        <v>68</v>
      </c>
      <c r="X97" s="1">
        <v>45658</v>
      </c>
      <c r="Y97" s="2">
        <v>190000</v>
      </c>
      <c r="Z97" s="2">
        <v>0</v>
      </c>
      <c r="AA97" s="2">
        <v>190000</v>
      </c>
    </row>
    <row r="98" spans="1:27" x14ac:dyDescent="0.3">
      <c r="A98" s="4" t="s">
        <v>386</v>
      </c>
      <c r="B98" s="2" t="str">
        <f>"07004010400"</f>
        <v>07004010400</v>
      </c>
      <c r="C98" s="2" t="s">
        <v>406</v>
      </c>
      <c r="D98" t="s">
        <v>29</v>
      </c>
      <c r="E98" s="2" t="s">
        <v>30</v>
      </c>
      <c r="F98" s="2">
        <v>37207</v>
      </c>
      <c r="G98" s="2" t="s">
        <v>64</v>
      </c>
      <c r="H98" t="s">
        <v>32</v>
      </c>
      <c r="I98" s="6">
        <v>45553</v>
      </c>
      <c r="J98" s="2" t="s">
        <v>407</v>
      </c>
      <c r="K98" s="2" t="s">
        <v>34</v>
      </c>
      <c r="L98" t="s">
        <v>85</v>
      </c>
      <c r="M98" t="s">
        <v>29</v>
      </c>
      <c r="N98" t="s">
        <v>30</v>
      </c>
      <c r="O98">
        <v>37219</v>
      </c>
      <c r="P98" t="s">
        <v>408</v>
      </c>
      <c r="Q98" s="2">
        <v>0.44</v>
      </c>
      <c r="R98" s="2">
        <v>56</v>
      </c>
      <c r="S98" s="2">
        <v>484</v>
      </c>
      <c r="T98" t="s">
        <v>409</v>
      </c>
      <c r="U98" s="6">
        <v>31569</v>
      </c>
      <c r="V98" s="2">
        <v>47037012702</v>
      </c>
      <c r="W98" s="2" t="s">
        <v>68</v>
      </c>
      <c r="X98" s="1">
        <v>45658</v>
      </c>
      <c r="Y98" s="2">
        <v>152900</v>
      </c>
      <c r="Z98" s="2">
        <v>0</v>
      </c>
      <c r="AA98" s="2">
        <v>152900</v>
      </c>
    </row>
    <row r="99" spans="1:27" x14ac:dyDescent="0.3">
      <c r="A99" s="4" t="s">
        <v>386</v>
      </c>
      <c r="B99" s="2" t="str">
        <f>"07004018800"</f>
        <v>07004018800</v>
      </c>
      <c r="C99" s="2" t="s">
        <v>410</v>
      </c>
      <c r="D99" t="s">
        <v>29</v>
      </c>
      <c r="E99" s="2" t="s">
        <v>30</v>
      </c>
      <c r="F99" s="2">
        <v>37207</v>
      </c>
      <c r="G99" s="2" t="s">
        <v>64</v>
      </c>
      <c r="H99" t="s">
        <v>32</v>
      </c>
      <c r="I99" s="6">
        <v>45553</v>
      </c>
      <c r="J99" s="2" t="s">
        <v>407</v>
      </c>
      <c r="K99" s="2" t="s">
        <v>34</v>
      </c>
      <c r="L99" t="s">
        <v>85</v>
      </c>
      <c r="M99" t="s">
        <v>29</v>
      </c>
      <c r="N99" t="s">
        <v>30</v>
      </c>
      <c r="O99">
        <v>37219</v>
      </c>
      <c r="P99" t="s">
        <v>411</v>
      </c>
      <c r="Q99" s="2">
        <v>0.44</v>
      </c>
      <c r="R99" s="2">
        <v>56</v>
      </c>
      <c r="S99" s="2">
        <v>509</v>
      </c>
      <c r="T99" t="s">
        <v>409</v>
      </c>
      <c r="U99" s="6">
        <v>31569</v>
      </c>
      <c r="V99" s="2">
        <v>47037012702</v>
      </c>
      <c r="W99" s="2" t="s">
        <v>68</v>
      </c>
      <c r="X99" s="1">
        <v>45658</v>
      </c>
      <c r="Y99" s="2">
        <v>152900</v>
      </c>
      <c r="Z99" s="2">
        <v>0</v>
      </c>
      <c r="AA99" s="2">
        <v>152900</v>
      </c>
    </row>
    <row r="100" spans="1:27" x14ac:dyDescent="0.3">
      <c r="A100" s="4" t="s">
        <v>386</v>
      </c>
      <c r="B100" s="2" t="str">
        <f>"07004018900"</f>
        <v>07004018900</v>
      </c>
      <c r="C100" s="2" t="s">
        <v>412</v>
      </c>
      <c r="D100" t="s">
        <v>29</v>
      </c>
      <c r="E100" s="2" t="s">
        <v>30</v>
      </c>
      <c r="F100" s="2">
        <v>37207</v>
      </c>
      <c r="G100" s="2" t="s">
        <v>64</v>
      </c>
      <c r="H100" t="s">
        <v>32</v>
      </c>
      <c r="I100" s="6">
        <v>45553</v>
      </c>
      <c r="J100" s="2" t="s">
        <v>407</v>
      </c>
      <c r="K100" s="2">
        <v>0</v>
      </c>
      <c r="L100" t="s">
        <v>85</v>
      </c>
      <c r="M100" t="s">
        <v>29</v>
      </c>
      <c r="N100" t="s">
        <v>30</v>
      </c>
      <c r="O100">
        <v>37219</v>
      </c>
      <c r="P100" t="s">
        <v>413</v>
      </c>
      <c r="Q100" s="2">
        <v>0.44</v>
      </c>
      <c r="R100" s="2">
        <v>56</v>
      </c>
      <c r="S100" s="2">
        <v>533</v>
      </c>
      <c r="T100" t="s">
        <v>409</v>
      </c>
      <c r="U100" s="6">
        <v>31569</v>
      </c>
      <c r="V100" s="2">
        <v>47037012702</v>
      </c>
      <c r="W100" s="2" t="s">
        <v>68</v>
      </c>
      <c r="X100" s="1">
        <v>45658</v>
      </c>
      <c r="Y100" s="2">
        <v>152900</v>
      </c>
      <c r="Z100" s="2">
        <v>0</v>
      </c>
      <c r="AA100" s="2">
        <v>152900</v>
      </c>
    </row>
    <row r="101" spans="1:27" x14ac:dyDescent="0.3">
      <c r="A101" s="4" t="s">
        <v>386</v>
      </c>
      <c r="B101" s="2" t="str">
        <f>"05906005300"</f>
        <v>05906005300</v>
      </c>
      <c r="C101" s="2" t="s">
        <v>414</v>
      </c>
      <c r="D101" t="s">
        <v>29</v>
      </c>
      <c r="E101" s="2" t="s">
        <v>30</v>
      </c>
      <c r="F101" s="2">
        <v>37207</v>
      </c>
      <c r="G101" s="2" t="s">
        <v>64</v>
      </c>
      <c r="H101" t="s">
        <v>32</v>
      </c>
      <c r="I101" s="6">
        <v>42327</v>
      </c>
      <c r="J101" s="2" t="s">
        <v>415</v>
      </c>
      <c r="K101" s="2">
        <v>0</v>
      </c>
      <c r="L101" t="s">
        <v>35</v>
      </c>
      <c r="M101" t="s">
        <v>29</v>
      </c>
      <c r="N101" t="s">
        <v>30</v>
      </c>
      <c r="O101">
        <v>37219</v>
      </c>
      <c r="P101" t="s">
        <v>416</v>
      </c>
      <c r="Q101" s="2">
        <v>0.52</v>
      </c>
      <c r="R101" s="2">
        <v>77</v>
      </c>
      <c r="S101" s="2">
        <v>247</v>
      </c>
      <c r="T101" t="s">
        <v>417</v>
      </c>
      <c r="U101" s="6">
        <v>26441</v>
      </c>
      <c r="V101" s="2">
        <v>47037012701</v>
      </c>
      <c r="W101" s="2" t="s">
        <v>68</v>
      </c>
      <c r="X101" s="1">
        <v>45658</v>
      </c>
      <c r="Y101" s="2">
        <v>86500</v>
      </c>
      <c r="Z101" s="2">
        <v>0</v>
      </c>
      <c r="AA101" s="2">
        <v>86500</v>
      </c>
    </row>
    <row r="102" spans="1:27" x14ac:dyDescent="0.3">
      <c r="A102" s="4" t="s">
        <v>386</v>
      </c>
      <c r="B102" s="2" t="str">
        <f>"05900006001"</f>
        <v>05900006001</v>
      </c>
      <c r="C102" s="2" t="s">
        <v>183</v>
      </c>
      <c r="D102" t="s">
        <v>29</v>
      </c>
      <c r="E102" s="2" t="s">
        <v>30</v>
      </c>
      <c r="F102" s="2">
        <v>37207</v>
      </c>
      <c r="G102" s="2" t="s">
        <v>64</v>
      </c>
      <c r="H102" t="s">
        <v>32</v>
      </c>
      <c r="I102" s="6">
        <v>42327</v>
      </c>
      <c r="J102" s="2" t="s">
        <v>415</v>
      </c>
      <c r="K102" s="2">
        <v>0</v>
      </c>
      <c r="L102" t="s">
        <v>35</v>
      </c>
      <c r="M102" t="s">
        <v>29</v>
      </c>
      <c r="N102" t="s">
        <v>30</v>
      </c>
      <c r="O102">
        <v>37219</v>
      </c>
      <c r="P102" t="s">
        <v>418</v>
      </c>
      <c r="Q102" s="2">
        <v>23.09</v>
      </c>
      <c r="R102" s="2">
        <v>0</v>
      </c>
      <c r="S102" s="2">
        <v>0</v>
      </c>
      <c r="T102" t="s">
        <v>419</v>
      </c>
      <c r="U102" s="6">
        <v>27394</v>
      </c>
      <c r="V102" s="2">
        <v>47037012701</v>
      </c>
      <c r="W102" s="2" t="s">
        <v>68</v>
      </c>
      <c r="X102" s="1">
        <v>45658</v>
      </c>
      <c r="Y102" s="2">
        <v>686600</v>
      </c>
      <c r="Z102" s="2">
        <v>0</v>
      </c>
      <c r="AA102" s="2">
        <v>686600</v>
      </c>
    </row>
    <row r="103" spans="1:27" x14ac:dyDescent="0.3">
      <c r="A103" s="4" t="s">
        <v>386</v>
      </c>
      <c r="B103" s="2" t="str">
        <f>"07004016100"</f>
        <v>07004016100</v>
      </c>
      <c r="C103" s="2" t="s">
        <v>420</v>
      </c>
      <c r="D103" t="s">
        <v>29</v>
      </c>
      <c r="E103" s="2" t="s">
        <v>30</v>
      </c>
      <c r="F103" s="2">
        <v>37207</v>
      </c>
      <c r="G103" s="2" t="s">
        <v>64</v>
      </c>
      <c r="H103" t="s">
        <v>32</v>
      </c>
      <c r="I103" s="6">
        <v>35291</v>
      </c>
      <c r="J103" s="2" t="s">
        <v>421</v>
      </c>
      <c r="K103" s="2">
        <v>302</v>
      </c>
      <c r="L103" t="s">
        <v>35</v>
      </c>
      <c r="M103" t="s">
        <v>29</v>
      </c>
      <c r="N103" t="s">
        <v>30</v>
      </c>
      <c r="O103">
        <v>37219</v>
      </c>
      <c r="P103" t="s">
        <v>422</v>
      </c>
      <c r="Q103" s="2">
        <v>0.08</v>
      </c>
      <c r="R103" s="2">
        <v>25</v>
      </c>
      <c r="S103" s="2">
        <v>125</v>
      </c>
      <c r="T103" t="s">
        <v>423</v>
      </c>
      <c r="U103" s="6">
        <v>17722</v>
      </c>
      <c r="V103" s="2">
        <v>47037012702</v>
      </c>
      <c r="W103" s="2" t="s">
        <v>68</v>
      </c>
      <c r="X103" s="1">
        <v>45658</v>
      </c>
      <c r="Y103" s="2">
        <v>30000</v>
      </c>
      <c r="Z103" s="2">
        <v>0</v>
      </c>
      <c r="AA103" s="2">
        <v>30000</v>
      </c>
    </row>
    <row r="104" spans="1:27" x14ac:dyDescent="0.3">
      <c r="A104" s="4" t="s">
        <v>386</v>
      </c>
      <c r="B104" s="2" t="str">
        <f>"07008005100"</f>
        <v>07008005100</v>
      </c>
      <c r="C104" s="2" t="s">
        <v>424</v>
      </c>
      <c r="D104" t="s">
        <v>29</v>
      </c>
      <c r="E104" s="2" t="s">
        <v>30</v>
      </c>
      <c r="F104" s="2">
        <v>37207</v>
      </c>
      <c r="G104" s="2" t="s">
        <v>64</v>
      </c>
      <c r="H104" t="s">
        <v>32</v>
      </c>
      <c r="I104" s="6">
        <v>35291</v>
      </c>
      <c r="J104" s="2" t="s">
        <v>425</v>
      </c>
      <c r="K104" s="2">
        <v>239</v>
      </c>
      <c r="L104" t="s">
        <v>35</v>
      </c>
      <c r="M104" t="s">
        <v>29</v>
      </c>
      <c r="N104" t="s">
        <v>30</v>
      </c>
      <c r="O104">
        <v>37219</v>
      </c>
      <c r="P104" t="s">
        <v>426</v>
      </c>
      <c r="Q104" s="2">
        <v>0.06</v>
      </c>
      <c r="R104" s="2">
        <v>25</v>
      </c>
      <c r="S104" s="2">
        <v>125</v>
      </c>
      <c r="T104" t="s">
        <v>427</v>
      </c>
      <c r="U104" s="6">
        <v>26924</v>
      </c>
      <c r="V104" s="2">
        <v>47037012702</v>
      </c>
      <c r="W104" s="2" t="s">
        <v>68</v>
      </c>
      <c r="X104" s="1">
        <v>45658</v>
      </c>
      <c r="Y104" s="2">
        <v>30000</v>
      </c>
      <c r="Z104" s="2">
        <v>0</v>
      </c>
      <c r="AA104" s="2">
        <v>30000</v>
      </c>
    </row>
    <row r="105" spans="1:27" x14ac:dyDescent="0.3">
      <c r="A105" s="4" t="s">
        <v>386</v>
      </c>
      <c r="B105" s="2" t="str">
        <f>"07008004000"</f>
        <v>07008004000</v>
      </c>
      <c r="C105" s="2" t="s">
        <v>424</v>
      </c>
      <c r="D105" t="s">
        <v>29</v>
      </c>
      <c r="E105" s="2" t="s">
        <v>30</v>
      </c>
      <c r="F105" s="2">
        <v>37207</v>
      </c>
      <c r="G105" s="2" t="s">
        <v>64</v>
      </c>
      <c r="H105" t="s">
        <v>32</v>
      </c>
      <c r="I105" s="6">
        <v>35291</v>
      </c>
      <c r="J105" s="2" t="s">
        <v>428</v>
      </c>
      <c r="K105" s="2">
        <v>249</v>
      </c>
      <c r="L105" t="s">
        <v>35</v>
      </c>
      <c r="M105" t="s">
        <v>29</v>
      </c>
      <c r="N105" t="s">
        <v>30</v>
      </c>
      <c r="O105">
        <v>37219</v>
      </c>
      <c r="P105" t="s">
        <v>429</v>
      </c>
      <c r="Q105" s="2">
        <v>0.13</v>
      </c>
      <c r="R105" s="2">
        <v>50</v>
      </c>
      <c r="S105" s="2">
        <v>125</v>
      </c>
      <c r="T105" t="s">
        <v>427</v>
      </c>
      <c r="U105" s="6">
        <v>26924</v>
      </c>
      <c r="V105" s="2">
        <v>47037012702</v>
      </c>
      <c r="W105" s="2" t="s">
        <v>68</v>
      </c>
      <c r="X105" s="1">
        <v>45658</v>
      </c>
      <c r="Y105" s="2">
        <v>30000</v>
      </c>
      <c r="Z105" s="2">
        <v>0</v>
      </c>
      <c r="AA105" s="2">
        <v>30000</v>
      </c>
    </row>
    <row r="106" spans="1:27" x14ac:dyDescent="0.3">
      <c r="A106" s="4" t="s">
        <v>386</v>
      </c>
      <c r="B106" s="2" t="str">
        <f>"05916024800"</f>
        <v>05916024800</v>
      </c>
      <c r="C106" s="2" t="s">
        <v>430</v>
      </c>
      <c r="D106" t="s">
        <v>29</v>
      </c>
      <c r="E106" s="2" t="s">
        <v>30</v>
      </c>
      <c r="F106" s="2">
        <v>37207</v>
      </c>
      <c r="G106" s="2" t="s">
        <v>64</v>
      </c>
      <c r="H106" t="s">
        <v>32</v>
      </c>
      <c r="I106" s="6">
        <v>42292</v>
      </c>
      <c r="J106" s="2" t="s">
        <v>431</v>
      </c>
      <c r="K106" s="2">
        <v>0</v>
      </c>
      <c r="L106" t="s">
        <v>35</v>
      </c>
      <c r="M106" t="s">
        <v>29</v>
      </c>
      <c r="N106" t="s">
        <v>30</v>
      </c>
      <c r="O106">
        <v>37219</v>
      </c>
      <c r="P106" t="s">
        <v>432</v>
      </c>
      <c r="Q106" s="2">
        <v>28.35</v>
      </c>
      <c r="R106" s="2">
        <v>0</v>
      </c>
      <c r="S106" s="2">
        <v>0</v>
      </c>
      <c r="T106" t="s">
        <v>433</v>
      </c>
      <c r="U106" s="6">
        <v>43437</v>
      </c>
      <c r="V106" s="2">
        <v>47037012701</v>
      </c>
      <c r="W106" s="2" t="s">
        <v>68</v>
      </c>
      <c r="X106" s="1">
        <v>45658</v>
      </c>
      <c r="Y106" s="2">
        <v>4037900</v>
      </c>
      <c r="Z106" s="2">
        <v>0</v>
      </c>
      <c r="AA106" s="2">
        <v>4037900</v>
      </c>
    </row>
    <row r="107" spans="1:27" x14ac:dyDescent="0.3">
      <c r="A107" s="4" t="s">
        <v>386</v>
      </c>
      <c r="B107" s="2" t="str">
        <f>"08103034900"</f>
        <v>08103034900</v>
      </c>
      <c r="C107" s="2" t="s">
        <v>434</v>
      </c>
      <c r="D107" t="s">
        <v>29</v>
      </c>
      <c r="E107" s="2" t="s">
        <v>30</v>
      </c>
      <c r="F107" s="2">
        <v>37208</v>
      </c>
      <c r="G107" s="2" t="s">
        <v>64</v>
      </c>
      <c r="H107" t="s">
        <v>99</v>
      </c>
      <c r="I107" s="6">
        <v>28948</v>
      </c>
      <c r="J107" s="2" t="s">
        <v>435</v>
      </c>
      <c r="K107" s="2">
        <v>143</v>
      </c>
      <c r="L107" t="s">
        <v>35</v>
      </c>
      <c r="M107" t="s">
        <v>29</v>
      </c>
      <c r="N107" t="s">
        <v>30</v>
      </c>
      <c r="O107">
        <v>37219</v>
      </c>
      <c r="P107" t="s">
        <v>436</v>
      </c>
      <c r="Q107" s="2">
        <v>0.06</v>
      </c>
      <c r="R107" s="2">
        <v>97</v>
      </c>
      <c r="S107" s="2">
        <v>41</v>
      </c>
      <c r="T107" t="s">
        <v>437</v>
      </c>
      <c r="U107" s="6">
        <v>24173</v>
      </c>
      <c r="V107" s="2">
        <v>47037013700</v>
      </c>
      <c r="W107" s="2" t="s">
        <v>68</v>
      </c>
      <c r="X107" s="1">
        <v>45658</v>
      </c>
      <c r="Y107" s="2">
        <v>171000</v>
      </c>
      <c r="Z107" s="2">
        <v>0</v>
      </c>
      <c r="AA107" s="2">
        <v>171000</v>
      </c>
    </row>
    <row r="108" spans="1:27" x14ac:dyDescent="0.3">
      <c r="A108" s="4" t="s">
        <v>386</v>
      </c>
      <c r="B108" s="2" t="str">
        <f>"06007002900"</f>
        <v>06007002900</v>
      </c>
      <c r="C108" s="2" t="s">
        <v>438</v>
      </c>
      <c r="D108" t="s">
        <v>29</v>
      </c>
      <c r="E108" s="2" t="s">
        <v>30</v>
      </c>
      <c r="F108" s="2">
        <v>37207</v>
      </c>
      <c r="G108" s="2" t="s">
        <v>64</v>
      </c>
      <c r="H108" t="s">
        <v>99</v>
      </c>
      <c r="I108" s="6">
        <v>40198</v>
      </c>
      <c r="J108" s="2" t="s">
        <v>439</v>
      </c>
      <c r="K108" s="2">
        <v>474</v>
      </c>
      <c r="L108" t="s">
        <v>35</v>
      </c>
      <c r="M108" t="s">
        <v>29</v>
      </c>
      <c r="N108" t="s">
        <v>30</v>
      </c>
      <c r="O108">
        <v>37219</v>
      </c>
      <c r="P108" t="s">
        <v>440</v>
      </c>
      <c r="Q108" s="2">
        <v>0.11</v>
      </c>
      <c r="R108" s="2">
        <v>170</v>
      </c>
      <c r="S108" s="2">
        <v>153</v>
      </c>
      <c r="T108" t="s">
        <v>441</v>
      </c>
      <c r="U108" s="6">
        <v>23664</v>
      </c>
      <c r="V108" s="2">
        <v>47037011001</v>
      </c>
      <c r="W108" s="2" t="s">
        <v>68</v>
      </c>
      <c r="X108" s="1">
        <v>45658</v>
      </c>
      <c r="Y108" s="2">
        <v>10000</v>
      </c>
      <c r="Z108" s="2">
        <v>0</v>
      </c>
      <c r="AA108" s="2">
        <v>10000</v>
      </c>
    </row>
    <row r="109" spans="1:27" x14ac:dyDescent="0.3">
      <c r="A109" s="4" t="s">
        <v>386</v>
      </c>
      <c r="B109" s="2" t="str">
        <f>"06011001700"</f>
        <v>06011001700</v>
      </c>
      <c r="C109" s="2" t="s">
        <v>442</v>
      </c>
      <c r="D109" t="s">
        <v>29</v>
      </c>
      <c r="E109" s="2" t="s">
        <v>30</v>
      </c>
      <c r="F109" s="2">
        <v>37207</v>
      </c>
      <c r="G109" s="2" t="s">
        <v>64</v>
      </c>
      <c r="H109" t="s">
        <v>99</v>
      </c>
      <c r="I109" s="6">
        <v>35655</v>
      </c>
      <c r="J109" s="2" t="s">
        <v>443</v>
      </c>
      <c r="K109" s="2">
        <v>304</v>
      </c>
      <c r="L109" t="s">
        <v>35</v>
      </c>
      <c r="M109" t="s">
        <v>29</v>
      </c>
      <c r="N109" t="s">
        <v>30</v>
      </c>
      <c r="O109">
        <v>37219</v>
      </c>
      <c r="P109" t="s">
        <v>444</v>
      </c>
      <c r="Q109" s="2">
        <v>0.05</v>
      </c>
      <c r="R109" s="2">
        <v>101</v>
      </c>
      <c r="S109" s="2">
        <v>38</v>
      </c>
      <c r="T109" t="s">
        <v>445</v>
      </c>
      <c r="U109" s="6">
        <v>22843</v>
      </c>
      <c r="V109" s="2">
        <v>47037011001</v>
      </c>
      <c r="W109" s="2" t="s">
        <v>68</v>
      </c>
      <c r="X109" s="1">
        <v>45658</v>
      </c>
      <c r="Y109" s="2">
        <v>2500</v>
      </c>
      <c r="Z109" s="2">
        <v>0</v>
      </c>
      <c r="AA109" s="2">
        <v>2500</v>
      </c>
    </row>
    <row r="110" spans="1:27" x14ac:dyDescent="0.3">
      <c r="A110" s="4" t="s">
        <v>386</v>
      </c>
      <c r="B110" s="2" t="str">
        <f>"05914020500"</f>
        <v>05914020500</v>
      </c>
      <c r="C110" s="2" t="s">
        <v>446</v>
      </c>
      <c r="D110" t="s">
        <v>29</v>
      </c>
      <c r="E110" s="2" t="s">
        <v>30</v>
      </c>
      <c r="F110" s="2">
        <v>37207</v>
      </c>
      <c r="G110" s="2" t="s">
        <v>64</v>
      </c>
      <c r="H110" t="s">
        <v>99</v>
      </c>
      <c r="I110" s="6">
        <v>29678</v>
      </c>
      <c r="J110" s="2" t="s">
        <v>447</v>
      </c>
      <c r="K110" s="2">
        <v>136</v>
      </c>
      <c r="L110" t="s">
        <v>35</v>
      </c>
      <c r="M110" t="s">
        <v>29</v>
      </c>
      <c r="N110" t="s">
        <v>30</v>
      </c>
      <c r="O110">
        <v>37219</v>
      </c>
      <c r="P110" t="s">
        <v>448</v>
      </c>
      <c r="Q110" s="2">
        <v>0.05</v>
      </c>
      <c r="R110" s="2">
        <v>10</v>
      </c>
      <c r="S110" s="2">
        <v>80</v>
      </c>
      <c r="T110" t="s">
        <v>449</v>
      </c>
      <c r="U110" s="6">
        <v>23400</v>
      </c>
      <c r="V110" s="2">
        <v>47037012702</v>
      </c>
      <c r="W110" s="2" t="s">
        <v>68</v>
      </c>
      <c r="X110" s="1">
        <v>45658</v>
      </c>
      <c r="Y110" s="2">
        <v>900</v>
      </c>
      <c r="Z110" s="2">
        <v>0</v>
      </c>
      <c r="AA110" s="2">
        <v>900</v>
      </c>
    </row>
    <row r="111" spans="1:27" x14ac:dyDescent="0.3">
      <c r="A111" s="4" t="s">
        <v>386</v>
      </c>
      <c r="B111" s="2" t="str">
        <f>"08102012100"</f>
        <v>08102012100</v>
      </c>
      <c r="C111" s="2" t="s">
        <v>450</v>
      </c>
      <c r="D111" t="s">
        <v>29</v>
      </c>
      <c r="E111" s="2" t="s">
        <v>30</v>
      </c>
      <c r="F111" s="2">
        <v>37208</v>
      </c>
      <c r="G111" s="2" t="s">
        <v>41</v>
      </c>
      <c r="H111" t="s">
        <v>99</v>
      </c>
      <c r="I111" s="6">
        <v>41297</v>
      </c>
      <c r="J111" s="2" t="s">
        <v>451</v>
      </c>
      <c r="K111" s="2">
        <v>330382</v>
      </c>
      <c r="L111" t="s">
        <v>35</v>
      </c>
      <c r="M111" t="s">
        <v>29</v>
      </c>
      <c r="N111" t="s">
        <v>30</v>
      </c>
      <c r="O111">
        <v>37219</v>
      </c>
      <c r="P111" t="s">
        <v>452</v>
      </c>
      <c r="Q111" s="2">
        <v>2.88</v>
      </c>
      <c r="R111" s="2">
        <v>0</v>
      </c>
      <c r="S111" s="2">
        <v>0</v>
      </c>
      <c r="T111" t="s">
        <v>453</v>
      </c>
      <c r="U111" s="6">
        <v>2113</v>
      </c>
      <c r="V111" s="2">
        <v>47037013700</v>
      </c>
      <c r="W111" s="2" t="s">
        <v>68</v>
      </c>
      <c r="X111" s="1">
        <v>45658</v>
      </c>
      <c r="Y111" s="2">
        <v>2358500</v>
      </c>
      <c r="Z111" s="2">
        <v>0</v>
      </c>
      <c r="AA111" s="2">
        <v>2358500</v>
      </c>
    </row>
    <row r="112" spans="1:27" x14ac:dyDescent="0.3">
      <c r="A112" s="4" t="s">
        <v>386</v>
      </c>
      <c r="B112" s="2" t="str">
        <f>"05916017200"</f>
        <v>05916017200</v>
      </c>
      <c r="C112" s="2" t="s">
        <v>454</v>
      </c>
      <c r="D112" t="s">
        <v>29</v>
      </c>
      <c r="E112" s="2" t="s">
        <v>30</v>
      </c>
      <c r="F112" s="2">
        <v>37207</v>
      </c>
      <c r="G112" s="2" t="s">
        <v>64</v>
      </c>
      <c r="H112" t="s">
        <v>99</v>
      </c>
      <c r="I112" s="6">
        <v>41198</v>
      </c>
      <c r="J112" s="2" t="s">
        <v>455</v>
      </c>
      <c r="K112" s="2">
        <v>757</v>
      </c>
      <c r="L112" t="s">
        <v>35</v>
      </c>
      <c r="M112" t="s">
        <v>29</v>
      </c>
      <c r="N112" t="s">
        <v>30</v>
      </c>
      <c r="O112">
        <v>37219</v>
      </c>
      <c r="P112" t="s">
        <v>456</v>
      </c>
      <c r="Q112" s="2">
        <v>0.17</v>
      </c>
      <c r="R112" s="2">
        <v>50</v>
      </c>
      <c r="S112" s="2">
        <v>150</v>
      </c>
      <c r="T112" t="s">
        <v>457</v>
      </c>
      <c r="U112" s="6">
        <v>18791</v>
      </c>
      <c r="V112" s="2">
        <v>47037012701</v>
      </c>
      <c r="W112" s="2" t="s">
        <v>68</v>
      </c>
      <c r="X112" s="1">
        <v>45658</v>
      </c>
      <c r="Y112" s="2">
        <v>21600</v>
      </c>
      <c r="Z112" s="2">
        <v>0</v>
      </c>
      <c r="AA112" s="2">
        <v>21600</v>
      </c>
    </row>
    <row r="113" spans="1:27" x14ac:dyDescent="0.3">
      <c r="A113" s="4" t="s">
        <v>386</v>
      </c>
      <c r="B113" s="2" t="str">
        <f>"05916021500"</f>
        <v>05916021500</v>
      </c>
      <c r="C113" s="2" t="s">
        <v>458</v>
      </c>
      <c r="D113" t="s">
        <v>29</v>
      </c>
      <c r="E113" s="2" t="s">
        <v>30</v>
      </c>
      <c r="F113" s="2">
        <v>37207</v>
      </c>
      <c r="G113" s="2" t="s">
        <v>64</v>
      </c>
      <c r="H113" t="s">
        <v>99</v>
      </c>
      <c r="I113" s="6">
        <v>29300</v>
      </c>
      <c r="J113" s="2" t="s">
        <v>459</v>
      </c>
      <c r="K113" s="2" t="s">
        <v>34</v>
      </c>
      <c r="L113" t="s">
        <v>35</v>
      </c>
      <c r="M113" t="s">
        <v>29</v>
      </c>
      <c r="N113" t="s">
        <v>30</v>
      </c>
      <c r="O113">
        <v>37219</v>
      </c>
      <c r="P113" t="s">
        <v>460</v>
      </c>
      <c r="Q113" s="2">
        <v>0.03</v>
      </c>
      <c r="R113" s="2">
        <v>18</v>
      </c>
      <c r="S113" s="2">
        <v>110</v>
      </c>
      <c r="T113" t="s">
        <v>461</v>
      </c>
      <c r="U113" s="6">
        <v>25976</v>
      </c>
      <c r="V113" s="2">
        <v>47037012701</v>
      </c>
      <c r="W113" s="2" t="s">
        <v>68</v>
      </c>
      <c r="X113" s="1">
        <v>45658</v>
      </c>
      <c r="Y113" s="2">
        <v>300</v>
      </c>
      <c r="Z113" s="2">
        <v>0</v>
      </c>
      <c r="AA113" s="2">
        <v>300</v>
      </c>
    </row>
    <row r="114" spans="1:27" x14ac:dyDescent="0.3">
      <c r="A114" s="4" t="s">
        <v>386</v>
      </c>
      <c r="B114" s="2" t="str">
        <f>"05916016300"</f>
        <v>05916016300</v>
      </c>
      <c r="C114" s="2" t="s">
        <v>462</v>
      </c>
      <c r="D114" t="s">
        <v>29</v>
      </c>
      <c r="E114" s="2" t="s">
        <v>30</v>
      </c>
      <c r="F114" s="2">
        <v>37207</v>
      </c>
      <c r="G114" s="2" t="s">
        <v>64</v>
      </c>
      <c r="H114" t="s">
        <v>99</v>
      </c>
      <c r="I114" s="6">
        <v>41444</v>
      </c>
      <c r="J114" s="2" t="s">
        <v>463</v>
      </c>
      <c r="K114" s="2">
        <v>442</v>
      </c>
      <c r="L114" t="s">
        <v>35</v>
      </c>
      <c r="M114" t="s">
        <v>29</v>
      </c>
      <c r="N114" t="s">
        <v>30</v>
      </c>
      <c r="O114">
        <v>37219</v>
      </c>
      <c r="P114" t="s">
        <v>456</v>
      </c>
      <c r="Q114" s="2">
        <v>0.17</v>
      </c>
      <c r="R114" s="2">
        <v>50</v>
      </c>
      <c r="S114" s="2">
        <v>150</v>
      </c>
      <c r="T114" t="s">
        <v>464</v>
      </c>
      <c r="U114" s="6">
        <v>18268</v>
      </c>
      <c r="V114" s="2">
        <v>47037012701</v>
      </c>
      <c r="W114" s="2" t="s">
        <v>68</v>
      </c>
      <c r="X114" s="1">
        <v>45658</v>
      </c>
      <c r="Y114" s="2">
        <v>21600</v>
      </c>
      <c r="Z114" s="2">
        <v>0</v>
      </c>
      <c r="AA114" s="2">
        <v>21600</v>
      </c>
    </row>
    <row r="115" spans="1:27" x14ac:dyDescent="0.3">
      <c r="A115" s="4" t="s">
        <v>386</v>
      </c>
      <c r="B115" s="2" t="str">
        <f>"07110004500"</f>
        <v>07110004500</v>
      </c>
      <c r="C115" s="2" t="s">
        <v>465</v>
      </c>
      <c r="D115" t="s">
        <v>29</v>
      </c>
      <c r="E115" s="2" t="s">
        <v>30</v>
      </c>
      <c r="F115" s="2">
        <v>37207</v>
      </c>
      <c r="G115" s="2" t="s">
        <v>41</v>
      </c>
      <c r="H115" t="s">
        <v>99</v>
      </c>
      <c r="I115" s="6">
        <v>41262</v>
      </c>
      <c r="J115" s="2" t="s">
        <v>466</v>
      </c>
      <c r="K115" s="2">
        <v>90416</v>
      </c>
      <c r="L115" t="s">
        <v>35</v>
      </c>
      <c r="M115" t="s">
        <v>29</v>
      </c>
      <c r="N115" t="s">
        <v>30</v>
      </c>
      <c r="O115">
        <v>37219</v>
      </c>
      <c r="P115" t="s">
        <v>467</v>
      </c>
      <c r="Q115" s="2">
        <v>1.43</v>
      </c>
      <c r="R115" s="2">
        <v>235</v>
      </c>
      <c r="S115" s="2">
        <v>286</v>
      </c>
      <c r="T115" t="s">
        <v>468</v>
      </c>
      <c r="U115" s="6">
        <v>25479</v>
      </c>
      <c r="V115" s="2">
        <v>47037012702</v>
      </c>
      <c r="W115" s="2" t="s">
        <v>68</v>
      </c>
      <c r="X115" s="1">
        <v>45658</v>
      </c>
      <c r="Y115" s="2">
        <v>1580000</v>
      </c>
      <c r="Z115" s="2">
        <v>0</v>
      </c>
      <c r="AA115" s="2">
        <v>1580000</v>
      </c>
    </row>
    <row r="116" spans="1:27" x14ac:dyDescent="0.3">
      <c r="A116" s="4" t="s">
        <v>386</v>
      </c>
      <c r="B116" s="2" t="str">
        <f>"07008005200"</f>
        <v>07008005200</v>
      </c>
      <c r="C116" s="2" t="s">
        <v>424</v>
      </c>
      <c r="D116" t="s">
        <v>29</v>
      </c>
      <c r="E116" s="2" t="s">
        <v>30</v>
      </c>
      <c r="F116" s="2">
        <v>37207</v>
      </c>
      <c r="G116" s="2" t="s">
        <v>64</v>
      </c>
      <c r="H116" t="s">
        <v>99</v>
      </c>
      <c r="I116" s="6">
        <v>35389</v>
      </c>
      <c r="J116" s="2" t="s">
        <v>469</v>
      </c>
      <c r="K116" s="2">
        <v>438</v>
      </c>
      <c r="L116" t="s">
        <v>35</v>
      </c>
      <c r="M116" t="s">
        <v>29</v>
      </c>
      <c r="N116" t="s">
        <v>30</v>
      </c>
      <c r="O116">
        <v>37219</v>
      </c>
      <c r="P116" t="s">
        <v>470</v>
      </c>
      <c r="Q116" s="2">
        <v>0.06</v>
      </c>
      <c r="R116" s="2">
        <v>25</v>
      </c>
      <c r="S116" s="2">
        <v>125</v>
      </c>
      <c r="T116" t="s">
        <v>427</v>
      </c>
      <c r="U116" s="6">
        <v>26924</v>
      </c>
      <c r="V116" s="2">
        <v>47037012702</v>
      </c>
      <c r="W116" s="2" t="s">
        <v>68</v>
      </c>
      <c r="X116" s="1">
        <v>45658</v>
      </c>
      <c r="Y116" s="2">
        <v>30000</v>
      </c>
      <c r="Z116" s="2">
        <v>0</v>
      </c>
      <c r="AA116" s="2">
        <v>30000</v>
      </c>
    </row>
    <row r="117" spans="1:27" x14ac:dyDescent="0.3">
      <c r="A117" s="4" t="s">
        <v>386</v>
      </c>
      <c r="B117" s="2" t="str">
        <f>"07008006700"</f>
        <v>07008006700</v>
      </c>
      <c r="C117" s="2" t="s">
        <v>424</v>
      </c>
      <c r="D117" t="s">
        <v>29</v>
      </c>
      <c r="E117" s="2" t="s">
        <v>30</v>
      </c>
      <c r="F117" s="2">
        <v>37207</v>
      </c>
      <c r="G117" s="2" t="s">
        <v>64</v>
      </c>
      <c r="H117" t="s">
        <v>99</v>
      </c>
      <c r="I117" s="6">
        <v>33374</v>
      </c>
      <c r="J117" s="2" t="s">
        <v>471</v>
      </c>
      <c r="K117" s="2">
        <v>1326</v>
      </c>
      <c r="L117" t="s">
        <v>35</v>
      </c>
      <c r="M117" t="s">
        <v>29</v>
      </c>
      <c r="N117" t="s">
        <v>30</v>
      </c>
      <c r="O117">
        <v>37219</v>
      </c>
      <c r="P117" t="s">
        <v>472</v>
      </c>
      <c r="Q117" s="2">
        <v>0.1</v>
      </c>
      <c r="R117" s="2">
        <v>19</v>
      </c>
      <c r="S117" s="2">
        <v>125</v>
      </c>
      <c r="T117" t="s">
        <v>473</v>
      </c>
      <c r="U117" s="6">
        <v>33380</v>
      </c>
      <c r="V117" s="2">
        <v>47037012702</v>
      </c>
      <c r="W117" s="2" t="s">
        <v>68</v>
      </c>
      <c r="X117" s="1">
        <v>45658</v>
      </c>
      <c r="Y117" s="2">
        <v>108000</v>
      </c>
      <c r="Z117" s="2">
        <v>0</v>
      </c>
      <c r="AA117" s="2">
        <v>108000</v>
      </c>
    </row>
    <row r="118" spans="1:27" x14ac:dyDescent="0.3">
      <c r="A118" s="4" t="s">
        <v>386</v>
      </c>
      <c r="B118" s="2" t="str">
        <f>"07105022901"</f>
        <v>07105022901</v>
      </c>
      <c r="C118" s="2" t="s">
        <v>474</v>
      </c>
      <c r="D118" t="s">
        <v>29</v>
      </c>
      <c r="E118" s="2" t="s">
        <v>30</v>
      </c>
      <c r="F118" s="2">
        <v>37207</v>
      </c>
      <c r="G118" s="2" t="s">
        <v>64</v>
      </c>
      <c r="H118" t="s">
        <v>99</v>
      </c>
      <c r="I118" s="6">
        <v>39982</v>
      </c>
      <c r="J118" s="2" t="s">
        <v>475</v>
      </c>
      <c r="K118" s="2">
        <v>39500</v>
      </c>
      <c r="L118" t="s">
        <v>35</v>
      </c>
      <c r="M118" t="s">
        <v>29</v>
      </c>
      <c r="N118" t="s">
        <v>30</v>
      </c>
      <c r="O118">
        <v>37219</v>
      </c>
      <c r="P118" t="s">
        <v>476</v>
      </c>
      <c r="Q118" s="2">
        <v>7.0000000000000007E-2</v>
      </c>
      <c r="R118" s="2">
        <v>90</v>
      </c>
      <c r="S118" s="2">
        <v>145</v>
      </c>
      <c r="T118" t="s">
        <v>477</v>
      </c>
      <c r="U118" s="6">
        <v>27039</v>
      </c>
      <c r="V118" s="2">
        <v>47037012702</v>
      </c>
      <c r="W118" s="2" t="s">
        <v>68</v>
      </c>
      <c r="X118" s="1">
        <v>45658</v>
      </c>
      <c r="Y118" s="2">
        <v>8000</v>
      </c>
      <c r="Z118" s="2">
        <v>0</v>
      </c>
      <c r="AA118" s="2">
        <v>8000</v>
      </c>
    </row>
    <row r="119" spans="1:27" x14ac:dyDescent="0.3">
      <c r="A119" s="4" t="s">
        <v>386</v>
      </c>
      <c r="B119" s="2" t="str">
        <f>"07008009300"</f>
        <v>07008009300</v>
      </c>
      <c r="C119" s="2" t="s">
        <v>478</v>
      </c>
      <c r="D119" t="s">
        <v>29</v>
      </c>
      <c r="E119" s="2" t="s">
        <v>30</v>
      </c>
      <c r="F119" s="2">
        <v>37207</v>
      </c>
      <c r="G119" s="2" t="s">
        <v>64</v>
      </c>
      <c r="H119" t="s">
        <v>99</v>
      </c>
      <c r="I119" s="6">
        <v>28880</v>
      </c>
      <c r="J119" s="2" t="s">
        <v>479</v>
      </c>
      <c r="K119" s="2">
        <v>204</v>
      </c>
      <c r="L119" t="s">
        <v>35</v>
      </c>
      <c r="M119" t="s">
        <v>29</v>
      </c>
      <c r="N119" t="s">
        <v>30</v>
      </c>
      <c r="O119">
        <v>37219</v>
      </c>
      <c r="P119" t="s">
        <v>480</v>
      </c>
      <c r="Q119" s="2">
        <v>0.08</v>
      </c>
      <c r="R119" s="2">
        <v>25</v>
      </c>
      <c r="S119" s="2">
        <v>125</v>
      </c>
      <c r="T119" t="s">
        <v>481</v>
      </c>
      <c r="U119" s="6">
        <v>1003</v>
      </c>
      <c r="V119" s="2">
        <v>47037012702</v>
      </c>
      <c r="W119" s="2" t="s">
        <v>68</v>
      </c>
      <c r="X119" s="1">
        <v>45658</v>
      </c>
      <c r="Y119" s="2">
        <v>102000</v>
      </c>
      <c r="Z119" s="2">
        <v>0</v>
      </c>
      <c r="AA119" s="2">
        <v>102000</v>
      </c>
    </row>
    <row r="120" spans="1:27" x14ac:dyDescent="0.3">
      <c r="A120" s="4" t="s">
        <v>386</v>
      </c>
      <c r="B120" s="2" t="str">
        <f>"07008001700"</f>
        <v>07008001700</v>
      </c>
      <c r="C120" s="2" t="s">
        <v>482</v>
      </c>
      <c r="D120" t="s">
        <v>29</v>
      </c>
      <c r="E120" s="2" t="s">
        <v>30</v>
      </c>
      <c r="F120" s="2">
        <v>37207</v>
      </c>
      <c r="G120" s="2" t="s">
        <v>64</v>
      </c>
      <c r="H120" t="s">
        <v>99</v>
      </c>
      <c r="I120" s="6">
        <v>36553</v>
      </c>
      <c r="J120" s="2" t="s">
        <v>483</v>
      </c>
      <c r="K120" s="2">
        <v>1027</v>
      </c>
      <c r="L120" t="s">
        <v>35</v>
      </c>
      <c r="M120" t="s">
        <v>29</v>
      </c>
      <c r="N120" t="s">
        <v>30</v>
      </c>
      <c r="O120">
        <v>37219</v>
      </c>
      <c r="P120" t="s">
        <v>484</v>
      </c>
      <c r="Q120" s="2">
        <v>0.06</v>
      </c>
      <c r="R120" s="2">
        <v>29</v>
      </c>
      <c r="S120" s="2">
        <v>120</v>
      </c>
      <c r="T120" t="s">
        <v>485</v>
      </c>
      <c r="U120" s="6">
        <v>33261</v>
      </c>
      <c r="V120" s="2">
        <v>47037012702</v>
      </c>
      <c r="W120" s="2" t="s">
        <v>68</v>
      </c>
      <c r="X120" s="1">
        <v>45658</v>
      </c>
      <c r="Y120" s="2">
        <v>8000</v>
      </c>
      <c r="Z120" s="2">
        <v>0</v>
      </c>
      <c r="AA120" s="2">
        <v>8000</v>
      </c>
    </row>
    <row r="121" spans="1:27" x14ac:dyDescent="0.3">
      <c r="A121" s="4" t="s">
        <v>386</v>
      </c>
      <c r="B121" s="2" t="str">
        <f>"06009001400"</f>
        <v>06009001400</v>
      </c>
      <c r="C121" s="2" t="s">
        <v>458</v>
      </c>
      <c r="D121" t="s">
        <v>29</v>
      </c>
      <c r="E121" s="2" t="s">
        <v>30</v>
      </c>
      <c r="F121" s="2">
        <v>37207</v>
      </c>
      <c r="G121" s="2" t="s">
        <v>64</v>
      </c>
      <c r="H121" t="s">
        <v>99</v>
      </c>
      <c r="I121" s="6">
        <v>39708</v>
      </c>
      <c r="J121" s="2" t="s">
        <v>486</v>
      </c>
      <c r="K121" s="2">
        <v>710</v>
      </c>
      <c r="L121" t="s">
        <v>35</v>
      </c>
      <c r="M121" t="s">
        <v>29</v>
      </c>
      <c r="N121" t="s">
        <v>30</v>
      </c>
      <c r="O121">
        <v>37219</v>
      </c>
      <c r="P121" t="s">
        <v>487</v>
      </c>
      <c r="Q121" s="2">
        <v>0.09</v>
      </c>
      <c r="R121" s="2">
        <v>0</v>
      </c>
      <c r="S121" s="2">
        <v>85</v>
      </c>
      <c r="T121" t="s">
        <v>488</v>
      </c>
      <c r="U121" s="6">
        <v>31107</v>
      </c>
      <c r="V121" s="2">
        <v>47037012701</v>
      </c>
      <c r="W121" s="2" t="s">
        <v>68</v>
      </c>
      <c r="X121" s="1">
        <v>45658</v>
      </c>
      <c r="Y121" s="2">
        <v>300</v>
      </c>
      <c r="Z121" s="2">
        <v>0</v>
      </c>
      <c r="AA121" s="2">
        <v>300</v>
      </c>
    </row>
    <row r="122" spans="1:27" x14ac:dyDescent="0.3">
      <c r="A122" s="4" t="s">
        <v>386</v>
      </c>
      <c r="B122" s="2" t="str">
        <f>"06013007800"</f>
        <v>06013007800</v>
      </c>
      <c r="C122" s="2" t="s">
        <v>489</v>
      </c>
      <c r="D122" t="s">
        <v>29</v>
      </c>
      <c r="E122" s="2" t="s">
        <v>30</v>
      </c>
      <c r="F122" s="2">
        <v>37207</v>
      </c>
      <c r="G122" s="2" t="s">
        <v>64</v>
      </c>
      <c r="H122" t="s">
        <v>99</v>
      </c>
      <c r="I122" s="6">
        <v>32898</v>
      </c>
      <c r="J122" s="2" t="s">
        <v>490</v>
      </c>
      <c r="K122" s="2">
        <v>239</v>
      </c>
      <c r="L122" t="s">
        <v>35</v>
      </c>
      <c r="M122" t="s">
        <v>29</v>
      </c>
      <c r="N122" t="s">
        <v>30</v>
      </c>
      <c r="O122">
        <v>37219</v>
      </c>
      <c r="P122" t="s">
        <v>491</v>
      </c>
      <c r="Q122" s="2">
        <v>0.08</v>
      </c>
      <c r="R122" s="2">
        <v>0</v>
      </c>
      <c r="S122" s="2">
        <v>133</v>
      </c>
      <c r="T122" t="s">
        <v>492</v>
      </c>
      <c r="U122" s="6">
        <v>24957</v>
      </c>
      <c r="V122" s="2">
        <v>47037012701</v>
      </c>
      <c r="W122" s="2" t="s">
        <v>68</v>
      </c>
      <c r="X122" s="1">
        <v>45658</v>
      </c>
      <c r="Y122" s="2">
        <v>300</v>
      </c>
      <c r="Z122" s="2">
        <v>0</v>
      </c>
      <c r="AA122" s="2">
        <v>300</v>
      </c>
    </row>
    <row r="123" spans="1:27" x14ac:dyDescent="0.3">
      <c r="A123" s="4" t="s">
        <v>386</v>
      </c>
      <c r="B123" s="2" t="str">
        <f>"05900012400"</f>
        <v>05900012400</v>
      </c>
      <c r="C123" s="2" t="s">
        <v>493</v>
      </c>
      <c r="D123" t="s">
        <v>29</v>
      </c>
      <c r="E123" s="2" t="s">
        <v>30</v>
      </c>
      <c r="F123" s="2">
        <v>37207</v>
      </c>
      <c r="G123" s="2" t="s">
        <v>64</v>
      </c>
      <c r="H123" t="s">
        <v>99</v>
      </c>
      <c r="I123" s="6">
        <v>41444</v>
      </c>
      <c r="J123" s="2" t="s">
        <v>494</v>
      </c>
      <c r="K123" s="2">
        <v>2368</v>
      </c>
      <c r="L123" t="s">
        <v>35</v>
      </c>
      <c r="M123" t="s">
        <v>29</v>
      </c>
      <c r="N123" t="s">
        <v>30</v>
      </c>
      <c r="O123">
        <v>37219</v>
      </c>
      <c r="P123" t="s">
        <v>495</v>
      </c>
      <c r="Q123" s="2">
        <v>0.54</v>
      </c>
      <c r="R123" s="2">
        <v>155</v>
      </c>
      <c r="S123" s="2">
        <v>123</v>
      </c>
      <c r="T123" t="s">
        <v>496</v>
      </c>
      <c r="U123" s="6">
        <v>21766</v>
      </c>
      <c r="V123" s="2">
        <v>47037012701</v>
      </c>
      <c r="W123" s="2" t="s">
        <v>68</v>
      </c>
      <c r="X123" s="1">
        <v>45658</v>
      </c>
      <c r="Y123" s="2">
        <v>142300</v>
      </c>
      <c r="Z123" s="2">
        <v>0</v>
      </c>
      <c r="AA123" s="2">
        <v>142300</v>
      </c>
    </row>
    <row r="124" spans="1:27" x14ac:dyDescent="0.3">
      <c r="A124" s="4" t="s">
        <v>386</v>
      </c>
      <c r="B124" s="2" t="str">
        <f>"05911014800"</f>
        <v>05911014800</v>
      </c>
      <c r="C124" s="2" t="s">
        <v>497</v>
      </c>
      <c r="D124" t="s">
        <v>29</v>
      </c>
      <c r="E124" s="2" t="s">
        <v>30</v>
      </c>
      <c r="F124" s="2">
        <v>37207</v>
      </c>
      <c r="G124" s="2" t="s">
        <v>64</v>
      </c>
      <c r="H124" t="s">
        <v>99</v>
      </c>
      <c r="I124" s="6">
        <v>35655</v>
      </c>
      <c r="J124" s="2" t="s">
        <v>498</v>
      </c>
      <c r="K124" s="2" t="s">
        <v>34</v>
      </c>
      <c r="L124" t="s">
        <v>35</v>
      </c>
      <c r="M124" t="s">
        <v>29</v>
      </c>
      <c r="N124" t="s">
        <v>30</v>
      </c>
      <c r="O124">
        <v>37219</v>
      </c>
      <c r="P124" t="s">
        <v>499</v>
      </c>
      <c r="Q124" s="2">
        <v>0.11</v>
      </c>
      <c r="R124" s="2">
        <v>102</v>
      </c>
      <c r="S124" s="2">
        <v>91</v>
      </c>
      <c r="T124" t="s">
        <v>449</v>
      </c>
      <c r="U124" s="6">
        <v>23378</v>
      </c>
      <c r="V124" s="2">
        <v>47037012701</v>
      </c>
      <c r="W124" s="2" t="s">
        <v>68</v>
      </c>
      <c r="X124" s="1">
        <v>45658</v>
      </c>
      <c r="Y124" s="2">
        <v>2000</v>
      </c>
      <c r="Z124" s="2">
        <v>0</v>
      </c>
      <c r="AA124" s="2">
        <v>2000</v>
      </c>
    </row>
    <row r="125" spans="1:27" x14ac:dyDescent="0.3">
      <c r="A125" s="4" t="s">
        <v>386</v>
      </c>
      <c r="B125" s="2" t="str">
        <f>"05900017200"</f>
        <v>05900017200</v>
      </c>
      <c r="C125" s="2" t="s">
        <v>500</v>
      </c>
      <c r="D125" t="s">
        <v>29</v>
      </c>
      <c r="E125" s="2" t="s">
        <v>30</v>
      </c>
      <c r="F125" s="2">
        <v>37207</v>
      </c>
      <c r="G125" s="2" t="s">
        <v>147</v>
      </c>
      <c r="H125" t="s">
        <v>501</v>
      </c>
      <c r="I125" s="6">
        <v>26885</v>
      </c>
      <c r="J125" s="2" t="s">
        <v>502</v>
      </c>
      <c r="K125" s="2" t="s">
        <v>34</v>
      </c>
      <c r="L125" t="s">
        <v>35</v>
      </c>
      <c r="M125" t="s">
        <v>29</v>
      </c>
      <c r="N125" t="s">
        <v>30</v>
      </c>
      <c r="O125">
        <v>37219</v>
      </c>
      <c r="P125" t="s">
        <v>503</v>
      </c>
      <c r="Q125" s="2">
        <v>1.82</v>
      </c>
      <c r="R125" s="2">
        <v>0</v>
      </c>
      <c r="S125" s="2">
        <v>0</v>
      </c>
      <c r="T125" t="s">
        <v>502</v>
      </c>
      <c r="U125" s="6">
        <v>26885</v>
      </c>
      <c r="V125" s="2">
        <v>47037012701</v>
      </c>
      <c r="W125" s="2" t="s">
        <v>68</v>
      </c>
      <c r="X125" s="1">
        <v>45658</v>
      </c>
      <c r="Y125" s="2">
        <v>204700</v>
      </c>
      <c r="Z125" s="2">
        <v>0</v>
      </c>
      <c r="AA125" s="2">
        <v>204700</v>
      </c>
    </row>
    <row r="126" spans="1:27" x14ac:dyDescent="0.3">
      <c r="A126" s="4" t="s">
        <v>386</v>
      </c>
      <c r="B126" s="2" t="str">
        <f>"07102020200"</f>
        <v>07102020200</v>
      </c>
      <c r="C126" s="2" t="s">
        <v>504</v>
      </c>
      <c r="D126" t="s">
        <v>29</v>
      </c>
      <c r="E126" s="2" t="s">
        <v>30</v>
      </c>
      <c r="F126" s="2">
        <v>37207</v>
      </c>
      <c r="G126" s="2" t="s">
        <v>505</v>
      </c>
      <c r="H126" t="s">
        <v>506</v>
      </c>
      <c r="I126" s="6">
        <v>45280</v>
      </c>
      <c r="J126" s="2" t="s">
        <v>507</v>
      </c>
      <c r="K126" s="2" t="s">
        <v>34</v>
      </c>
      <c r="L126" t="s">
        <v>508</v>
      </c>
      <c r="M126" t="s">
        <v>29</v>
      </c>
      <c r="N126" t="s">
        <v>30</v>
      </c>
      <c r="O126">
        <v>37219</v>
      </c>
      <c r="P126" t="s">
        <v>509</v>
      </c>
      <c r="Q126" s="2">
        <v>1.36</v>
      </c>
      <c r="R126" s="2">
        <v>133</v>
      </c>
      <c r="S126" s="2">
        <v>219</v>
      </c>
      <c r="T126" t="s">
        <v>510</v>
      </c>
      <c r="U126" s="6">
        <v>36677</v>
      </c>
      <c r="V126" s="2">
        <v>47037012701</v>
      </c>
      <c r="W126" s="2" t="s">
        <v>68</v>
      </c>
      <c r="X126" s="1">
        <v>45658</v>
      </c>
      <c r="Y126" s="2">
        <v>9198500</v>
      </c>
      <c r="Z126" s="2">
        <v>7510100</v>
      </c>
      <c r="AA126" s="2">
        <v>1688400</v>
      </c>
    </row>
    <row r="127" spans="1:27" x14ac:dyDescent="0.3">
      <c r="A127" s="4" t="s">
        <v>386</v>
      </c>
      <c r="B127" s="2" t="str">
        <f>"07102007600"</f>
        <v>07102007600</v>
      </c>
      <c r="C127" s="2" t="s">
        <v>511</v>
      </c>
      <c r="D127" t="s">
        <v>29</v>
      </c>
      <c r="E127" s="2" t="s">
        <v>30</v>
      </c>
      <c r="F127" s="2">
        <v>37207</v>
      </c>
      <c r="G127" s="2" t="s">
        <v>505</v>
      </c>
      <c r="H127" t="s">
        <v>512</v>
      </c>
      <c r="I127" s="6">
        <v>45656</v>
      </c>
      <c r="J127" s="2" t="s">
        <v>513</v>
      </c>
      <c r="K127" s="2" t="s">
        <v>34</v>
      </c>
      <c r="L127" t="s">
        <v>514</v>
      </c>
      <c r="M127" t="s">
        <v>29</v>
      </c>
      <c r="N127" t="s">
        <v>30</v>
      </c>
      <c r="O127">
        <v>37219</v>
      </c>
      <c r="P127" t="s">
        <v>515</v>
      </c>
      <c r="Q127" s="2">
        <v>0.59</v>
      </c>
      <c r="R127" s="2">
        <v>118</v>
      </c>
      <c r="S127" s="2">
        <v>175</v>
      </c>
      <c r="T127" t="s">
        <v>516</v>
      </c>
      <c r="U127" s="6">
        <v>45499</v>
      </c>
      <c r="V127" s="2">
        <v>47037010103</v>
      </c>
      <c r="W127" s="2" t="s">
        <v>68</v>
      </c>
      <c r="X127" s="1">
        <v>45658</v>
      </c>
      <c r="Y127" s="2">
        <v>4349100</v>
      </c>
      <c r="Z127" s="2">
        <v>3629500</v>
      </c>
      <c r="AA127" s="2">
        <v>719600</v>
      </c>
    </row>
    <row r="128" spans="1:27" x14ac:dyDescent="0.3">
      <c r="A128" s="4" t="s">
        <v>386</v>
      </c>
      <c r="B128" s="2" t="str">
        <f>"07110001800"</f>
        <v>07110001800</v>
      </c>
      <c r="C128" s="2" t="s">
        <v>517</v>
      </c>
      <c r="D128" t="s">
        <v>29</v>
      </c>
      <c r="E128" s="2" t="s">
        <v>30</v>
      </c>
      <c r="F128" s="2">
        <v>37207</v>
      </c>
      <c r="G128" s="2" t="s">
        <v>41</v>
      </c>
      <c r="H128" t="s">
        <v>518</v>
      </c>
      <c r="I128" s="6">
        <v>44516</v>
      </c>
      <c r="J128" s="2" t="s">
        <v>519</v>
      </c>
      <c r="K128" s="2">
        <v>9000000</v>
      </c>
      <c r="L128" t="s">
        <v>520</v>
      </c>
      <c r="M128" t="s">
        <v>29</v>
      </c>
      <c r="N128" t="s">
        <v>30</v>
      </c>
      <c r="O128">
        <v>37210</v>
      </c>
      <c r="P128" t="s">
        <v>521</v>
      </c>
      <c r="Q128" s="2">
        <v>0.94</v>
      </c>
      <c r="R128" s="2">
        <v>138</v>
      </c>
      <c r="S128" s="2">
        <v>295</v>
      </c>
      <c r="T128" t="s">
        <v>522</v>
      </c>
      <c r="U128" s="6">
        <v>12768</v>
      </c>
      <c r="V128" s="2">
        <v>47037012702</v>
      </c>
      <c r="W128" s="2" t="s">
        <v>68</v>
      </c>
      <c r="X128" s="1">
        <v>45658</v>
      </c>
      <c r="Y128" s="2">
        <v>618800</v>
      </c>
      <c r="Z128" s="2">
        <v>0</v>
      </c>
      <c r="AA128" s="2">
        <v>618800</v>
      </c>
    </row>
    <row r="129" spans="1:27" x14ac:dyDescent="0.3">
      <c r="A129" s="4" t="s">
        <v>386</v>
      </c>
      <c r="B129" s="2" t="str">
        <f>"07106005300"</f>
        <v>07106005300</v>
      </c>
      <c r="C129" s="2" t="s">
        <v>523</v>
      </c>
      <c r="D129" t="s">
        <v>29</v>
      </c>
      <c r="E129" s="2" t="s">
        <v>30</v>
      </c>
      <c r="F129" s="2">
        <v>37207</v>
      </c>
      <c r="G129" s="2" t="s">
        <v>524</v>
      </c>
      <c r="H129" t="s">
        <v>518</v>
      </c>
      <c r="I129" s="6">
        <v>44516</v>
      </c>
      <c r="J129" s="2" t="s">
        <v>519</v>
      </c>
      <c r="K129" s="2">
        <v>9000000</v>
      </c>
      <c r="L129" t="s">
        <v>520</v>
      </c>
      <c r="M129" t="s">
        <v>29</v>
      </c>
      <c r="N129" t="s">
        <v>30</v>
      </c>
      <c r="O129">
        <v>37210</v>
      </c>
      <c r="P129" t="s">
        <v>525</v>
      </c>
      <c r="Q129" s="2">
        <v>13</v>
      </c>
      <c r="R129" s="2">
        <v>0</v>
      </c>
      <c r="S129" s="2">
        <v>0</v>
      </c>
      <c r="T129" t="s">
        <v>526</v>
      </c>
      <c r="U129" s="6">
        <v>16319</v>
      </c>
      <c r="V129" s="2">
        <v>47037012702</v>
      </c>
      <c r="W129" s="2" t="s">
        <v>68</v>
      </c>
      <c r="X129" s="1">
        <v>45658</v>
      </c>
      <c r="Y129" s="2">
        <v>2369900</v>
      </c>
      <c r="Z129" s="2">
        <v>0</v>
      </c>
      <c r="AA129" s="2">
        <v>2369900</v>
      </c>
    </row>
    <row r="130" spans="1:27" x14ac:dyDescent="0.3">
      <c r="A130" s="4" t="s">
        <v>386</v>
      </c>
      <c r="B130" s="2" t="str">
        <f>"07015003800"</f>
        <v>07015003800</v>
      </c>
      <c r="C130" s="2" t="s">
        <v>434</v>
      </c>
      <c r="D130" t="s">
        <v>29</v>
      </c>
      <c r="E130" s="2" t="s">
        <v>30</v>
      </c>
      <c r="F130" s="2">
        <v>37208</v>
      </c>
      <c r="G130" s="2" t="s">
        <v>527</v>
      </c>
      <c r="H130" t="s">
        <v>528</v>
      </c>
      <c r="I130" s="6">
        <v>5118</v>
      </c>
      <c r="J130" s="2" t="s">
        <v>529</v>
      </c>
      <c r="K130" s="2" t="s">
        <v>34</v>
      </c>
      <c r="L130" t="s">
        <v>35</v>
      </c>
      <c r="M130" t="s">
        <v>29</v>
      </c>
      <c r="N130" t="s">
        <v>30</v>
      </c>
      <c r="O130">
        <v>37219</v>
      </c>
      <c r="P130" t="s">
        <v>530</v>
      </c>
      <c r="Q130" s="2">
        <v>5.68</v>
      </c>
      <c r="R130" s="2">
        <v>0</v>
      </c>
      <c r="S130" s="2">
        <v>0</v>
      </c>
      <c r="T130" t="s">
        <v>529</v>
      </c>
      <c r="U130" s="6">
        <v>5118</v>
      </c>
      <c r="V130" s="2">
        <v>47037013700</v>
      </c>
      <c r="W130" s="2" t="s">
        <v>68</v>
      </c>
      <c r="X130" s="1">
        <v>45658</v>
      </c>
      <c r="Y130" s="2">
        <v>578400</v>
      </c>
      <c r="Z130" s="2">
        <v>0</v>
      </c>
      <c r="AA130" s="2">
        <v>578400</v>
      </c>
    </row>
    <row r="131" spans="1:27" x14ac:dyDescent="0.3">
      <c r="A131" s="4" t="s">
        <v>386</v>
      </c>
      <c r="B131" s="2" t="str">
        <f>"06007011700"</f>
        <v>06007011700</v>
      </c>
      <c r="C131" s="2" t="s">
        <v>531</v>
      </c>
      <c r="D131" t="s">
        <v>29</v>
      </c>
      <c r="E131" s="2" t="s">
        <v>30</v>
      </c>
      <c r="F131" s="2">
        <v>37207</v>
      </c>
      <c r="G131" s="2" t="s">
        <v>152</v>
      </c>
      <c r="H131" t="s">
        <v>176</v>
      </c>
      <c r="I131" s="6">
        <v>20523</v>
      </c>
      <c r="J131" s="2" t="s">
        <v>532</v>
      </c>
      <c r="K131" s="2" t="s">
        <v>34</v>
      </c>
      <c r="L131" t="s">
        <v>178</v>
      </c>
      <c r="M131" t="s">
        <v>29</v>
      </c>
      <c r="N131" t="s">
        <v>30</v>
      </c>
      <c r="O131">
        <v>37246</v>
      </c>
      <c r="P131" t="s">
        <v>533</v>
      </c>
      <c r="Q131" s="2">
        <v>0.55000000000000004</v>
      </c>
      <c r="R131" s="2">
        <v>330</v>
      </c>
      <c r="S131" s="2">
        <v>140</v>
      </c>
      <c r="T131" t="s">
        <v>532</v>
      </c>
      <c r="U131" s="6">
        <v>20523</v>
      </c>
      <c r="V131" s="2">
        <v>47037011001</v>
      </c>
      <c r="W131" s="2" t="s">
        <v>68</v>
      </c>
      <c r="X131" s="1">
        <v>45658</v>
      </c>
      <c r="Y131" s="2">
        <v>16500</v>
      </c>
      <c r="Z131" s="2">
        <v>0</v>
      </c>
      <c r="AA131" s="2">
        <v>16500</v>
      </c>
    </row>
    <row r="132" spans="1:27" x14ac:dyDescent="0.3">
      <c r="A132" s="4" t="s">
        <v>386</v>
      </c>
      <c r="B132" s="2" t="str">
        <f>"05913002400"</f>
        <v>05913002400</v>
      </c>
      <c r="C132" s="2" t="s">
        <v>534</v>
      </c>
      <c r="D132" t="s">
        <v>29</v>
      </c>
      <c r="E132" s="2" t="s">
        <v>30</v>
      </c>
      <c r="F132" s="2">
        <v>37218</v>
      </c>
      <c r="G132" s="2" t="s">
        <v>152</v>
      </c>
      <c r="H132" t="s">
        <v>176</v>
      </c>
      <c r="I132" s="6">
        <v>21397</v>
      </c>
      <c r="J132" s="2" t="s">
        <v>535</v>
      </c>
      <c r="K132" s="2" t="s">
        <v>34</v>
      </c>
      <c r="L132" t="s">
        <v>178</v>
      </c>
      <c r="M132" t="s">
        <v>29</v>
      </c>
      <c r="N132" t="s">
        <v>30</v>
      </c>
      <c r="O132">
        <v>37246</v>
      </c>
      <c r="P132" t="s">
        <v>536</v>
      </c>
      <c r="Q132" s="2">
        <v>0.66</v>
      </c>
      <c r="R132" s="2">
        <v>217</v>
      </c>
      <c r="S132" s="2">
        <v>80</v>
      </c>
      <c r="T132" t="s">
        <v>535</v>
      </c>
      <c r="U132" s="6">
        <v>21397</v>
      </c>
      <c r="V132" s="2">
        <v>47037012801</v>
      </c>
      <c r="W132" s="2" t="s">
        <v>68</v>
      </c>
      <c r="X132" s="1">
        <v>45658</v>
      </c>
      <c r="Y132" s="2">
        <v>98700</v>
      </c>
      <c r="Z132" s="2">
        <v>0</v>
      </c>
      <c r="AA132" s="2">
        <v>98700</v>
      </c>
    </row>
    <row r="133" spans="1:27" x14ac:dyDescent="0.3">
      <c r="A133" s="4" t="s">
        <v>386</v>
      </c>
      <c r="B133" s="2" t="str">
        <f>"08107009400"</f>
        <v>08107009400</v>
      </c>
      <c r="C133" s="2" t="s">
        <v>537</v>
      </c>
      <c r="D133" t="s">
        <v>29</v>
      </c>
      <c r="E133" s="2" t="s">
        <v>30</v>
      </c>
      <c r="F133" s="2">
        <v>37208</v>
      </c>
      <c r="G133" s="2" t="s">
        <v>152</v>
      </c>
      <c r="H133" t="s">
        <v>176</v>
      </c>
      <c r="I133" s="6">
        <v>19854</v>
      </c>
      <c r="J133" s="2" t="s">
        <v>538</v>
      </c>
      <c r="K133" s="2" t="s">
        <v>34</v>
      </c>
      <c r="L133" t="s">
        <v>178</v>
      </c>
      <c r="M133" t="s">
        <v>29</v>
      </c>
      <c r="N133" t="s">
        <v>30</v>
      </c>
      <c r="O133">
        <v>37246</v>
      </c>
      <c r="P133" t="s">
        <v>539</v>
      </c>
      <c r="Q133" s="2">
        <v>0.16</v>
      </c>
      <c r="R133" s="2">
        <v>65</v>
      </c>
      <c r="S133" s="2">
        <v>100</v>
      </c>
      <c r="T133" t="s">
        <v>538</v>
      </c>
      <c r="U133" s="6">
        <v>19854</v>
      </c>
      <c r="V133" s="2">
        <v>47037013700</v>
      </c>
      <c r="W133" s="2" t="s">
        <v>68</v>
      </c>
      <c r="X133" s="1">
        <v>45658</v>
      </c>
      <c r="Y133" s="2">
        <v>182800</v>
      </c>
      <c r="Z133" s="2">
        <v>0</v>
      </c>
      <c r="AA133" s="2">
        <v>182800</v>
      </c>
    </row>
    <row r="134" spans="1:27" x14ac:dyDescent="0.3">
      <c r="A134" s="4" t="s">
        <v>386</v>
      </c>
      <c r="B134" s="2" t="str">
        <f>"07102000300"</f>
        <v>07102000300</v>
      </c>
      <c r="C134" s="2" t="s">
        <v>540</v>
      </c>
      <c r="D134" t="s">
        <v>29</v>
      </c>
      <c r="E134" s="2" t="s">
        <v>30</v>
      </c>
      <c r="F134" s="2">
        <v>37207</v>
      </c>
      <c r="G134" s="2" t="s">
        <v>64</v>
      </c>
      <c r="H134" t="s">
        <v>176</v>
      </c>
      <c r="I134" s="6">
        <v>41201</v>
      </c>
      <c r="J134" s="2" t="s">
        <v>541</v>
      </c>
      <c r="K134" s="2">
        <v>325000</v>
      </c>
      <c r="L134" t="s">
        <v>542</v>
      </c>
      <c r="M134" t="s">
        <v>29</v>
      </c>
      <c r="N134" t="s">
        <v>30</v>
      </c>
      <c r="O134">
        <v>37246</v>
      </c>
      <c r="P134" t="s">
        <v>543</v>
      </c>
      <c r="Q134" s="2">
        <v>7.02</v>
      </c>
      <c r="R134" s="2">
        <v>0</v>
      </c>
      <c r="S134" s="2">
        <v>0</v>
      </c>
      <c r="T134" t="s">
        <v>544</v>
      </c>
      <c r="U134" s="6">
        <v>35207</v>
      </c>
      <c r="V134" s="2">
        <v>47037012701</v>
      </c>
      <c r="W134" s="2" t="s">
        <v>68</v>
      </c>
      <c r="X134" s="1">
        <v>45658</v>
      </c>
      <c r="Y134" s="2">
        <v>333400</v>
      </c>
      <c r="Z134" s="2">
        <v>0</v>
      </c>
      <c r="AA134" s="2">
        <v>333400</v>
      </c>
    </row>
    <row r="135" spans="1:27" x14ac:dyDescent="0.3">
      <c r="A135" s="4" t="s">
        <v>386</v>
      </c>
      <c r="B135" s="2" t="str">
        <f>"08104022300"</f>
        <v>08104022300</v>
      </c>
      <c r="C135" s="2" t="s">
        <v>545</v>
      </c>
      <c r="D135" t="s">
        <v>29</v>
      </c>
      <c r="E135" s="2" t="s">
        <v>30</v>
      </c>
      <c r="F135" s="2">
        <v>37228</v>
      </c>
      <c r="G135" s="2" t="s">
        <v>152</v>
      </c>
      <c r="H135" t="s">
        <v>176</v>
      </c>
      <c r="I135" s="6">
        <v>27198</v>
      </c>
      <c r="J135" s="2" t="s">
        <v>546</v>
      </c>
      <c r="K135" s="2">
        <v>93654</v>
      </c>
      <c r="L135" t="s">
        <v>178</v>
      </c>
      <c r="M135" t="s">
        <v>29</v>
      </c>
      <c r="N135" t="s">
        <v>30</v>
      </c>
      <c r="O135">
        <v>37246</v>
      </c>
      <c r="P135" t="s">
        <v>547</v>
      </c>
      <c r="Q135" s="2">
        <v>2.15</v>
      </c>
      <c r="R135" s="2">
        <v>253</v>
      </c>
      <c r="S135" s="2">
        <v>349</v>
      </c>
      <c r="T135" t="s">
        <v>548</v>
      </c>
      <c r="U135" s="6">
        <v>26604</v>
      </c>
      <c r="V135" s="2">
        <v>47037013700</v>
      </c>
      <c r="W135" s="2" t="s">
        <v>68</v>
      </c>
      <c r="X135" s="1">
        <v>45658</v>
      </c>
      <c r="Y135" s="2">
        <v>1966700</v>
      </c>
      <c r="Z135" s="2">
        <v>0</v>
      </c>
      <c r="AA135" s="2">
        <v>1966700</v>
      </c>
    </row>
    <row r="136" spans="1:27" x14ac:dyDescent="0.3">
      <c r="A136" s="4" t="s">
        <v>386</v>
      </c>
      <c r="B136" s="2" t="str">
        <f>"06000002500"</f>
        <v>06000002500</v>
      </c>
      <c r="C136" s="2" t="s">
        <v>549</v>
      </c>
      <c r="D136" t="s">
        <v>29</v>
      </c>
      <c r="E136" s="2" t="s">
        <v>30</v>
      </c>
      <c r="F136" s="2">
        <v>37207</v>
      </c>
      <c r="G136" s="2" t="s">
        <v>200</v>
      </c>
      <c r="H136" t="s">
        <v>550</v>
      </c>
      <c r="I136" s="6">
        <v>30511</v>
      </c>
      <c r="J136" s="2" t="s">
        <v>551</v>
      </c>
      <c r="K136" s="2">
        <v>48776</v>
      </c>
      <c r="L136" t="s">
        <v>35</v>
      </c>
      <c r="M136" t="s">
        <v>29</v>
      </c>
      <c r="N136" t="s">
        <v>30</v>
      </c>
      <c r="O136">
        <v>37219</v>
      </c>
      <c r="P136" t="s">
        <v>552</v>
      </c>
      <c r="Q136" s="2">
        <v>27.48</v>
      </c>
      <c r="R136" s="2">
        <v>0</v>
      </c>
      <c r="S136" s="2">
        <v>0</v>
      </c>
      <c r="T136" t="s">
        <v>553</v>
      </c>
      <c r="U136" s="6">
        <v>30550</v>
      </c>
      <c r="V136" s="2">
        <v>47037012701</v>
      </c>
      <c r="W136" s="2" t="s">
        <v>68</v>
      </c>
      <c r="X136" s="1">
        <v>45658</v>
      </c>
      <c r="Y136" s="2">
        <v>1394400</v>
      </c>
      <c r="Z136" s="2">
        <v>0</v>
      </c>
      <c r="AA136" s="2">
        <v>1394400</v>
      </c>
    </row>
    <row r="137" spans="1:27" x14ac:dyDescent="0.3">
      <c r="A137" s="4" t="s">
        <v>386</v>
      </c>
      <c r="B137" s="2" t="str">
        <f>"08103025000"</f>
        <v>08103025000</v>
      </c>
      <c r="C137" s="2" t="s">
        <v>554</v>
      </c>
      <c r="D137" t="s">
        <v>29</v>
      </c>
      <c r="E137" s="2" t="s">
        <v>30</v>
      </c>
      <c r="F137" s="2">
        <v>37208</v>
      </c>
      <c r="G137" s="2" t="s">
        <v>64</v>
      </c>
      <c r="H137" t="s">
        <v>555</v>
      </c>
      <c r="I137" s="6">
        <v>17435</v>
      </c>
      <c r="J137" s="2" t="s">
        <v>556</v>
      </c>
      <c r="K137" s="2" t="s">
        <v>34</v>
      </c>
      <c r="L137" t="s">
        <v>35</v>
      </c>
      <c r="M137" t="s">
        <v>29</v>
      </c>
      <c r="N137" t="s">
        <v>30</v>
      </c>
      <c r="O137">
        <v>37219</v>
      </c>
      <c r="P137" t="s">
        <v>557</v>
      </c>
      <c r="Q137" s="2">
        <v>9.91</v>
      </c>
      <c r="R137" s="2">
        <v>0</v>
      </c>
      <c r="S137" s="2">
        <v>0</v>
      </c>
      <c r="T137" t="s">
        <v>556</v>
      </c>
      <c r="U137" s="6">
        <v>17435</v>
      </c>
      <c r="V137" s="2">
        <v>47037013700</v>
      </c>
      <c r="W137" s="2" t="s">
        <v>68</v>
      </c>
      <c r="X137" s="1">
        <v>45658</v>
      </c>
      <c r="Y137" s="2">
        <v>800900</v>
      </c>
      <c r="Z137" s="2">
        <v>0</v>
      </c>
      <c r="AA137" s="2">
        <v>800900</v>
      </c>
    </row>
    <row r="138" spans="1:27" x14ac:dyDescent="0.3">
      <c r="A138" s="4" t="s">
        <v>386</v>
      </c>
      <c r="B138" s="2" t="str">
        <f>"08103027900"</f>
        <v>08103027900</v>
      </c>
      <c r="C138" s="2" t="s">
        <v>558</v>
      </c>
      <c r="D138" t="s">
        <v>29</v>
      </c>
      <c r="E138" s="2" t="s">
        <v>30</v>
      </c>
      <c r="F138" s="2">
        <v>37208</v>
      </c>
      <c r="G138" s="2" t="s">
        <v>200</v>
      </c>
      <c r="H138" t="s">
        <v>555</v>
      </c>
      <c r="I138" s="6">
        <v>17435</v>
      </c>
      <c r="J138" s="2" t="s">
        <v>556</v>
      </c>
      <c r="K138" s="2" t="s">
        <v>34</v>
      </c>
      <c r="L138" t="s">
        <v>35</v>
      </c>
      <c r="M138" t="s">
        <v>29</v>
      </c>
      <c r="N138" t="s">
        <v>30</v>
      </c>
      <c r="O138">
        <v>37219</v>
      </c>
      <c r="P138" t="s">
        <v>559</v>
      </c>
      <c r="Q138" s="2">
        <v>3.14</v>
      </c>
      <c r="R138" s="2">
        <v>0</v>
      </c>
      <c r="S138" s="2">
        <v>0</v>
      </c>
      <c r="T138" t="s">
        <v>556</v>
      </c>
      <c r="U138" s="6">
        <v>17435</v>
      </c>
      <c r="V138" s="2">
        <v>47037013700</v>
      </c>
      <c r="W138" s="2" t="s">
        <v>68</v>
      </c>
      <c r="X138" s="1">
        <v>45658</v>
      </c>
      <c r="Y138" s="2">
        <v>268900</v>
      </c>
      <c r="Z138" s="2">
        <v>0</v>
      </c>
      <c r="AA138" s="2">
        <v>268900</v>
      </c>
    </row>
    <row r="139" spans="1:27" x14ac:dyDescent="0.3">
      <c r="A139" s="4" t="s">
        <v>386</v>
      </c>
      <c r="B139" s="2" t="str">
        <f>"08103027800"</f>
        <v>08103027800</v>
      </c>
      <c r="C139" s="2" t="s">
        <v>560</v>
      </c>
      <c r="D139" t="s">
        <v>29</v>
      </c>
      <c r="E139" s="2" t="s">
        <v>30</v>
      </c>
      <c r="F139" s="2">
        <v>37208</v>
      </c>
      <c r="G139" s="2" t="s">
        <v>200</v>
      </c>
      <c r="H139" t="s">
        <v>555</v>
      </c>
      <c r="I139" s="6">
        <v>17519</v>
      </c>
      <c r="J139" s="2" t="s">
        <v>561</v>
      </c>
      <c r="K139" s="2" t="s">
        <v>34</v>
      </c>
      <c r="L139" t="s">
        <v>35</v>
      </c>
      <c r="M139" t="s">
        <v>29</v>
      </c>
      <c r="N139" t="s">
        <v>30</v>
      </c>
      <c r="O139">
        <v>37219</v>
      </c>
      <c r="P139" t="s">
        <v>562</v>
      </c>
      <c r="Q139" s="2">
        <v>0.71</v>
      </c>
      <c r="R139" s="2">
        <v>202</v>
      </c>
      <c r="S139" s="2">
        <v>158</v>
      </c>
      <c r="T139" t="s">
        <v>556</v>
      </c>
      <c r="U139" s="6">
        <v>17519</v>
      </c>
      <c r="V139" s="2">
        <v>47037013700</v>
      </c>
      <c r="W139" s="2" t="s">
        <v>68</v>
      </c>
      <c r="X139" s="1">
        <v>45658</v>
      </c>
      <c r="Y139" s="2">
        <v>209000</v>
      </c>
      <c r="Z139" s="2">
        <v>0</v>
      </c>
      <c r="AA139" s="2">
        <v>209000</v>
      </c>
    </row>
    <row r="140" spans="1:27" x14ac:dyDescent="0.3">
      <c r="A140" s="4" t="s">
        <v>386</v>
      </c>
      <c r="B140" s="2" t="str">
        <f>"08103025100"</f>
        <v>08103025100</v>
      </c>
      <c r="C140" s="2" t="s">
        <v>563</v>
      </c>
      <c r="D140" t="s">
        <v>29</v>
      </c>
      <c r="E140" s="2" t="s">
        <v>30</v>
      </c>
      <c r="F140" s="2">
        <v>37208</v>
      </c>
      <c r="G140" s="2" t="s">
        <v>64</v>
      </c>
      <c r="H140" t="s">
        <v>555</v>
      </c>
      <c r="I140" s="6">
        <v>17435</v>
      </c>
      <c r="J140" s="2" t="s">
        <v>556</v>
      </c>
      <c r="K140" s="2" t="s">
        <v>34</v>
      </c>
      <c r="L140" t="s">
        <v>35</v>
      </c>
      <c r="M140" t="s">
        <v>29</v>
      </c>
      <c r="N140" t="s">
        <v>30</v>
      </c>
      <c r="O140">
        <v>37219</v>
      </c>
      <c r="P140" t="s">
        <v>564</v>
      </c>
      <c r="Q140" s="2">
        <v>1.19</v>
      </c>
      <c r="R140" s="2">
        <v>325</v>
      </c>
      <c r="S140" s="2">
        <v>158</v>
      </c>
      <c r="T140" t="s">
        <v>556</v>
      </c>
      <c r="U140" s="6">
        <v>17435</v>
      </c>
      <c r="V140" s="2">
        <v>47037013700</v>
      </c>
      <c r="W140" s="2" t="s">
        <v>68</v>
      </c>
      <c r="X140" s="1">
        <v>45658</v>
      </c>
      <c r="Y140" s="2">
        <v>215200</v>
      </c>
      <c r="Z140" s="2">
        <v>0</v>
      </c>
      <c r="AA140" s="2">
        <v>215200</v>
      </c>
    </row>
    <row r="141" spans="1:27" x14ac:dyDescent="0.3">
      <c r="A141" s="4" t="s">
        <v>386</v>
      </c>
      <c r="B141" s="2" t="str">
        <f>"08103027700"</f>
        <v>08103027700</v>
      </c>
      <c r="C141" s="2" t="s">
        <v>565</v>
      </c>
      <c r="D141" t="s">
        <v>29</v>
      </c>
      <c r="E141" s="2" t="s">
        <v>30</v>
      </c>
      <c r="F141" s="2">
        <v>37208</v>
      </c>
      <c r="G141" s="2" t="s">
        <v>200</v>
      </c>
      <c r="H141" t="s">
        <v>555</v>
      </c>
      <c r="I141" s="6">
        <v>27019</v>
      </c>
      <c r="J141" s="2" t="s">
        <v>566</v>
      </c>
      <c r="K141" s="2" t="s">
        <v>34</v>
      </c>
      <c r="L141" t="s">
        <v>35</v>
      </c>
      <c r="M141" t="s">
        <v>29</v>
      </c>
      <c r="N141" t="s">
        <v>30</v>
      </c>
      <c r="O141">
        <v>37219</v>
      </c>
      <c r="P141" t="s">
        <v>567</v>
      </c>
      <c r="Q141" s="2">
        <v>0.18</v>
      </c>
      <c r="R141" s="2">
        <v>50</v>
      </c>
      <c r="S141" s="2">
        <v>158</v>
      </c>
      <c r="T141" t="s">
        <v>566</v>
      </c>
      <c r="U141" s="6">
        <v>27019</v>
      </c>
      <c r="V141" s="2">
        <v>47037013700</v>
      </c>
      <c r="W141" s="2" t="s">
        <v>68</v>
      </c>
      <c r="X141" s="1">
        <v>45658</v>
      </c>
      <c r="Y141" s="2">
        <v>190000</v>
      </c>
      <c r="Z141" s="2">
        <v>0</v>
      </c>
      <c r="AA141" s="2">
        <v>190000</v>
      </c>
    </row>
    <row r="142" spans="1:27" x14ac:dyDescent="0.3">
      <c r="A142" s="4" t="s">
        <v>386</v>
      </c>
      <c r="B142" s="2" t="str">
        <f>"08103027600"</f>
        <v>08103027600</v>
      </c>
      <c r="C142" s="2" t="s">
        <v>568</v>
      </c>
      <c r="D142" t="s">
        <v>29</v>
      </c>
      <c r="E142" s="2" t="s">
        <v>30</v>
      </c>
      <c r="F142" s="2">
        <v>37208</v>
      </c>
      <c r="G142" s="2" t="s">
        <v>200</v>
      </c>
      <c r="H142" t="s">
        <v>555</v>
      </c>
      <c r="I142" s="6">
        <v>17435</v>
      </c>
      <c r="J142" s="2" t="s">
        <v>556</v>
      </c>
      <c r="K142" s="2" t="s">
        <v>34</v>
      </c>
      <c r="L142" t="s">
        <v>35</v>
      </c>
      <c r="M142" t="s">
        <v>29</v>
      </c>
      <c r="N142" t="s">
        <v>30</v>
      </c>
      <c r="O142">
        <v>37219</v>
      </c>
      <c r="P142" t="s">
        <v>569</v>
      </c>
      <c r="Q142" s="2">
        <v>0.35</v>
      </c>
      <c r="R142" s="2">
        <v>100</v>
      </c>
      <c r="S142" s="2">
        <v>158</v>
      </c>
      <c r="T142" t="s">
        <v>556</v>
      </c>
      <c r="U142" s="6">
        <v>17435</v>
      </c>
      <c r="V142" s="2">
        <v>47037013700</v>
      </c>
      <c r="W142" s="2" t="s">
        <v>68</v>
      </c>
      <c r="X142" s="1">
        <v>45658</v>
      </c>
      <c r="Y142" s="2">
        <v>209000</v>
      </c>
      <c r="Z142" s="2">
        <v>0</v>
      </c>
      <c r="AA142" s="2">
        <v>209000</v>
      </c>
    </row>
    <row r="143" spans="1:27" x14ac:dyDescent="0.3">
      <c r="A143" s="4" t="s">
        <v>386</v>
      </c>
      <c r="B143" s="2" t="str">
        <f>"08103024900"</f>
        <v>08103024900</v>
      </c>
      <c r="C143" s="2" t="s">
        <v>570</v>
      </c>
      <c r="D143" t="s">
        <v>29</v>
      </c>
      <c r="E143" s="2" t="s">
        <v>30</v>
      </c>
      <c r="F143" s="2">
        <v>37208</v>
      </c>
      <c r="G143" s="2" t="s">
        <v>64</v>
      </c>
      <c r="H143" t="s">
        <v>555</v>
      </c>
      <c r="I143" s="6">
        <v>17435</v>
      </c>
      <c r="J143" s="2" t="s">
        <v>556</v>
      </c>
      <c r="K143" s="2" t="s">
        <v>34</v>
      </c>
      <c r="L143" t="s">
        <v>35</v>
      </c>
      <c r="M143" t="s">
        <v>29</v>
      </c>
      <c r="N143" t="s">
        <v>30</v>
      </c>
      <c r="O143">
        <v>37219</v>
      </c>
      <c r="P143" t="s">
        <v>571</v>
      </c>
      <c r="Q143" s="2">
        <v>5.56</v>
      </c>
      <c r="R143" s="2">
        <v>0</v>
      </c>
      <c r="S143" s="2">
        <v>0</v>
      </c>
      <c r="T143" t="s">
        <v>556</v>
      </c>
      <c r="U143" s="6">
        <v>17435</v>
      </c>
      <c r="V143" s="2">
        <v>47037013700</v>
      </c>
      <c r="W143" s="2" t="s">
        <v>68</v>
      </c>
      <c r="X143" s="1">
        <v>45658</v>
      </c>
      <c r="Y143" s="2">
        <v>507300</v>
      </c>
      <c r="Z143" s="2">
        <v>0</v>
      </c>
      <c r="AA143" s="2">
        <v>507300</v>
      </c>
    </row>
    <row r="144" spans="1:27" x14ac:dyDescent="0.3">
      <c r="A144" s="4" t="s">
        <v>386</v>
      </c>
      <c r="B144" s="2" t="str">
        <f>"08103028000"</f>
        <v>08103028000</v>
      </c>
      <c r="C144" s="2" t="s">
        <v>558</v>
      </c>
      <c r="D144" t="s">
        <v>29</v>
      </c>
      <c r="E144" s="2" t="s">
        <v>30</v>
      </c>
      <c r="F144" s="2">
        <v>37208</v>
      </c>
      <c r="G144" s="2" t="s">
        <v>200</v>
      </c>
      <c r="H144" t="s">
        <v>555</v>
      </c>
      <c r="I144" s="6">
        <v>13129</v>
      </c>
      <c r="J144" s="2" t="s">
        <v>572</v>
      </c>
      <c r="K144" s="2" t="s">
        <v>34</v>
      </c>
      <c r="L144" t="s">
        <v>35</v>
      </c>
      <c r="M144" t="s">
        <v>29</v>
      </c>
      <c r="N144" t="s">
        <v>30</v>
      </c>
      <c r="O144">
        <v>37219</v>
      </c>
      <c r="P144" t="s">
        <v>573</v>
      </c>
      <c r="Q144" s="2">
        <v>8.81</v>
      </c>
      <c r="R144" s="2">
        <v>0</v>
      </c>
      <c r="S144" s="2">
        <v>0</v>
      </c>
      <c r="T144" t="s">
        <v>572</v>
      </c>
      <c r="U144" s="6">
        <v>13129</v>
      </c>
      <c r="V144" s="2">
        <v>47037013700</v>
      </c>
      <c r="W144" s="2" t="s">
        <v>68</v>
      </c>
      <c r="X144" s="1">
        <v>45658</v>
      </c>
      <c r="Y144" s="2">
        <v>427700</v>
      </c>
      <c r="Z144" s="2">
        <v>0</v>
      </c>
      <c r="AA144" s="2">
        <v>427700</v>
      </c>
    </row>
    <row r="145" spans="1:27" x14ac:dyDescent="0.3">
      <c r="A145" s="4" t="s">
        <v>386</v>
      </c>
      <c r="B145" s="2" t="str">
        <f>"07101007400"</f>
        <v>07101007400</v>
      </c>
      <c r="C145" s="2" t="s">
        <v>574</v>
      </c>
      <c r="D145" t="s">
        <v>29</v>
      </c>
      <c r="E145" s="2" t="s">
        <v>30</v>
      </c>
      <c r="F145" s="2">
        <v>37207</v>
      </c>
      <c r="G145" s="2" t="s">
        <v>64</v>
      </c>
      <c r="H145" t="s">
        <v>211</v>
      </c>
      <c r="I145" s="6">
        <v>27429</v>
      </c>
      <c r="J145" s="2" t="s">
        <v>575</v>
      </c>
      <c r="K145" s="2">
        <v>208</v>
      </c>
      <c r="L145" t="s">
        <v>35</v>
      </c>
      <c r="M145" t="s">
        <v>29</v>
      </c>
      <c r="N145" t="s">
        <v>30</v>
      </c>
      <c r="O145">
        <v>37219</v>
      </c>
      <c r="P145" t="s">
        <v>576</v>
      </c>
      <c r="Q145" s="2">
        <v>0.04</v>
      </c>
      <c r="R145" s="2">
        <v>30</v>
      </c>
      <c r="S145" s="2">
        <v>78</v>
      </c>
      <c r="T145" t="s">
        <v>577</v>
      </c>
      <c r="U145" s="6">
        <v>155</v>
      </c>
      <c r="V145" s="2">
        <v>47037012701</v>
      </c>
      <c r="W145" s="2" t="s">
        <v>68</v>
      </c>
      <c r="X145" s="1">
        <v>45658</v>
      </c>
      <c r="Y145" s="2">
        <v>8000</v>
      </c>
      <c r="Z145" s="2">
        <v>0</v>
      </c>
      <c r="AA145" s="2">
        <v>8000</v>
      </c>
    </row>
    <row r="146" spans="1:27" x14ac:dyDescent="0.3">
      <c r="A146" s="4" t="s">
        <v>386</v>
      </c>
      <c r="B146" s="2" t="str">
        <f>"07004015900"</f>
        <v>07004015900</v>
      </c>
      <c r="C146" s="2" t="s">
        <v>420</v>
      </c>
      <c r="D146" t="s">
        <v>29</v>
      </c>
      <c r="E146" s="2" t="s">
        <v>30</v>
      </c>
      <c r="F146" s="2">
        <v>37207</v>
      </c>
      <c r="G146" s="2" t="s">
        <v>64</v>
      </c>
      <c r="H146" t="s">
        <v>211</v>
      </c>
      <c r="I146" s="6">
        <v>27739</v>
      </c>
      <c r="J146" s="2" t="s">
        <v>578</v>
      </c>
      <c r="K146" s="2">
        <v>229</v>
      </c>
      <c r="L146" t="s">
        <v>35</v>
      </c>
      <c r="M146" t="s">
        <v>29</v>
      </c>
      <c r="N146" t="s">
        <v>30</v>
      </c>
      <c r="O146">
        <v>37219</v>
      </c>
      <c r="P146" t="s">
        <v>579</v>
      </c>
      <c r="Q146" s="2">
        <v>0.06</v>
      </c>
      <c r="R146" s="2">
        <v>25</v>
      </c>
      <c r="S146" s="2">
        <v>125</v>
      </c>
      <c r="T146" t="s">
        <v>580</v>
      </c>
      <c r="U146" s="6">
        <v>26611</v>
      </c>
      <c r="V146" s="2">
        <v>47037012702</v>
      </c>
      <c r="W146" s="2" t="s">
        <v>68</v>
      </c>
      <c r="X146" s="1">
        <v>45658</v>
      </c>
      <c r="Y146" s="2">
        <v>30000</v>
      </c>
      <c r="Z146" s="2">
        <v>0</v>
      </c>
      <c r="AA146" s="2">
        <v>30000</v>
      </c>
    </row>
    <row r="147" spans="1:27" x14ac:dyDescent="0.3">
      <c r="A147" s="4" t="s">
        <v>386</v>
      </c>
      <c r="B147" s="2" t="str">
        <f>"07004015800"</f>
        <v>07004015800</v>
      </c>
      <c r="C147" s="2" t="s">
        <v>420</v>
      </c>
      <c r="D147" t="s">
        <v>29</v>
      </c>
      <c r="E147" s="2" t="s">
        <v>30</v>
      </c>
      <c r="F147" s="2">
        <v>37207</v>
      </c>
      <c r="G147" s="2" t="s">
        <v>64</v>
      </c>
      <c r="H147" t="s">
        <v>211</v>
      </c>
      <c r="I147" s="6">
        <v>27739</v>
      </c>
      <c r="J147" s="2" t="s">
        <v>581</v>
      </c>
      <c r="K147" s="2">
        <v>229</v>
      </c>
      <c r="L147" t="s">
        <v>35</v>
      </c>
      <c r="M147" t="s">
        <v>29</v>
      </c>
      <c r="N147" t="s">
        <v>30</v>
      </c>
      <c r="O147">
        <v>37219</v>
      </c>
      <c r="P147" t="s">
        <v>582</v>
      </c>
      <c r="Q147" s="2">
        <v>0.08</v>
      </c>
      <c r="R147" s="2">
        <v>25</v>
      </c>
      <c r="S147" s="2">
        <v>125</v>
      </c>
      <c r="T147" t="s">
        <v>580</v>
      </c>
      <c r="U147" s="6">
        <v>26611</v>
      </c>
      <c r="V147" s="2">
        <v>47037012702</v>
      </c>
      <c r="W147" s="2" t="s">
        <v>68</v>
      </c>
      <c r="X147" s="1">
        <v>45658</v>
      </c>
      <c r="Y147" s="2">
        <v>30000</v>
      </c>
      <c r="Z147" s="2">
        <v>0</v>
      </c>
      <c r="AA147" s="2">
        <v>30000</v>
      </c>
    </row>
    <row r="148" spans="1:27" x14ac:dyDescent="0.3">
      <c r="A148" s="4" t="s">
        <v>386</v>
      </c>
      <c r="B148" s="2" t="str">
        <f>"07004015700"</f>
        <v>07004015700</v>
      </c>
      <c r="C148" s="2" t="s">
        <v>420</v>
      </c>
      <c r="D148" t="s">
        <v>29</v>
      </c>
      <c r="E148" s="2" t="s">
        <v>30</v>
      </c>
      <c r="F148" s="2">
        <v>37207</v>
      </c>
      <c r="G148" s="2" t="s">
        <v>64</v>
      </c>
      <c r="H148" t="s">
        <v>211</v>
      </c>
      <c r="I148" s="6">
        <v>27431</v>
      </c>
      <c r="J148" s="2" t="s">
        <v>583</v>
      </c>
      <c r="K148" s="2">
        <v>208</v>
      </c>
      <c r="L148" t="s">
        <v>35</v>
      </c>
      <c r="M148" t="s">
        <v>29</v>
      </c>
      <c r="N148" t="s">
        <v>30</v>
      </c>
      <c r="O148">
        <v>37219</v>
      </c>
      <c r="P148" t="s">
        <v>584</v>
      </c>
      <c r="Q148" s="2">
        <v>0.06</v>
      </c>
      <c r="R148" s="2">
        <v>25</v>
      </c>
      <c r="S148" s="2">
        <v>125</v>
      </c>
      <c r="T148" t="s">
        <v>585</v>
      </c>
      <c r="U148" s="6">
        <v>1262</v>
      </c>
      <c r="V148" s="2">
        <v>47037012702</v>
      </c>
      <c r="W148" s="2" t="s">
        <v>68</v>
      </c>
      <c r="X148" s="1">
        <v>45658</v>
      </c>
      <c r="Y148" s="2">
        <v>30000</v>
      </c>
      <c r="Z148" s="2">
        <v>0</v>
      </c>
      <c r="AA148" s="2">
        <v>30000</v>
      </c>
    </row>
    <row r="149" spans="1:27" x14ac:dyDescent="0.3">
      <c r="A149" s="4" t="s">
        <v>386</v>
      </c>
      <c r="B149" s="2" t="str">
        <f>"07008003300"</f>
        <v>07008003300</v>
      </c>
      <c r="C149" s="2" t="s">
        <v>420</v>
      </c>
      <c r="D149" t="s">
        <v>29</v>
      </c>
      <c r="E149" s="2" t="s">
        <v>30</v>
      </c>
      <c r="F149" s="2">
        <v>37207</v>
      </c>
      <c r="G149" s="2" t="s">
        <v>64</v>
      </c>
      <c r="H149" t="s">
        <v>211</v>
      </c>
      <c r="I149" s="6">
        <v>27431</v>
      </c>
      <c r="J149" s="2" t="s">
        <v>586</v>
      </c>
      <c r="K149" s="2">
        <v>208</v>
      </c>
      <c r="L149" t="s">
        <v>35</v>
      </c>
      <c r="M149" t="s">
        <v>29</v>
      </c>
      <c r="N149" t="s">
        <v>30</v>
      </c>
      <c r="O149">
        <v>37219</v>
      </c>
      <c r="P149" t="s">
        <v>587</v>
      </c>
      <c r="Q149" s="2">
        <v>0.08</v>
      </c>
      <c r="R149" s="2">
        <v>25</v>
      </c>
      <c r="S149" s="2">
        <v>125</v>
      </c>
      <c r="T149" t="s">
        <v>585</v>
      </c>
      <c r="U149" s="6">
        <v>1262</v>
      </c>
      <c r="V149" s="2">
        <v>47037012702</v>
      </c>
      <c r="W149" s="2" t="s">
        <v>68</v>
      </c>
      <c r="X149" s="1">
        <v>45658</v>
      </c>
      <c r="Y149" s="2">
        <v>30000</v>
      </c>
      <c r="Z149" s="2">
        <v>0</v>
      </c>
      <c r="AA149" s="2">
        <v>30000</v>
      </c>
    </row>
    <row r="150" spans="1:27" x14ac:dyDescent="0.3">
      <c r="A150" s="4" t="s">
        <v>386</v>
      </c>
      <c r="B150" s="2" t="str">
        <f>"07109011500"</f>
        <v>07109011500</v>
      </c>
      <c r="C150" s="2" t="s">
        <v>588</v>
      </c>
      <c r="D150" t="s">
        <v>29</v>
      </c>
      <c r="E150" s="2" t="s">
        <v>30</v>
      </c>
      <c r="F150" s="2">
        <v>37207</v>
      </c>
      <c r="G150" s="2" t="s">
        <v>64</v>
      </c>
      <c r="H150" t="s">
        <v>211</v>
      </c>
      <c r="I150" s="6">
        <v>27739</v>
      </c>
      <c r="J150" s="2" t="s">
        <v>589</v>
      </c>
      <c r="K150" s="2">
        <v>204</v>
      </c>
      <c r="L150" t="s">
        <v>35</v>
      </c>
      <c r="M150" t="s">
        <v>29</v>
      </c>
      <c r="N150" t="s">
        <v>30</v>
      </c>
      <c r="O150">
        <v>37219</v>
      </c>
      <c r="P150" t="s">
        <v>590</v>
      </c>
      <c r="Q150" s="2">
        <v>0.14000000000000001</v>
      </c>
      <c r="R150" s="2">
        <v>40</v>
      </c>
      <c r="S150" s="2">
        <v>140</v>
      </c>
      <c r="T150" t="s">
        <v>591</v>
      </c>
      <c r="U150" s="6">
        <v>26938</v>
      </c>
      <c r="V150" s="2">
        <v>47037012702</v>
      </c>
      <c r="W150" s="2" t="s">
        <v>68</v>
      </c>
      <c r="X150" s="1">
        <v>45658</v>
      </c>
      <c r="Y150" s="2">
        <v>117000</v>
      </c>
      <c r="Z150" s="2">
        <v>0</v>
      </c>
      <c r="AA150" s="2">
        <v>117000</v>
      </c>
    </row>
    <row r="151" spans="1:27" x14ac:dyDescent="0.3">
      <c r="A151" s="4" t="s">
        <v>386</v>
      </c>
      <c r="B151" s="2" t="str">
        <f>"07109011400"</f>
        <v>07109011400</v>
      </c>
      <c r="C151" s="2" t="s">
        <v>588</v>
      </c>
      <c r="D151" t="s">
        <v>29</v>
      </c>
      <c r="E151" s="2" t="s">
        <v>30</v>
      </c>
      <c r="F151" s="2">
        <v>37207</v>
      </c>
      <c r="G151" s="2" t="s">
        <v>64</v>
      </c>
      <c r="H151" t="s">
        <v>211</v>
      </c>
      <c r="I151" s="6">
        <v>27739</v>
      </c>
      <c r="J151" s="2" t="s">
        <v>592</v>
      </c>
      <c r="K151" s="2">
        <v>417</v>
      </c>
      <c r="L151" t="s">
        <v>35</v>
      </c>
      <c r="M151" t="s">
        <v>29</v>
      </c>
      <c r="N151" t="s">
        <v>30</v>
      </c>
      <c r="O151">
        <v>37219</v>
      </c>
      <c r="P151" t="s">
        <v>593</v>
      </c>
      <c r="Q151" s="2">
        <v>0.14000000000000001</v>
      </c>
      <c r="R151" s="2">
        <v>40</v>
      </c>
      <c r="S151" s="2">
        <v>140</v>
      </c>
      <c r="T151" t="s">
        <v>591</v>
      </c>
      <c r="U151" s="6">
        <v>26938</v>
      </c>
      <c r="V151" s="2">
        <v>47037012702</v>
      </c>
      <c r="W151" s="2" t="s">
        <v>68</v>
      </c>
      <c r="X151" s="1">
        <v>45658</v>
      </c>
      <c r="Y151" s="2">
        <v>117000</v>
      </c>
      <c r="Z151" s="2">
        <v>0</v>
      </c>
      <c r="AA151" s="2">
        <v>117000</v>
      </c>
    </row>
    <row r="152" spans="1:27" x14ac:dyDescent="0.3">
      <c r="A152" s="4" t="s">
        <v>386</v>
      </c>
      <c r="B152" s="2" t="str">
        <f>"07109011300"</f>
        <v>07109011300</v>
      </c>
      <c r="C152" s="2" t="s">
        <v>588</v>
      </c>
      <c r="D152" t="s">
        <v>29</v>
      </c>
      <c r="E152" s="2" t="s">
        <v>30</v>
      </c>
      <c r="F152" s="2">
        <v>37207</v>
      </c>
      <c r="G152" s="2" t="s">
        <v>64</v>
      </c>
      <c r="H152" t="s">
        <v>211</v>
      </c>
      <c r="I152" s="6">
        <v>27739</v>
      </c>
      <c r="J152" s="2" t="s">
        <v>594</v>
      </c>
      <c r="K152" s="2">
        <v>0</v>
      </c>
      <c r="L152" t="s">
        <v>35</v>
      </c>
      <c r="M152" t="s">
        <v>29</v>
      </c>
      <c r="N152" t="s">
        <v>30</v>
      </c>
      <c r="O152">
        <v>37219</v>
      </c>
      <c r="P152" t="s">
        <v>595</v>
      </c>
      <c r="Q152" s="2">
        <v>0.14000000000000001</v>
      </c>
      <c r="R152" s="2">
        <v>40</v>
      </c>
      <c r="S152" s="2">
        <v>140</v>
      </c>
      <c r="T152" t="s">
        <v>591</v>
      </c>
      <c r="U152" s="6">
        <v>26938</v>
      </c>
      <c r="V152" s="2">
        <v>47037012702</v>
      </c>
      <c r="W152" s="2" t="s">
        <v>68</v>
      </c>
      <c r="X152" s="1">
        <v>45658</v>
      </c>
      <c r="Y152" s="2">
        <v>117000</v>
      </c>
      <c r="Z152" s="2">
        <v>0</v>
      </c>
      <c r="AA152" s="2">
        <v>117000</v>
      </c>
    </row>
    <row r="153" spans="1:27" x14ac:dyDescent="0.3">
      <c r="A153" s="4" t="s">
        <v>386</v>
      </c>
      <c r="B153" s="2" t="str">
        <f>"07000000400"</f>
        <v>07000000400</v>
      </c>
      <c r="C153" s="2" t="s">
        <v>223</v>
      </c>
      <c r="D153" t="s">
        <v>29</v>
      </c>
      <c r="E153" s="2" t="s">
        <v>30</v>
      </c>
      <c r="F153" s="2">
        <v>37218</v>
      </c>
      <c r="G153" s="2" t="s">
        <v>64</v>
      </c>
      <c r="H153" t="s">
        <v>211</v>
      </c>
      <c r="I153" s="6">
        <v>38862</v>
      </c>
      <c r="J153" s="2" t="s">
        <v>224</v>
      </c>
      <c r="K153" s="2">
        <v>50000</v>
      </c>
      <c r="L153" t="s">
        <v>35</v>
      </c>
      <c r="M153" t="s">
        <v>29</v>
      </c>
      <c r="N153" t="s">
        <v>30</v>
      </c>
      <c r="O153">
        <v>37219</v>
      </c>
      <c r="P153" t="s">
        <v>596</v>
      </c>
      <c r="Q153" s="2">
        <v>10.9</v>
      </c>
      <c r="R153" s="2">
        <v>0</v>
      </c>
      <c r="S153" s="2">
        <v>0</v>
      </c>
      <c r="T153" t="s">
        <v>226</v>
      </c>
      <c r="U153" s="6">
        <v>25890</v>
      </c>
      <c r="V153" s="2">
        <v>47037012801</v>
      </c>
      <c r="W153" s="2" t="s">
        <v>68</v>
      </c>
      <c r="X153" s="1">
        <v>45658</v>
      </c>
      <c r="Y153" s="2">
        <v>393800</v>
      </c>
      <c r="Z153" s="2">
        <v>0</v>
      </c>
      <c r="AA153" s="2">
        <v>393800</v>
      </c>
    </row>
    <row r="154" spans="1:27" x14ac:dyDescent="0.3">
      <c r="A154" s="4" t="s">
        <v>386</v>
      </c>
      <c r="B154" s="2" t="str">
        <f>"07000000600"</f>
        <v>07000000600</v>
      </c>
      <c r="C154" s="2" t="s">
        <v>597</v>
      </c>
      <c r="D154" t="s">
        <v>29</v>
      </c>
      <c r="E154" s="2" t="s">
        <v>30</v>
      </c>
      <c r="F154" s="2">
        <v>37218</v>
      </c>
      <c r="G154" s="2" t="s">
        <v>152</v>
      </c>
      <c r="H154" t="s">
        <v>598</v>
      </c>
      <c r="I154" s="6">
        <v>15465</v>
      </c>
      <c r="J154" s="2" t="s">
        <v>599</v>
      </c>
      <c r="K154" s="2" t="s">
        <v>34</v>
      </c>
      <c r="L154" t="s">
        <v>35</v>
      </c>
      <c r="M154" t="s">
        <v>29</v>
      </c>
      <c r="N154" t="s">
        <v>30</v>
      </c>
      <c r="O154">
        <v>37219</v>
      </c>
      <c r="P154" t="s">
        <v>600</v>
      </c>
      <c r="Q154" s="2">
        <v>70.930000000000007</v>
      </c>
      <c r="R154" s="2">
        <v>0</v>
      </c>
      <c r="S154" s="2">
        <v>0</v>
      </c>
      <c r="T154" t="s">
        <v>601</v>
      </c>
      <c r="U154" s="6">
        <v>29812</v>
      </c>
      <c r="V154" s="2">
        <v>47037012801</v>
      </c>
      <c r="W154" s="2" t="s">
        <v>68</v>
      </c>
      <c r="X154" s="1">
        <v>45658</v>
      </c>
      <c r="Y154" s="2">
        <v>1225700</v>
      </c>
      <c r="Z154" s="2">
        <v>0</v>
      </c>
      <c r="AA154" s="2">
        <v>1225700</v>
      </c>
    </row>
    <row r="155" spans="1:27" x14ac:dyDescent="0.3">
      <c r="A155" s="4" t="s">
        <v>386</v>
      </c>
      <c r="B155" s="2" t="str">
        <f>"07015004300"</f>
        <v>07015004300</v>
      </c>
      <c r="C155" s="2" t="s">
        <v>602</v>
      </c>
      <c r="D155" t="s">
        <v>29</v>
      </c>
      <c r="E155" s="2" t="s">
        <v>30</v>
      </c>
      <c r="F155" s="2">
        <v>37228</v>
      </c>
      <c r="G155" s="2" t="s">
        <v>200</v>
      </c>
      <c r="H155" t="s">
        <v>603</v>
      </c>
      <c r="I155" s="6">
        <v>27092</v>
      </c>
      <c r="J155" s="2" t="s">
        <v>604</v>
      </c>
      <c r="K155" s="2" t="s">
        <v>34</v>
      </c>
      <c r="L155" t="s">
        <v>35</v>
      </c>
      <c r="M155" t="s">
        <v>29</v>
      </c>
      <c r="N155" t="s">
        <v>30</v>
      </c>
      <c r="O155">
        <v>37219</v>
      </c>
      <c r="P155" t="s">
        <v>605</v>
      </c>
      <c r="Q155" s="2">
        <v>6.79</v>
      </c>
      <c r="R155" s="2">
        <v>0</v>
      </c>
      <c r="S155" s="2">
        <v>0</v>
      </c>
      <c r="T155" t="s">
        <v>606</v>
      </c>
      <c r="U155" s="6">
        <v>36182</v>
      </c>
      <c r="V155" s="2">
        <v>47037013700</v>
      </c>
      <c r="W155" s="2" t="s">
        <v>68</v>
      </c>
      <c r="X155" s="1">
        <v>45658</v>
      </c>
      <c r="Y155" s="2">
        <v>9485000</v>
      </c>
      <c r="Z155" s="2">
        <v>0</v>
      </c>
      <c r="AA155" s="2">
        <v>9485000</v>
      </c>
    </row>
    <row r="156" spans="1:27" x14ac:dyDescent="0.3">
      <c r="A156" s="4" t="s">
        <v>386</v>
      </c>
      <c r="B156" s="2" t="str">
        <f>"08102017300"</f>
        <v>08102017300</v>
      </c>
      <c r="C156" s="2" t="s">
        <v>607</v>
      </c>
      <c r="D156" t="s">
        <v>29</v>
      </c>
      <c r="E156" s="2" t="s">
        <v>30</v>
      </c>
      <c r="F156" s="2">
        <v>37208</v>
      </c>
      <c r="G156" s="2" t="s">
        <v>608</v>
      </c>
      <c r="H156" t="s">
        <v>603</v>
      </c>
      <c r="I156" s="6">
        <v>27092</v>
      </c>
      <c r="J156" s="2" t="s">
        <v>604</v>
      </c>
      <c r="K156" s="2" t="s">
        <v>34</v>
      </c>
      <c r="L156" t="s">
        <v>35</v>
      </c>
      <c r="M156" t="s">
        <v>29</v>
      </c>
      <c r="N156" t="s">
        <v>30</v>
      </c>
      <c r="O156">
        <v>37219</v>
      </c>
      <c r="P156" t="s">
        <v>609</v>
      </c>
      <c r="Q156" s="2">
        <v>19.170000000000002</v>
      </c>
      <c r="R156" s="2">
        <v>0</v>
      </c>
      <c r="S156" s="2">
        <v>0</v>
      </c>
      <c r="T156" t="s">
        <v>610</v>
      </c>
      <c r="U156" s="6">
        <v>34180</v>
      </c>
      <c r="V156" s="2">
        <v>47037013700</v>
      </c>
      <c r="W156" s="2" t="s">
        <v>68</v>
      </c>
      <c r="X156" s="1">
        <v>45658</v>
      </c>
      <c r="Y156" s="2">
        <v>1216400</v>
      </c>
      <c r="Z156" s="2">
        <v>0</v>
      </c>
      <c r="AA156" s="2">
        <v>1216400</v>
      </c>
    </row>
    <row r="157" spans="1:27" x14ac:dyDescent="0.3">
      <c r="A157" s="4" t="s">
        <v>386</v>
      </c>
      <c r="B157" s="2" t="str">
        <f>"07014020600"</f>
        <v>07014020600</v>
      </c>
      <c r="C157" s="2" t="s">
        <v>611</v>
      </c>
      <c r="D157" t="s">
        <v>29</v>
      </c>
      <c r="E157" s="2" t="s">
        <v>30</v>
      </c>
      <c r="F157" s="2">
        <v>37228</v>
      </c>
      <c r="G157" s="2" t="s">
        <v>200</v>
      </c>
      <c r="H157" t="s">
        <v>603</v>
      </c>
      <c r="I157" s="6">
        <v>27092</v>
      </c>
      <c r="J157" s="2" t="s">
        <v>604</v>
      </c>
      <c r="K157" s="2" t="s">
        <v>34</v>
      </c>
      <c r="L157" t="s">
        <v>35</v>
      </c>
      <c r="M157" t="s">
        <v>29</v>
      </c>
      <c r="N157" t="s">
        <v>30</v>
      </c>
      <c r="O157">
        <v>37219</v>
      </c>
      <c r="P157" t="s">
        <v>612</v>
      </c>
      <c r="Q157" s="2">
        <v>13.22</v>
      </c>
      <c r="R157" s="2">
        <v>0</v>
      </c>
      <c r="S157" s="2">
        <v>0</v>
      </c>
      <c r="T157" t="s">
        <v>613</v>
      </c>
      <c r="U157" s="6">
        <v>43544</v>
      </c>
      <c r="V157" s="2">
        <v>47037013700</v>
      </c>
      <c r="W157" s="2" t="s">
        <v>68</v>
      </c>
      <c r="X157" s="1">
        <v>45658</v>
      </c>
      <c r="Y157" s="2">
        <v>13910000</v>
      </c>
      <c r="Z157" s="2">
        <v>0</v>
      </c>
      <c r="AA157" s="2">
        <v>13910000</v>
      </c>
    </row>
    <row r="158" spans="1:27" x14ac:dyDescent="0.3">
      <c r="A158" s="4" t="s">
        <v>386</v>
      </c>
      <c r="B158" s="2" t="str">
        <f>"07014000200"</f>
        <v>07014000200</v>
      </c>
      <c r="C158" s="2" t="s">
        <v>614</v>
      </c>
      <c r="D158" t="s">
        <v>29</v>
      </c>
      <c r="E158" s="2" t="s">
        <v>30</v>
      </c>
      <c r="F158" s="2">
        <v>37228</v>
      </c>
      <c r="G158" s="2" t="s">
        <v>608</v>
      </c>
      <c r="H158" t="s">
        <v>603</v>
      </c>
      <c r="I158" s="6">
        <v>29307</v>
      </c>
      <c r="J158" s="2" t="s">
        <v>615</v>
      </c>
      <c r="K158" s="2" t="s">
        <v>34</v>
      </c>
      <c r="L158" t="s">
        <v>35</v>
      </c>
      <c r="M158" t="s">
        <v>29</v>
      </c>
      <c r="N158" t="s">
        <v>30</v>
      </c>
      <c r="O158">
        <v>37219</v>
      </c>
      <c r="P158" t="s">
        <v>616</v>
      </c>
      <c r="Q158" s="2">
        <v>77.08</v>
      </c>
      <c r="R158" s="2">
        <v>0</v>
      </c>
      <c r="S158" s="2">
        <v>0</v>
      </c>
      <c r="T158" t="s">
        <v>615</v>
      </c>
      <c r="U158" s="6">
        <v>29307</v>
      </c>
      <c r="V158" s="2">
        <v>47037013700</v>
      </c>
      <c r="W158" s="2" t="s">
        <v>68</v>
      </c>
      <c r="X158" s="1">
        <v>45658</v>
      </c>
      <c r="Y158" s="2">
        <v>3686100</v>
      </c>
      <c r="Z158" s="2">
        <v>0</v>
      </c>
      <c r="AA158" s="2">
        <v>3686100</v>
      </c>
    </row>
    <row r="159" spans="1:27" x14ac:dyDescent="0.3">
      <c r="A159" s="4" t="s">
        <v>386</v>
      </c>
      <c r="B159" s="2" t="str">
        <f>"07013015300"</f>
        <v>07013015300</v>
      </c>
      <c r="C159" s="2" t="s">
        <v>617</v>
      </c>
      <c r="D159" t="s">
        <v>29</v>
      </c>
      <c r="E159" s="2" t="s">
        <v>30</v>
      </c>
      <c r="F159" s="2">
        <v>37228</v>
      </c>
      <c r="G159" s="2" t="s">
        <v>41</v>
      </c>
      <c r="H159" t="s">
        <v>603</v>
      </c>
      <c r="I159" s="6">
        <v>36829</v>
      </c>
      <c r="J159" s="2" t="s">
        <v>618</v>
      </c>
      <c r="K159" s="2">
        <v>306000</v>
      </c>
      <c r="L159" t="s">
        <v>35</v>
      </c>
      <c r="M159" t="s">
        <v>29</v>
      </c>
      <c r="N159" t="s">
        <v>30</v>
      </c>
      <c r="O159">
        <v>37219</v>
      </c>
      <c r="P159" t="s">
        <v>619</v>
      </c>
      <c r="Q159" s="2">
        <v>2.34</v>
      </c>
      <c r="R159" s="2">
        <v>0</v>
      </c>
      <c r="S159" s="2">
        <v>0</v>
      </c>
      <c r="T159" t="s">
        <v>620</v>
      </c>
      <c r="U159" s="6">
        <v>28842</v>
      </c>
      <c r="V159" s="2">
        <v>47037013700</v>
      </c>
      <c r="W159" s="2" t="s">
        <v>68</v>
      </c>
      <c r="X159" s="1">
        <v>45658</v>
      </c>
      <c r="Y159" s="2">
        <v>2491700</v>
      </c>
      <c r="Z159" s="2">
        <v>0</v>
      </c>
      <c r="AA159" s="2">
        <v>2491700</v>
      </c>
    </row>
    <row r="160" spans="1:27" x14ac:dyDescent="0.3">
      <c r="A160" s="4" t="s">
        <v>386</v>
      </c>
      <c r="B160" s="2" t="str">
        <f>"08102017400"</f>
        <v>08102017400</v>
      </c>
      <c r="C160" s="2" t="s">
        <v>621</v>
      </c>
      <c r="D160" t="s">
        <v>29</v>
      </c>
      <c r="E160" s="2" t="s">
        <v>30</v>
      </c>
      <c r="F160" s="2">
        <v>37228</v>
      </c>
      <c r="G160" s="2" t="s">
        <v>200</v>
      </c>
      <c r="H160" t="s">
        <v>603</v>
      </c>
      <c r="I160" s="6">
        <v>27092</v>
      </c>
      <c r="J160" s="2" t="s">
        <v>604</v>
      </c>
      <c r="K160" s="2" t="s">
        <v>34</v>
      </c>
      <c r="L160" t="s">
        <v>35</v>
      </c>
      <c r="M160" t="s">
        <v>29</v>
      </c>
      <c r="N160" t="s">
        <v>30</v>
      </c>
      <c r="O160">
        <v>37219</v>
      </c>
      <c r="P160" t="s">
        <v>622</v>
      </c>
      <c r="Q160" s="2">
        <v>83.27</v>
      </c>
      <c r="R160" s="2">
        <v>0</v>
      </c>
      <c r="S160" s="2">
        <v>0</v>
      </c>
      <c r="T160" t="s">
        <v>623</v>
      </c>
      <c r="U160" s="6">
        <v>28394</v>
      </c>
      <c r="V160" s="2">
        <v>47037013700</v>
      </c>
      <c r="W160" s="2" t="s">
        <v>68</v>
      </c>
      <c r="X160" s="1">
        <v>45658</v>
      </c>
      <c r="Y160" s="2">
        <v>3964700</v>
      </c>
      <c r="Z160" s="2">
        <v>0</v>
      </c>
      <c r="AA160" s="2">
        <v>3964700</v>
      </c>
    </row>
    <row r="161" spans="1:27" x14ac:dyDescent="0.3">
      <c r="A161" s="4" t="s">
        <v>386</v>
      </c>
      <c r="B161" s="2" t="str">
        <f>"07000003700"</f>
        <v>07000003700</v>
      </c>
      <c r="C161" s="2" t="s">
        <v>624</v>
      </c>
      <c r="D161" t="s">
        <v>29</v>
      </c>
      <c r="E161" s="2" t="s">
        <v>30</v>
      </c>
      <c r="F161" s="2">
        <v>37218</v>
      </c>
      <c r="G161" s="2" t="s">
        <v>200</v>
      </c>
      <c r="H161" t="s">
        <v>625</v>
      </c>
      <c r="I161" s="6">
        <v>3693</v>
      </c>
      <c r="J161" s="2" t="s">
        <v>626</v>
      </c>
      <c r="K161" s="2" t="s">
        <v>34</v>
      </c>
      <c r="L161" t="s">
        <v>35</v>
      </c>
      <c r="M161" t="s">
        <v>29</v>
      </c>
      <c r="N161" t="s">
        <v>30</v>
      </c>
      <c r="O161">
        <v>37219</v>
      </c>
      <c r="P161" t="s">
        <v>627</v>
      </c>
      <c r="Q161" s="2">
        <v>63.5</v>
      </c>
      <c r="R161" s="2">
        <v>0</v>
      </c>
      <c r="S161" s="2">
        <v>0</v>
      </c>
      <c r="T161" t="s">
        <v>628</v>
      </c>
      <c r="U161" s="6">
        <v>27740</v>
      </c>
      <c r="V161" s="2">
        <v>47037012801</v>
      </c>
      <c r="W161" s="2" t="s">
        <v>68</v>
      </c>
      <c r="X161" s="1">
        <v>45658</v>
      </c>
      <c r="Y161" s="2">
        <v>1219200</v>
      </c>
      <c r="Z161" s="2">
        <v>0</v>
      </c>
      <c r="AA161" s="2">
        <v>1219200</v>
      </c>
    </row>
    <row r="162" spans="1:27" x14ac:dyDescent="0.3">
      <c r="A162" s="4" t="s">
        <v>386</v>
      </c>
      <c r="B162" s="2" t="str">
        <f>"06000007100"</f>
        <v>06000007100</v>
      </c>
      <c r="C162" s="2" t="s">
        <v>517</v>
      </c>
      <c r="D162" t="s">
        <v>29</v>
      </c>
      <c r="E162" s="2" t="s">
        <v>30</v>
      </c>
      <c r="F162" s="2">
        <v>37207</v>
      </c>
      <c r="G162" s="2" t="s">
        <v>64</v>
      </c>
      <c r="H162" t="s">
        <v>629</v>
      </c>
      <c r="I162" s="6">
        <v>32777</v>
      </c>
      <c r="J162" s="2" t="s">
        <v>630</v>
      </c>
      <c r="K162" s="2" t="s">
        <v>34</v>
      </c>
      <c r="L162" t="s">
        <v>35</v>
      </c>
      <c r="M162" t="s">
        <v>29</v>
      </c>
      <c r="N162" t="s">
        <v>30</v>
      </c>
      <c r="O162">
        <v>37219</v>
      </c>
      <c r="P162" t="s">
        <v>631</v>
      </c>
      <c r="Q162" s="2">
        <v>53.44</v>
      </c>
      <c r="R162" s="2">
        <v>0</v>
      </c>
      <c r="S162" s="2">
        <v>0</v>
      </c>
      <c r="T162" t="s">
        <v>278</v>
      </c>
      <c r="U162" s="6">
        <v>36580</v>
      </c>
      <c r="V162" s="2">
        <v>47037012701</v>
      </c>
      <c r="W162" s="2" t="s">
        <v>68</v>
      </c>
      <c r="X162" s="1">
        <v>45658</v>
      </c>
      <c r="Y162" s="2">
        <v>1756600</v>
      </c>
      <c r="Z162" s="2">
        <v>0</v>
      </c>
      <c r="AA162" s="2">
        <v>1756600</v>
      </c>
    </row>
    <row r="163" spans="1:27" x14ac:dyDescent="0.3">
      <c r="A163" s="4" t="s">
        <v>386</v>
      </c>
      <c r="B163" s="2" t="str">
        <f>"07105003100"</f>
        <v>07105003100</v>
      </c>
      <c r="C163" s="2" t="s">
        <v>632</v>
      </c>
      <c r="D163" t="s">
        <v>29</v>
      </c>
      <c r="E163" s="2" t="s">
        <v>30</v>
      </c>
      <c r="F163" s="2">
        <v>37207</v>
      </c>
      <c r="G163" s="2" t="s">
        <v>253</v>
      </c>
      <c r="H163" t="s">
        <v>633</v>
      </c>
      <c r="I163" s="6">
        <v>14269</v>
      </c>
      <c r="J163" s="2" t="s">
        <v>634</v>
      </c>
      <c r="K163" s="2" t="s">
        <v>34</v>
      </c>
      <c r="L163" t="s">
        <v>35</v>
      </c>
      <c r="M163" t="s">
        <v>29</v>
      </c>
      <c r="N163" t="s">
        <v>30</v>
      </c>
      <c r="O163">
        <v>37219</v>
      </c>
      <c r="P163" t="s">
        <v>635</v>
      </c>
      <c r="Q163" s="2">
        <v>15.52</v>
      </c>
      <c r="R163" s="2">
        <v>0</v>
      </c>
      <c r="S163" s="2">
        <v>0</v>
      </c>
      <c r="T163" t="s">
        <v>636</v>
      </c>
      <c r="U163" s="6">
        <v>35366</v>
      </c>
      <c r="V163" s="2">
        <v>47037012702</v>
      </c>
      <c r="W163" s="2" t="s">
        <v>68</v>
      </c>
      <c r="X163" s="1">
        <v>45658</v>
      </c>
      <c r="Y163" s="2">
        <v>1059900</v>
      </c>
      <c r="Z163" s="2">
        <v>0</v>
      </c>
      <c r="AA163" s="2">
        <v>1059900</v>
      </c>
    </row>
    <row r="164" spans="1:27" x14ac:dyDescent="0.3">
      <c r="A164" s="4" t="s">
        <v>386</v>
      </c>
      <c r="B164" s="2" t="str">
        <f>"05909007700"</f>
        <v>05909007700</v>
      </c>
      <c r="C164" s="2" t="s">
        <v>637</v>
      </c>
      <c r="D164" t="s">
        <v>29</v>
      </c>
      <c r="E164" s="2" t="s">
        <v>30</v>
      </c>
      <c r="F164" s="2">
        <v>37218</v>
      </c>
      <c r="G164" s="2" t="s">
        <v>253</v>
      </c>
      <c r="H164" t="s">
        <v>638</v>
      </c>
      <c r="I164" s="6">
        <v>22461</v>
      </c>
      <c r="J164" s="2" t="s">
        <v>639</v>
      </c>
      <c r="K164" s="2" t="s">
        <v>34</v>
      </c>
      <c r="L164" t="s">
        <v>35</v>
      </c>
      <c r="M164" t="s">
        <v>29</v>
      </c>
      <c r="N164" t="s">
        <v>30</v>
      </c>
      <c r="O164">
        <v>37219</v>
      </c>
      <c r="P164" t="s">
        <v>640</v>
      </c>
      <c r="Q164" s="2">
        <v>11.5</v>
      </c>
      <c r="R164" s="2">
        <v>0</v>
      </c>
      <c r="S164" s="2">
        <v>0</v>
      </c>
      <c r="T164" t="s">
        <v>639</v>
      </c>
      <c r="U164" s="6">
        <v>22461</v>
      </c>
      <c r="V164" s="2">
        <v>47037010105</v>
      </c>
      <c r="W164" s="2" t="s">
        <v>68</v>
      </c>
      <c r="X164" s="1">
        <v>45658</v>
      </c>
      <c r="Y164" s="2">
        <v>378500</v>
      </c>
      <c r="Z164" s="2">
        <v>0</v>
      </c>
      <c r="AA164" s="2">
        <v>378500</v>
      </c>
    </row>
    <row r="165" spans="1:27" x14ac:dyDescent="0.3">
      <c r="A165" s="4" t="s">
        <v>386</v>
      </c>
      <c r="B165" s="2" t="str">
        <f>"07111000400"</f>
        <v>07111000400</v>
      </c>
      <c r="C165" s="2" t="s">
        <v>641</v>
      </c>
      <c r="D165" t="s">
        <v>29</v>
      </c>
      <c r="E165" s="2" t="s">
        <v>30</v>
      </c>
      <c r="F165" s="2">
        <v>37207</v>
      </c>
      <c r="G165" s="2" t="s">
        <v>253</v>
      </c>
      <c r="H165" t="s">
        <v>642</v>
      </c>
      <c r="I165" s="6">
        <v>15101</v>
      </c>
      <c r="J165" s="2" t="s">
        <v>643</v>
      </c>
      <c r="K165" s="2" t="s">
        <v>34</v>
      </c>
      <c r="L165" t="s">
        <v>35</v>
      </c>
      <c r="M165" t="s">
        <v>29</v>
      </c>
      <c r="N165" t="s">
        <v>30</v>
      </c>
      <c r="O165">
        <v>37219</v>
      </c>
      <c r="P165" t="s">
        <v>644</v>
      </c>
      <c r="Q165" s="2">
        <v>10</v>
      </c>
      <c r="R165" s="2">
        <v>0</v>
      </c>
      <c r="S165" s="2">
        <v>0</v>
      </c>
      <c r="T165" t="s">
        <v>643</v>
      </c>
      <c r="U165" s="6">
        <v>15101</v>
      </c>
      <c r="V165" s="2">
        <v>47037011300</v>
      </c>
      <c r="W165" s="2" t="s">
        <v>68</v>
      </c>
      <c r="X165" s="1">
        <v>45658</v>
      </c>
      <c r="Y165" s="2">
        <v>5097000</v>
      </c>
      <c r="Z165" s="2">
        <v>0</v>
      </c>
      <c r="AA165" s="2">
        <v>5097000</v>
      </c>
    </row>
    <row r="166" spans="1:27" x14ac:dyDescent="0.3">
      <c r="A166" s="4" t="s">
        <v>386</v>
      </c>
      <c r="B166" s="2" t="str">
        <f>"05910000700"</f>
        <v>05910000700</v>
      </c>
      <c r="C166" s="2" t="s">
        <v>645</v>
      </c>
      <c r="D166" t="s">
        <v>29</v>
      </c>
      <c r="E166" s="2" t="s">
        <v>30</v>
      </c>
      <c r="F166" s="2">
        <v>37218</v>
      </c>
      <c r="G166" s="2" t="s">
        <v>64</v>
      </c>
      <c r="H166" t="s">
        <v>280</v>
      </c>
      <c r="I166" s="6">
        <v>40591</v>
      </c>
      <c r="J166" s="2" t="s">
        <v>646</v>
      </c>
      <c r="K166" s="2">
        <v>0</v>
      </c>
      <c r="L166" t="s">
        <v>35</v>
      </c>
      <c r="M166" t="s">
        <v>29</v>
      </c>
      <c r="N166" t="s">
        <v>30</v>
      </c>
      <c r="O166">
        <v>37219</v>
      </c>
      <c r="P166" t="s">
        <v>647</v>
      </c>
      <c r="Q166" s="2">
        <v>0.48</v>
      </c>
      <c r="R166" s="2">
        <v>107</v>
      </c>
      <c r="S166" s="2">
        <v>195</v>
      </c>
      <c r="T166" t="s">
        <v>648</v>
      </c>
      <c r="U166" s="6">
        <v>31565</v>
      </c>
      <c r="V166" s="2">
        <v>47037012801</v>
      </c>
      <c r="W166" s="2" t="s">
        <v>68</v>
      </c>
      <c r="X166" s="1">
        <v>45658</v>
      </c>
      <c r="Y166" s="2">
        <v>7000</v>
      </c>
      <c r="Z166" s="2">
        <v>0</v>
      </c>
      <c r="AA166" s="2">
        <v>7000</v>
      </c>
    </row>
    <row r="167" spans="1:27" x14ac:dyDescent="0.3">
      <c r="A167" s="4" t="s">
        <v>386</v>
      </c>
      <c r="B167" s="2" t="str">
        <f>"05910003400"</f>
        <v>05910003400</v>
      </c>
      <c r="C167" s="2" t="s">
        <v>649</v>
      </c>
      <c r="D167" t="s">
        <v>29</v>
      </c>
      <c r="E167" s="2" t="s">
        <v>30</v>
      </c>
      <c r="F167" s="2">
        <v>37207</v>
      </c>
      <c r="G167" s="2" t="s">
        <v>64</v>
      </c>
      <c r="H167" t="s">
        <v>280</v>
      </c>
      <c r="I167" s="6">
        <v>42880</v>
      </c>
      <c r="J167" s="2" t="s">
        <v>650</v>
      </c>
      <c r="K167" s="2">
        <v>0</v>
      </c>
      <c r="L167" t="s">
        <v>651</v>
      </c>
      <c r="M167" t="s">
        <v>29</v>
      </c>
      <c r="N167" t="s">
        <v>30</v>
      </c>
      <c r="O167">
        <v>37208</v>
      </c>
      <c r="P167" t="s">
        <v>652</v>
      </c>
      <c r="Q167" s="2">
        <v>0.36</v>
      </c>
      <c r="R167" s="2">
        <v>112</v>
      </c>
      <c r="S167" s="2">
        <v>128</v>
      </c>
      <c r="T167" t="s">
        <v>653</v>
      </c>
      <c r="U167" s="6">
        <v>24847</v>
      </c>
      <c r="V167" s="2">
        <v>47037012701</v>
      </c>
      <c r="W167" s="2" t="s">
        <v>68</v>
      </c>
      <c r="X167" s="1">
        <v>45658</v>
      </c>
      <c r="Y167" s="2">
        <v>83600</v>
      </c>
      <c r="Z167" s="2">
        <v>0</v>
      </c>
      <c r="AA167" s="2">
        <v>83600</v>
      </c>
    </row>
    <row r="168" spans="1:27" x14ac:dyDescent="0.3">
      <c r="A168" s="4" t="s">
        <v>386</v>
      </c>
      <c r="B168" s="2" t="str">
        <f>"05910024500"</f>
        <v>05910024500</v>
      </c>
      <c r="C168" s="2" t="s">
        <v>654</v>
      </c>
      <c r="D168" t="s">
        <v>29</v>
      </c>
      <c r="E168" s="2" t="s">
        <v>30</v>
      </c>
      <c r="F168" s="2">
        <v>37207</v>
      </c>
      <c r="G168" s="2" t="s">
        <v>64</v>
      </c>
      <c r="H168" t="s">
        <v>280</v>
      </c>
      <c r="I168" s="6">
        <v>40703</v>
      </c>
      <c r="J168" s="2" t="s">
        <v>655</v>
      </c>
      <c r="K168" s="2">
        <v>0</v>
      </c>
      <c r="L168" t="s">
        <v>35</v>
      </c>
      <c r="M168" t="s">
        <v>29</v>
      </c>
      <c r="N168" t="s">
        <v>30</v>
      </c>
      <c r="O168">
        <v>37219</v>
      </c>
      <c r="P168" t="s">
        <v>656</v>
      </c>
      <c r="Q168" s="2">
        <v>0.55000000000000004</v>
      </c>
      <c r="R168" s="2">
        <v>162</v>
      </c>
      <c r="S168" s="2">
        <v>150</v>
      </c>
      <c r="T168" t="s">
        <v>657</v>
      </c>
      <c r="U168" s="6">
        <v>25911</v>
      </c>
      <c r="V168" s="2">
        <v>47037012701</v>
      </c>
      <c r="W168" s="2" t="s">
        <v>68</v>
      </c>
      <c r="X168" s="1">
        <v>45658</v>
      </c>
      <c r="Y168" s="2">
        <v>86500</v>
      </c>
      <c r="Z168" s="2">
        <v>0</v>
      </c>
      <c r="AA168" s="2">
        <v>86500</v>
      </c>
    </row>
    <row r="169" spans="1:27" x14ac:dyDescent="0.3">
      <c r="A169" s="4" t="s">
        <v>386</v>
      </c>
      <c r="B169" s="2" t="str">
        <f>"05914001200"</f>
        <v>05914001200</v>
      </c>
      <c r="C169" s="2" t="s">
        <v>658</v>
      </c>
      <c r="D169" t="s">
        <v>29</v>
      </c>
      <c r="E169" s="2" t="s">
        <v>30</v>
      </c>
      <c r="F169" s="2">
        <v>37218</v>
      </c>
      <c r="G169" s="2" t="s">
        <v>64</v>
      </c>
      <c r="H169" t="s">
        <v>280</v>
      </c>
      <c r="I169" s="6">
        <v>40709</v>
      </c>
      <c r="J169" s="2" t="s">
        <v>659</v>
      </c>
      <c r="K169" s="2">
        <v>0</v>
      </c>
      <c r="L169" t="s">
        <v>35</v>
      </c>
      <c r="M169" t="s">
        <v>29</v>
      </c>
      <c r="N169" t="s">
        <v>30</v>
      </c>
      <c r="O169">
        <v>37219</v>
      </c>
      <c r="P169" t="s">
        <v>660</v>
      </c>
      <c r="Q169" s="2">
        <v>1.03</v>
      </c>
      <c r="R169" s="2">
        <v>95</v>
      </c>
      <c r="S169" s="2">
        <v>389</v>
      </c>
      <c r="T169" t="s">
        <v>661</v>
      </c>
      <c r="U169" s="6">
        <v>25094</v>
      </c>
      <c r="V169" s="2">
        <v>47037012801</v>
      </c>
      <c r="W169" s="2" t="s">
        <v>68</v>
      </c>
      <c r="X169" s="1">
        <v>45658</v>
      </c>
      <c r="Y169" s="2">
        <v>7200</v>
      </c>
      <c r="Z169" s="2">
        <v>0</v>
      </c>
      <c r="AA169" s="2">
        <v>7200</v>
      </c>
    </row>
    <row r="170" spans="1:27" x14ac:dyDescent="0.3">
      <c r="A170" s="4" t="s">
        <v>386</v>
      </c>
      <c r="B170" s="2" t="str">
        <f>"05914001300"</f>
        <v>05914001300</v>
      </c>
      <c r="C170" s="2" t="s">
        <v>662</v>
      </c>
      <c r="D170" t="s">
        <v>29</v>
      </c>
      <c r="E170" s="2" t="s">
        <v>30</v>
      </c>
      <c r="F170" s="2">
        <v>37218</v>
      </c>
      <c r="G170" s="2" t="s">
        <v>64</v>
      </c>
      <c r="H170" t="s">
        <v>280</v>
      </c>
      <c r="I170" s="6">
        <v>41535</v>
      </c>
      <c r="J170" s="2" t="s">
        <v>663</v>
      </c>
      <c r="K170" s="2" t="s">
        <v>34</v>
      </c>
      <c r="L170" t="s">
        <v>35</v>
      </c>
      <c r="M170" t="s">
        <v>29</v>
      </c>
      <c r="N170" t="s">
        <v>30</v>
      </c>
      <c r="O170">
        <v>37219</v>
      </c>
      <c r="P170" t="s">
        <v>664</v>
      </c>
      <c r="Q170" s="2">
        <v>1.1299999999999999</v>
      </c>
      <c r="R170" s="2">
        <v>110</v>
      </c>
      <c r="S170" s="2">
        <v>472</v>
      </c>
      <c r="T170" t="s">
        <v>665</v>
      </c>
      <c r="U170" s="6">
        <v>27015</v>
      </c>
      <c r="V170" s="2">
        <v>47037012801</v>
      </c>
      <c r="W170" s="2" t="s">
        <v>68</v>
      </c>
      <c r="X170" s="1">
        <v>45658</v>
      </c>
      <c r="Y170" s="2">
        <v>56100</v>
      </c>
      <c r="Z170" s="2">
        <v>0</v>
      </c>
      <c r="AA170" s="2">
        <v>56100</v>
      </c>
    </row>
    <row r="171" spans="1:27" x14ac:dyDescent="0.3">
      <c r="A171" s="4" t="s">
        <v>386</v>
      </c>
      <c r="B171" s="2" t="str">
        <f>"05914004800"</f>
        <v>05914004800</v>
      </c>
      <c r="C171" s="2" t="s">
        <v>666</v>
      </c>
      <c r="D171" t="s">
        <v>29</v>
      </c>
      <c r="E171" s="2" t="s">
        <v>30</v>
      </c>
      <c r="F171" s="2">
        <v>37218</v>
      </c>
      <c r="G171" s="2" t="s">
        <v>64</v>
      </c>
      <c r="H171" t="s">
        <v>280</v>
      </c>
      <c r="I171" s="6">
        <v>40655</v>
      </c>
      <c r="J171" s="2" t="s">
        <v>667</v>
      </c>
      <c r="K171" s="2">
        <v>0</v>
      </c>
      <c r="L171" t="s">
        <v>35</v>
      </c>
      <c r="M171" t="s">
        <v>29</v>
      </c>
      <c r="N171" t="s">
        <v>30</v>
      </c>
      <c r="O171">
        <v>37219</v>
      </c>
      <c r="P171" t="s">
        <v>668</v>
      </c>
      <c r="Q171" s="2">
        <v>0.87</v>
      </c>
      <c r="R171" s="2">
        <v>224</v>
      </c>
      <c r="S171" s="2">
        <v>224</v>
      </c>
      <c r="T171" t="s">
        <v>669</v>
      </c>
      <c r="U171" s="6">
        <v>25281</v>
      </c>
      <c r="V171" s="2">
        <v>47037012801</v>
      </c>
      <c r="W171" s="2" t="s">
        <v>68</v>
      </c>
      <c r="X171" s="1">
        <v>45658</v>
      </c>
      <c r="Y171" s="2">
        <v>7000</v>
      </c>
      <c r="Z171" s="2">
        <v>0</v>
      </c>
      <c r="AA171" s="2">
        <v>7000</v>
      </c>
    </row>
    <row r="172" spans="1:27" x14ac:dyDescent="0.3">
      <c r="A172" s="4" t="s">
        <v>386</v>
      </c>
      <c r="B172" s="2" t="str">
        <f>"05914001400"</f>
        <v>05914001400</v>
      </c>
      <c r="C172" s="2" t="s">
        <v>670</v>
      </c>
      <c r="D172" t="s">
        <v>29</v>
      </c>
      <c r="E172" s="2" t="s">
        <v>30</v>
      </c>
      <c r="F172" s="2">
        <v>37218</v>
      </c>
      <c r="G172" s="2" t="s">
        <v>64</v>
      </c>
      <c r="H172" t="s">
        <v>280</v>
      </c>
      <c r="I172" s="6">
        <v>43103</v>
      </c>
      <c r="J172" s="2" t="s">
        <v>671</v>
      </c>
      <c r="K172" s="2">
        <v>0</v>
      </c>
      <c r="L172" t="s">
        <v>85</v>
      </c>
      <c r="M172" t="s">
        <v>29</v>
      </c>
      <c r="N172" t="s">
        <v>30</v>
      </c>
      <c r="O172">
        <v>37219</v>
      </c>
      <c r="P172" t="s">
        <v>672</v>
      </c>
      <c r="Q172" s="2">
        <v>1.03</v>
      </c>
      <c r="R172" s="2">
        <v>120</v>
      </c>
      <c r="S172" s="2">
        <v>472</v>
      </c>
      <c r="T172" t="s">
        <v>673</v>
      </c>
      <c r="U172" s="6">
        <v>26855</v>
      </c>
      <c r="V172" s="2">
        <v>47037012801</v>
      </c>
      <c r="W172" s="2" t="s">
        <v>68</v>
      </c>
      <c r="X172" s="1">
        <v>45658</v>
      </c>
      <c r="Y172" s="2">
        <v>20600</v>
      </c>
      <c r="Z172" s="2">
        <v>0</v>
      </c>
      <c r="AA172" s="2">
        <v>20600</v>
      </c>
    </row>
    <row r="173" spans="1:27" x14ac:dyDescent="0.3">
      <c r="A173" s="4" t="s">
        <v>386</v>
      </c>
      <c r="B173" s="2" t="str">
        <f>"05914001800"</f>
        <v>05914001800</v>
      </c>
      <c r="C173" s="2" t="s">
        <v>674</v>
      </c>
      <c r="D173" t="s">
        <v>29</v>
      </c>
      <c r="E173" s="2" t="s">
        <v>30</v>
      </c>
      <c r="F173" s="2">
        <v>37218</v>
      </c>
      <c r="G173" s="2" t="s">
        <v>64</v>
      </c>
      <c r="H173" t="s">
        <v>280</v>
      </c>
      <c r="I173" s="6">
        <v>40786</v>
      </c>
      <c r="J173" s="2" t="s">
        <v>675</v>
      </c>
      <c r="K173" s="2">
        <v>0</v>
      </c>
      <c r="L173" t="s">
        <v>35</v>
      </c>
      <c r="M173" t="s">
        <v>29</v>
      </c>
      <c r="N173" t="s">
        <v>30</v>
      </c>
      <c r="O173">
        <v>37219</v>
      </c>
      <c r="P173" t="s">
        <v>676</v>
      </c>
      <c r="Q173" s="2">
        <v>1.2</v>
      </c>
      <c r="R173" s="2">
        <v>93</v>
      </c>
      <c r="S173" s="2">
        <v>403</v>
      </c>
      <c r="T173" t="s">
        <v>677</v>
      </c>
      <c r="U173" s="6">
        <v>26994</v>
      </c>
      <c r="V173" s="2">
        <v>47037012801</v>
      </c>
      <c r="W173" s="2" t="s">
        <v>68</v>
      </c>
      <c r="X173" s="1">
        <v>45658</v>
      </c>
      <c r="Y173" s="2">
        <v>8400</v>
      </c>
      <c r="Z173" s="2">
        <v>0</v>
      </c>
      <c r="AA173" s="2">
        <v>8400</v>
      </c>
    </row>
    <row r="174" spans="1:27" x14ac:dyDescent="0.3">
      <c r="A174" s="4" t="s">
        <v>386</v>
      </c>
      <c r="B174" s="2" t="str">
        <f>"05914001700"</f>
        <v>05914001700</v>
      </c>
      <c r="C174" s="2" t="s">
        <v>678</v>
      </c>
      <c r="D174" t="s">
        <v>29</v>
      </c>
      <c r="E174" s="2" t="s">
        <v>30</v>
      </c>
      <c r="F174" s="2">
        <v>37218</v>
      </c>
      <c r="G174" s="2" t="s">
        <v>64</v>
      </c>
      <c r="H174" t="s">
        <v>280</v>
      </c>
      <c r="I174" s="6">
        <v>40745</v>
      </c>
      <c r="J174" s="2" t="s">
        <v>679</v>
      </c>
      <c r="K174" s="2">
        <v>0</v>
      </c>
      <c r="L174" t="s">
        <v>35</v>
      </c>
      <c r="M174" t="s">
        <v>29</v>
      </c>
      <c r="N174" t="s">
        <v>30</v>
      </c>
      <c r="O174">
        <v>37219</v>
      </c>
      <c r="P174" t="s">
        <v>680</v>
      </c>
      <c r="Q174" s="2">
        <v>1.03</v>
      </c>
      <c r="R174" s="2">
        <v>125</v>
      </c>
      <c r="S174" s="2">
        <v>389</v>
      </c>
      <c r="T174" t="s">
        <v>681</v>
      </c>
      <c r="U174" s="6">
        <v>25066</v>
      </c>
      <c r="V174" s="2">
        <v>47037012801</v>
      </c>
      <c r="W174" s="2" t="s">
        <v>68</v>
      </c>
      <c r="X174" s="1">
        <v>45658</v>
      </c>
      <c r="Y174" s="2">
        <v>7200</v>
      </c>
      <c r="Z174" s="2">
        <v>0</v>
      </c>
      <c r="AA174" s="2">
        <v>7200</v>
      </c>
    </row>
    <row r="175" spans="1:27" x14ac:dyDescent="0.3">
      <c r="A175" s="4" t="s">
        <v>386</v>
      </c>
      <c r="B175" s="2" t="str">
        <f>"05914001500"</f>
        <v>05914001500</v>
      </c>
      <c r="C175" s="2" t="s">
        <v>682</v>
      </c>
      <c r="D175" t="s">
        <v>29</v>
      </c>
      <c r="E175" s="2" t="s">
        <v>30</v>
      </c>
      <c r="F175" s="2">
        <v>37218</v>
      </c>
      <c r="G175" s="2" t="s">
        <v>64</v>
      </c>
      <c r="H175" t="s">
        <v>280</v>
      </c>
      <c r="I175" s="6">
        <v>40686</v>
      </c>
      <c r="J175" s="2" t="s">
        <v>683</v>
      </c>
      <c r="K175" s="2">
        <v>0</v>
      </c>
      <c r="L175" t="s">
        <v>35</v>
      </c>
      <c r="M175" t="s">
        <v>29</v>
      </c>
      <c r="N175" t="s">
        <v>30</v>
      </c>
      <c r="O175">
        <v>37219</v>
      </c>
      <c r="P175" t="s">
        <v>684</v>
      </c>
      <c r="Q175" s="2">
        <v>0.96</v>
      </c>
      <c r="R175" s="2">
        <v>165</v>
      </c>
      <c r="S175" s="2">
        <v>380</v>
      </c>
      <c r="T175" t="s">
        <v>685</v>
      </c>
      <c r="U175" s="6">
        <v>27288</v>
      </c>
      <c r="V175" s="2">
        <v>47037012801</v>
      </c>
      <c r="W175" s="2" t="s">
        <v>68</v>
      </c>
      <c r="X175" s="1">
        <v>45658</v>
      </c>
      <c r="Y175" s="2">
        <v>7000</v>
      </c>
      <c r="Z175" s="2">
        <v>0</v>
      </c>
      <c r="AA175" s="2">
        <v>7000</v>
      </c>
    </row>
    <row r="176" spans="1:27" x14ac:dyDescent="0.3">
      <c r="A176" s="4" t="s">
        <v>386</v>
      </c>
      <c r="B176" s="2" t="str">
        <f>"05914004700"</f>
        <v>05914004700</v>
      </c>
      <c r="C176" s="2" t="s">
        <v>686</v>
      </c>
      <c r="D176" t="s">
        <v>29</v>
      </c>
      <c r="E176" s="2" t="s">
        <v>30</v>
      </c>
      <c r="F176" s="2">
        <v>37218</v>
      </c>
      <c r="G176" s="2" t="s">
        <v>64</v>
      </c>
      <c r="H176" t="s">
        <v>280</v>
      </c>
      <c r="I176" s="6">
        <v>40604</v>
      </c>
      <c r="J176" s="2" t="s">
        <v>687</v>
      </c>
      <c r="K176" s="2">
        <v>0</v>
      </c>
      <c r="L176" t="s">
        <v>35</v>
      </c>
      <c r="M176" t="s">
        <v>29</v>
      </c>
      <c r="N176" t="s">
        <v>30</v>
      </c>
      <c r="O176">
        <v>37219</v>
      </c>
      <c r="P176" t="s">
        <v>688</v>
      </c>
      <c r="Q176" s="2">
        <v>0.43</v>
      </c>
      <c r="R176" s="2">
        <v>80</v>
      </c>
      <c r="S176" s="2">
        <v>225</v>
      </c>
      <c r="T176" t="s">
        <v>689</v>
      </c>
      <c r="U176" s="6">
        <v>25015</v>
      </c>
      <c r="V176" s="2">
        <v>47037012801</v>
      </c>
      <c r="W176" s="2" t="s">
        <v>68</v>
      </c>
      <c r="X176" s="1">
        <v>45658</v>
      </c>
      <c r="Y176" s="2">
        <v>7000</v>
      </c>
      <c r="Z176" s="2">
        <v>0</v>
      </c>
      <c r="AA176" s="2">
        <v>7000</v>
      </c>
    </row>
    <row r="177" spans="1:27" x14ac:dyDescent="0.3">
      <c r="A177" s="4" t="s">
        <v>386</v>
      </c>
      <c r="B177" s="2" t="str">
        <f>"05914004600"</f>
        <v>05914004600</v>
      </c>
      <c r="C177" s="2" t="s">
        <v>690</v>
      </c>
      <c r="D177" t="s">
        <v>29</v>
      </c>
      <c r="E177" s="2" t="s">
        <v>30</v>
      </c>
      <c r="F177" s="2">
        <v>37218</v>
      </c>
      <c r="G177" s="2" t="s">
        <v>64</v>
      </c>
      <c r="H177" t="s">
        <v>280</v>
      </c>
      <c r="I177" s="6">
        <v>40599</v>
      </c>
      <c r="J177" s="2" t="s">
        <v>691</v>
      </c>
      <c r="K177" s="2">
        <v>0</v>
      </c>
      <c r="L177" t="s">
        <v>35</v>
      </c>
      <c r="M177" t="s">
        <v>29</v>
      </c>
      <c r="N177" t="s">
        <v>30</v>
      </c>
      <c r="O177">
        <v>37219</v>
      </c>
      <c r="P177" t="s">
        <v>692</v>
      </c>
      <c r="Q177" s="2">
        <v>0.36</v>
      </c>
      <c r="R177" s="2">
        <v>70</v>
      </c>
      <c r="S177" s="2">
        <v>225</v>
      </c>
      <c r="T177" t="s">
        <v>693</v>
      </c>
      <c r="U177" s="6">
        <v>27080</v>
      </c>
      <c r="V177" s="2">
        <v>47037012801</v>
      </c>
      <c r="W177" s="2" t="s">
        <v>68</v>
      </c>
      <c r="X177" s="1">
        <v>45658</v>
      </c>
      <c r="Y177" s="2">
        <v>7000</v>
      </c>
      <c r="Z177" s="2">
        <v>0</v>
      </c>
      <c r="AA177" s="2">
        <v>7000</v>
      </c>
    </row>
    <row r="178" spans="1:27" x14ac:dyDescent="0.3">
      <c r="A178" s="4" t="s">
        <v>386</v>
      </c>
      <c r="B178" s="2" t="str">
        <f>"05914004500"</f>
        <v>05914004500</v>
      </c>
      <c r="C178" s="2" t="s">
        <v>694</v>
      </c>
      <c r="D178" t="s">
        <v>29</v>
      </c>
      <c r="E178" s="2" t="s">
        <v>30</v>
      </c>
      <c r="F178" s="2">
        <v>37218</v>
      </c>
      <c r="G178" s="2" t="s">
        <v>64</v>
      </c>
      <c r="H178" t="s">
        <v>280</v>
      </c>
      <c r="I178" s="6">
        <v>40941</v>
      </c>
      <c r="J178" s="2" t="s">
        <v>695</v>
      </c>
      <c r="K178" s="2">
        <v>0</v>
      </c>
      <c r="L178" t="s">
        <v>35</v>
      </c>
      <c r="M178" t="s">
        <v>29</v>
      </c>
      <c r="N178" t="s">
        <v>30</v>
      </c>
      <c r="O178">
        <v>37219</v>
      </c>
      <c r="P178" t="s">
        <v>696</v>
      </c>
      <c r="Q178" s="2">
        <v>0.4</v>
      </c>
      <c r="R178" s="2">
        <v>70</v>
      </c>
      <c r="S178" s="2">
        <v>211</v>
      </c>
      <c r="T178" t="s">
        <v>697</v>
      </c>
      <c r="U178" s="6">
        <v>26526</v>
      </c>
      <c r="V178" s="2">
        <v>47037012801</v>
      </c>
      <c r="W178" s="2" t="s">
        <v>68</v>
      </c>
      <c r="X178" s="1">
        <v>45658</v>
      </c>
      <c r="Y178" s="2">
        <v>7000</v>
      </c>
      <c r="Z178" s="2">
        <v>0</v>
      </c>
      <c r="AA178" s="2">
        <v>7000</v>
      </c>
    </row>
    <row r="179" spans="1:27" x14ac:dyDescent="0.3">
      <c r="A179" s="4" t="s">
        <v>386</v>
      </c>
      <c r="B179" s="2" t="str">
        <f>"05914001600"</f>
        <v>05914001600</v>
      </c>
      <c r="C179" s="2" t="s">
        <v>698</v>
      </c>
      <c r="D179" t="s">
        <v>29</v>
      </c>
      <c r="E179" s="2" t="s">
        <v>30</v>
      </c>
      <c r="F179" s="2">
        <v>37218</v>
      </c>
      <c r="G179" s="2" t="s">
        <v>64</v>
      </c>
      <c r="H179" t="s">
        <v>280</v>
      </c>
      <c r="I179" s="6">
        <v>43109</v>
      </c>
      <c r="J179" s="2" t="s">
        <v>699</v>
      </c>
      <c r="K179" s="2" t="s">
        <v>34</v>
      </c>
      <c r="L179" t="s">
        <v>343</v>
      </c>
      <c r="M179" t="s">
        <v>29</v>
      </c>
      <c r="N179" t="s">
        <v>30</v>
      </c>
      <c r="O179">
        <v>37201</v>
      </c>
      <c r="P179" t="s">
        <v>700</v>
      </c>
      <c r="Q179" s="2">
        <v>0.91</v>
      </c>
      <c r="R179" s="2">
        <v>179</v>
      </c>
      <c r="S179" s="2">
        <v>217</v>
      </c>
      <c r="T179" t="s">
        <v>701</v>
      </c>
      <c r="U179" s="6">
        <v>24939</v>
      </c>
      <c r="V179" s="2">
        <v>47037012801</v>
      </c>
      <c r="W179" s="2" t="s">
        <v>68</v>
      </c>
      <c r="X179" s="1">
        <v>45658</v>
      </c>
      <c r="Y179" s="2">
        <v>91700</v>
      </c>
      <c r="Z179" s="2">
        <v>0</v>
      </c>
      <c r="AA179" s="2">
        <v>91700</v>
      </c>
    </row>
    <row r="180" spans="1:27" x14ac:dyDescent="0.3">
      <c r="A180" s="4" t="s">
        <v>386</v>
      </c>
      <c r="B180" s="2" t="str">
        <f>"05914004400"</f>
        <v>05914004400</v>
      </c>
      <c r="C180" s="2" t="s">
        <v>702</v>
      </c>
      <c r="D180" t="s">
        <v>29</v>
      </c>
      <c r="E180" s="2" t="s">
        <v>30</v>
      </c>
      <c r="F180" s="2">
        <v>37218</v>
      </c>
      <c r="G180" s="2" t="s">
        <v>64</v>
      </c>
      <c r="H180" t="s">
        <v>280</v>
      </c>
      <c r="I180" s="6">
        <v>40599</v>
      </c>
      <c r="J180" s="2" t="s">
        <v>703</v>
      </c>
      <c r="K180" s="2">
        <v>0</v>
      </c>
      <c r="L180" t="s">
        <v>35</v>
      </c>
      <c r="M180" t="s">
        <v>29</v>
      </c>
      <c r="N180" t="s">
        <v>30</v>
      </c>
      <c r="O180">
        <v>37219</v>
      </c>
      <c r="P180" t="s">
        <v>704</v>
      </c>
      <c r="Q180" s="2">
        <v>0.41</v>
      </c>
      <c r="R180" s="2">
        <v>70</v>
      </c>
      <c r="S180" s="2">
        <v>203</v>
      </c>
      <c r="T180" t="s">
        <v>705</v>
      </c>
      <c r="U180" s="6">
        <v>25289</v>
      </c>
      <c r="V180" s="2">
        <v>47037012801</v>
      </c>
      <c r="W180" s="2" t="s">
        <v>68</v>
      </c>
      <c r="X180" s="1">
        <v>45658</v>
      </c>
      <c r="Y180" s="2">
        <v>7000</v>
      </c>
      <c r="Z180" s="2">
        <v>0</v>
      </c>
      <c r="AA180" s="2">
        <v>7000</v>
      </c>
    </row>
    <row r="181" spans="1:27" x14ac:dyDescent="0.3">
      <c r="A181" s="4" t="s">
        <v>386</v>
      </c>
      <c r="B181" s="2" t="str">
        <f>"05914004300"</f>
        <v>05914004300</v>
      </c>
      <c r="C181" s="2" t="s">
        <v>706</v>
      </c>
      <c r="D181" t="s">
        <v>29</v>
      </c>
      <c r="E181" s="2" t="s">
        <v>30</v>
      </c>
      <c r="F181" s="2">
        <v>37218</v>
      </c>
      <c r="G181" s="2" t="s">
        <v>64</v>
      </c>
      <c r="H181" t="s">
        <v>280</v>
      </c>
      <c r="I181" s="6">
        <v>40591</v>
      </c>
      <c r="J181" s="2" t="s">
        <v>707</v>
      </c>
      <c r="K181" s="2">
        <v>0</v>
      </c>
      <c r="L181" t="s">
        <v>35</v>
      </c>
      <c r="M181" t="s">
        <v>29</v>
      </c>
      <c r="N181" t="s">
        <v>30</v>
      </c>
      <c r="O181">
        <v>37219</v>
      </c>
      <c r="P181" t="s">
        <v>708</v>
      </c>
      <c r="Q181" s="2">
        <v>0.36</v>
      </c>
      <c r="R181" s="2">
        <v>70</v>
      </c>
      <c r="S181" s="2">
        <v>203</v>
      </c>
      <c r="T181" t="s">
        <v>709</v>
      </c>
      <c r="U181" s="6">
        <v>26085</v>
      </c>
      <c r="V181" s="2">
        <v>47037012801</v>
      </c>
      <c r="W181" s="2" t="s">
        <v>68</v>
      </c>
      <c r="X181" s="1">
        <v>45658</v>
      </c>
      <c r="Y181" s="2">
        <v>7000</v>
      </c>
      <c r="Z181" s="2">
        <v>0</v>
      </c>
      <c r="AA181" s="2">
        <v>7000</v>
      </c>
    </row>
    <row r="182" spans="1:27" x14ac:dyDescent="0.3">
      <c r="A182" s="4" t="s">
        <v>386</v>
      </c>
      <c r="B182" s="2" t="str">
        <f>"05914002100"</f>
        <v>05914002100</v>
      </c>
      <c r="C182" s="2" t="s">
        <v>710</v>
      </c>
      <c r="D182" t="s">
        <v>29</v>
      </c>
      <c r="E182" s="2" t="s">
        <v>30</v>
      </c>
      <c r="F182" s="2">
        <v>37218</v>
      </c>
      <c r="G182" s="2" t="s">
        <v>64</v>
      </c>
      <c r="H182" t="s">
        <v>280</v>
      </c>
      <c r="I182" s="6">
        <v>40745</v>
      </c>
      <c r="J182" s="2" t="s">
        <v>711</v>
      </c>
      <c r="K182" s="2">
        <v>0</v>
      </c>
      <c r="L182" t="s">
        <v>35</v>
      </c>
      <c r="M182" t="s">
        <v>29</v>
      </c>
      <c r="N182" t="s">
        <v>30</v>
      </c>
      <c r="O182">
        <v>37219</v>
      </c>
      <c r="P182" t="s">
        <v>712</v>
      </c>
      <c r="Q182" s="2">
        <v>0.59</v>
      </c>
      <c r="R182" s="2">
        <v>135</v>
      </c>
      <c r="S182" s="2">
        <v>275</v>
      </c>
      <c r="T182" t="s">
        <v>713</v>
      </c>
      <c r="U182" s="6">
        <v>25009</v>
      </c>
      <c r="V182" s="2">
        <v>47037012801</v>
      </c>
      <c r="W182" s="2" t="s">
        <v>68</v>
      </c>
      <c r="X182" s="1">
        <v>45658</v>
      </c>
      <c r="Y182" s="2">
        <v>7000</v>
      </c>
      <c r="Z182" s="2">
        <v>0</v>
      </c>
      <c r="AA182" s="2">
        <v>7000</v>
      </c>
    </row>
    <row r="183" spans="1:27" x14ac:dyDescent="0.3">
      <c r="A183" s="4" t="s">
        <v>386</v>
      </c>
      <c r="B183" s="2" t="str">
        <f>"05914004200"</f>
        <v>05914004200</v>
      </c>
      <c r="C183" s="2" t="s">
        <v>714</v>
      </c>
      <c r="D183" t="s">
        <v>29</v>
      </c>
      <c r="E183" s="2" t="s">
        <v>30</v>
      </c>
      <c r="F183" s="2">
        <v>37218</v>
      </c>
      <c r="G183" s="2" t="s">
        <v>64</v>
      </c>
      <c r="H183" t="s">
        <v>280</v>
      </c>
      <c r="I183" s="6">
        <v>40632</v>
      </c>
      <c r="J183" s="2" t="s">
        <v>715</v>
      </c>
      <c r="K183" s="2">
        <v>0</v>
      </c>
      <c r="L183" t="s">
        <v>35</v>
      </c>
      <c r="M183" t="s">
        <v>29</v>
      </c>
      <c r="N183" t="s">
        <v>30</v>
      </c>
      <c r="O183">
        <v>37219</v>
      </c>
      <c r="P183" t="s">
        <v>716</v>
      </c>
      <c r="Q183" s="2">
        <v>0.39</v>
      </c>
      <c r="R183" s="2">
        <v>70</v>
      </c>
      <c r="S183" s="2">
        <v>204</v>
      </c>
      <c r="T183" t="s">
        <v>717</v>
      </c>
      <c r="U183" s="6">
        <v>26091</v>
      </c>
      <c r="V183" s="2">
        <v>47037012801</v>
      </c>
      <c r="W183" s="2" t="s">
        <v>68</v>
      </c>
      <c r="X183" s="1">
        <v>45658</v>
      </c>
      <c r="Y183" s="2">
        <v>7000</v>
      </c>
      <c r="Z183" s="2">
        <v>0</v>
      </c>
      <c r="AA183" s="2">
        <v>7000</v>
      </c>
    </row>
    <row r="184" spans="1:27" x14ac:dyDescent="0.3">
      <c r="A184" s="4" t="s">
        <v>386</v>
      </c>
      <c r="B184" s="2" t="str">
        <f>"05914002200"</f>
        <v>05914002200</v>
      </c>
      <c r="C184" s="2" t="s">
        <v>718</v>
      </c>
      <c r="D184" t="s">
        <v>29</v>
      </c>
      <c r="E184" s="2" t="s">
        <v>30</v>
      </c>
      <c r="F184" s="2">
        <v>37218</v>
      </c>
      <c r="G184" s="2" t="s">
        <v>64</v>
      </c>
      <c r="H184" t="s">
        <v>280</v>
      </c>
      <c r="I184" s="6">
        <v>40710</v>
      </c>
      <c r="J184" s="2" t="s">
        <v>719</v>
      </c>
      <c r="K184" s="2">
        <v>0</v>
      </c>
      <c r="L184" t="s">
        <v>35</v>
      </c>
      <c r="M184" t="s">
        <v>29</v>
      </c>
      <c r="N184" t="s">
        <v>30</v>
      </c>
      <c r="O184">
        <v>37219</v>
      </c>
      <c r="P184" t="s">
        <v>720</v>
      </c>
      <c r="Q184" s="2">
        <v>0.36</v>
      </c>
      <c r="R184" s="2">
        <v>105</v>
      </c>
      <c r="S184" s="2">
        <v>216</v>
      </c>
      <c r="T184" t="s">
        <v>721</v>
      </c>
      <c r="U184" s="6">
        <v>25288</v>
      </c>
      <c r="V184" s="2">
        <v>47037012801</v>
      </c>
      <c r="W184" s="2" t="s">
        <v>68</v>
      </c>
      <c r="X184" s="1">
        <v>45658</v>
      </c>
      <c r="Y184" s="2">
        <v>7000</v>
      </c>
      <c r="Z184" s="2">
        <v>0</v>
      </c>
      <c r="AA184" s="2">
        <v>7000</v>
      </c>
    </row>
    <row r="185" spans="1:27" x14ac:dyDescent="0.3">
      <c r="A185" s="4" t="s">
        <v>386</v>
      </c>
      <c r="B185" s="2" t="str">
        <f>"05914004100"</f>
        <v>05914004100</v>
      </c>
      <c r="C185" s="2" t="s">
        <v>722</v>
      </c>
      <c r="D185" t="s">
        <v>29</v>
      </c>
      <c r="E185" s="2" t="s">
        <v>30</v>
      </c>
      <c r="F185" s="2">
        <v>37218</v>
      </c>
      <c r="G185" s="2" t="s">
        <v>64</v>
      </c>
      <c r="H185" t="s">
        <v>280</v>
      </c>
      <c r="I185" s="6">
        <v>40632</v>
      </c>
      <c r="J185" s="2" t="s">
        <v>723</v>
      </c>
      <c r="K185" s="2">
        <v>0</v>
      </c>
      <c r="L185" t="s">
        <v>35</v>
      </c>
      <c r="M185" t="s">
        <v>29</v>
      </c>
      <c r="N185" t="s">
        <v>30</v>
      </c>
      <c r="O185">
        <v>37219</v>
      </c>
      <c r="P185" t="s">
        <v>724</v>
      </c>
      <c r="Q185" s="2">
        <v>0.36</v>
      </c>
      <c r="R185" s="2">
        <v>70</v>
      </c>
      <c r="S185" s="2">
        <v>206</v>
      </c>
      <c r="T185" t="s">
        <v>725</v>
      </c>
      <c r="U185" s="6">
        <v>27312</v>
      </c>
      <c r="V185" s="2">
        <v>47037012801</v>
      </c>
      <c r="W185" s="2" t="s">
        <v>68</v>
      </c>
      <c r="X185" s="1">
        <v>45658</v>
      </c>
      <c r="Y185" s="2">
        <v>7000</v>
      </c>
      <c r="Z185" s="2">
        <v>0</v>
      </c>
      <c r="AA185" s="2">
        <v>7000</v>
      </c>
    </row>
    <row r="186" spans="1:27" x14ac:dyDescent="0.3">
      <c r="A186" s="4" t="s">
        <v>386</v>
      </c>
      <c r="B186" s="2" t="str">
        <f>"05914002300"</f>
        <v>05914002300</v>
      </c>
      <c r="C186" s="2" t="s">
        <v>726</v>
      </c>
      <c r="D186" t="s">
        <v>29</v>
      </c>
      <c r="E186" s="2" t="s">
        <v>30</v>
      </c>
      <c r="F186" s="2">
        <v>37218</v>
      </c>
      <c r="G186" s="2" t="s">
        <v>64</v>
      </c>
      <c r="H186" t="s">
        <v>280</v>
      </c>
      <c r="I186" s="6">
        <v>40724</v>
      </c>
      <c r="J186" s="2" t="s">
        <v>727</v>
      </c>
      <c r="K186" s="2">
        <v>0</v>
      </c>
      <c r="L186" t="s">
        <v>35</v>
      </c>
      <c r="M186" t="s">
        <v>29</v>
      </c>
      <c r="N186" t="s">
        <v>30</v>
      </c>
      <c r="O186">
        <v>37219</v>
      </c>
      <c r="P186" t="s">
        <v>728</v>
      </c>
      <c r="Q186" s="2">
        <v>0.43</v>
      </c>
      <c r="R186" s="2">
        <v>110</v>
      </c>
      <c r="S186" s="2">
        <v>127</v>
      </c>
      <c r="T186" t="s">
        <v>729</v>
      </c>
      <c r="U186" s="6">
        <v>26040</v>
      </c>
      <c r="V186" s="2">
        <v>47037012801</v>
      </c>
      <c r="W186" s="2" t="s">
        <v>68</v>
      </c>
      <c r="X186" s="1">
        <v>45658</v>
      </c>
      <c r="Y186" s="2">
        <v>7000</v>
      </c>
      <c r="Z186" s="2">
        <v>0</v>
      </c>
      <c r="AA186" s="2">
        <v>7000</v>
      </c>
    </row>
    <row r="187" spans="1:27" x14ac:dyDescent="0.3">
      <c r="A187" s="4" t="s">
        <v>386</v>
      </c>
      <c r="B187" s="2" t="str">
        <f>"05914004000"</f>
        <v>05914004000</v>
      </c>
      <c r="C187" s="2" t="s">
        <v>730</v>
      </c>
      <c r="D187" t="s">
        <v>29</v>
      </c>
      <c r="E187" s="2" t="s">
        <v>30</v>
      </c>
      <c r="F187" s="2">
        <v>37218</v>
      </c>
      <c r="G187" s="2" t="s">
        <v>64</v>
      </c>
      <c r="H187" t="s">
        <v>280</v>
      </c>
      <c r="I187" s="6">
        <v>40682</v>
      </c>
      <c r="J187" s="2" t="s">
        <v>731</v>
      </c>
      <c r="K187" s="2">
        <v>0</v>
      </c>
      <c r="L187" t="s">
        <v>35</v>
      </c>
      <c r="M187" t="s">
        <v>29</v>
      </c>
      <c r="N187" t="s">
        <v>30</v>
      </c>
      <c r="O187">
        <v>37219</v>
      </c>
      <c r="P187" t="s">
        <v>732</v>
      </c>
      <c r="Q187" s="2">
        <v>0.36</v>
      </c>
      <c r="R187" s="2">
        <v>75</v>
      </c>
      <c r="S187" s="2">
        <v>212</v>
      </c>
      <c r="T187" t="s">
        <v>733</v>
      </c>
      <c r="U187" s="6">
        <v>25031</v>
      </c>
      <c r="V187" s="2">
        <v>47037012801</v>
      </c>
      <c r="W187" s="2" t="s">
        <v>68</v>
      </c>
      <c r="X187" s="1">
        <v>45658</v>
      </c>
      <c r="Y187" s="2">
        <v>7000</v>
      </c>
      <c r="Z187" s="2">
        <v>0</v>
      </c>
      <c r="AA187" s="2">
        <v>7000</v>
      </c>
    </row>
    <row r="188" spans="1:27" x14ac:dyDescent="0.3">
      <c r="A188" s="4" t="s">
        <v>386</v>
      </c>
      <c r="B188" s="2" t="str">
        <f>"05914003900"</f>
        <v>05914003900</v>
      </c>
      <c r="C188" s="2" t="s">
        <v>734</v>
      </c>
      <c r="D188" t="s">
        <v>29</v>
      </c>
      <c r="E188" s="2" t="s">
        <v>30</v>
      </c>
      <c r="F188" s="2">
        <v>37218</v>
      </c>
      <c r="G188" s="2" t="s">
        <v>64</v>
      </c>
      <c r="H188" t="s">
        <v>280</v>
      </c>
      <c r="I188" s="6">
        <v>40599</v>
      </c>
      <c r="J188" s="2" t="s">
        <v>735</v>
      </c>
      <c r="K188" s="2">
        <v>0</v>
      </c>
      <c r="L188" t="s">
        <v>35</v>
      </c>
      <c r="M188" t="s">
        <v>29</v>
      </c>
      <c r="N188" t="s">
        <v>30</v>
      </c>
      <c r="O188">
        <v>37219</v>
      </c>
      <c r="P188" t="s">
        <v>736</v>
      </c>
      <c r="Q188" s="2">
        <v>0.37</v>
      </c>
      <c r="R188" s="2">
        <v>75</v>
      </c>
      <c r="S188" s="2">
        <v>215</v>
      </c>
      <c r="T188" t="s">
        <v>737</v>
      </c>
      <c r="U188" s="6">
        <v>26977</v>
      </c>
      <c r="V188" s="2">
        <v>47037012801</v>
      </c>
      <c r="W188" s="2" t="s">
        <v>68</v>
      </c>
      <c r="X188" s="1">
        <v>45658</v>
      </c>
      <c r="Y188" s="2">
        <v>7000</v>
      </c>
      <c r="Z188" s="2">
        <v>0</v>
      </c>
      <c r="AA188" s="2">
        <v>7000</v>
      </c>
    </row>
    <row r="189" spans="1:27" x14ac:dyDescent="0.3">
      <c r="A189" s="4" t="s">
        <v>386</v>
      </c>
      <c r="B189" s="2" t="str">
        <f>"05914002400"</f>
        <v>05914002400</v>
      </c>
      <c r="C189" s="2" t="s">
        <v>738</v>
      </c>
      <c r="D189" t="s">
        <v>29</v>
      </c>
      <c r="E189" s="2" t="s">
        <v>30</v>
      </c>
      <c r="F189" s="2">
        <v>37218</v>
      </c>
      <c r="G189" s="2" t="s">
        <v>64</v>
      </c>
      <c r="H189" t="s">
        <v>280</v>
      </c>
      <c r="I189" s="6">
        <v>40689</v>
      </c>
      <c r="J189" s="2" t="s">
        <v>739</v>
      </c>
      <c r="K189" s="2">
        <v>0</v>
      </c>
      <c r="L189" t="s">
        <v>35</v>
      </c>
      <c r="M189" t="s">
        <v>29</v>
      </c>
      <c r="N189" t="s">
        <v>30</v>
      </c>
      <c r="O189">
        <v>37219</v>
      </c>
      <c r="P189" t="s">
        <v>740</v>
      </c>
      <c r="Q189" s="2">
        <v>0.34</v>
      </c>
      <c r="R189" s="2">
        <v>100</v>
      </c>
      <c r="S189" s="2">
        <v>167</v>
      </c>
      <c r="T189" t="s">
        <v>741</v>
      </c>
      <c r="U189" s="6">
        <v>25318</v>
      </c>
      <c r="V189" s="2">
        <v>47037012801</v>
      </c>
      <c r="W189" s="2" t="s">
        <v>68</v>
      </c>
      <c r="X189" s="1">
        <v>45658</v>
      </c>
      <c r="Y189" s="2">
        <v>7000</v>
      </c>
      <c r="Z189" s="2">
        <v>0</v>
      </c>
      <c r="AA189" s="2">
        <v>7000</v>
      </c>
    </row>
    <row r="190" spans="1:27" x14ac:dyDescent="0.3">
      <c r="A190" s="4" t="s">
        <v>386</v>
      </c>
      <c r="B190" s="2" t="str">
        <f>"05914003800"</f>
        <v>05914003800</v>
      </c>
      <c r="C190" s="2" t="s">
        <v>742</v>
      </c>
      <c r="D190" t="s">
        <v>29</v>
      </c>
      <c r="E190" s="2" t="s">
        <v>30</v>
      </c>
      <c r="F190" s="2">
        <v>37218</v>
      </c>
      <c r="G190" s="2" t="s">
        <v>64</v>
      </c>
      <c r="H190" t="s">
        <v>280</v>
      </c>
      <c r="I190" s="6">
        <v>40527</v>
      </c>
      <c r="J190" s="2" t="s">
        <v>743</v>
      </c>
      <c r="K190" s="2">
        <v>0</v>
      </c>
      <c r="L190" t="s">
        <v>35</v>
      </c>
      <c r="M190" t="s">
        <v>29</v>
      </c>
      <c r="N190" t="s">
        <v>30</v>
      </c>
      <c r="O190">
        <v>37219</v>
      </c>
      <c r="P190" t="s">
        <v>744</v>
      </c>
      <c r="Q190" s="2">
        <v>0.37</v>
      </c>
      <c r="R190" s="2">
        <v>75</v>
      </c>
      <c r="S190" s="2">
        <v>224</v>
      </c>
      <c r="T190" t="s">
        <v>745</v>
      </c>
      <c r="U190" s="6">
        <v>26805</v>
      </c>
      <c r="V190" s="2">
        <v>47037012801</v>
      </c>
      <c r="W190" s="2" t="s">
        <v>68</v>
      </c>
      <c r="X190" s="1">
        <v>45658</v>
      </c>
      <c r="Y190" s="2">
        <v>7000</v>
      </c>
      <c r="Z190" s="2">
        <v>0</v>
      </c>
      <c r="AA190" s="2">
        <v>7000</v>
      </c>
    </row>
    <row r="191" spans="1:27" x14ac:dyDescent="0.3">
      <c r="A191" s="4" t="s">
        <v>386</v>
      </c>
      <c r="B191" s="2" t="str">
        <f>"05914002500"</f>
        <v>05914002500</v>
      </c>
      <c r="C191" s="2" t="s">
        <v>746</v>
      </c>
      <c r="D191" t="s">
        <v>29</v>
      </c>
      <c r="E191" s="2" t="s">
        <v>30</v>
      </c>
      <c r="F191" s="2">
        <v>37218</v>
      </c>
      <c r="G191" s="2" t="s">
        <v>64</v>
      </c>
      <c r="H191" t="s">
        <v>280</v>
      </c>
      <c r="I191" s="6">
        <v>40682</v>
      </c>
      <c r="J191" s="2" t="s">
        <v>747</v>
      </c>
      <c r="K191" s="2">
        <v>0</v>
      </c>
      <c r="L191" t="s">
        <v>35</v>
      </c>
      <c r="M191" t="s">
        <v>29</v>
      </c>
      <c r="N191" t="s">
        <v>30</v>
      </c>
      <c r="O191">
        <v>37219</v>
      </c>
      <c r="P191" t="s">
        <v>748</v>
      </c>
      <c r="Q191" s="2">
        <v>0.33</v>
      </c>
      <c r="R191" s="2">
        <v>80</v>
      </c>
      <c r="S191" s="2">
        <v>199</v>
      </c>
      <c r="T191" t="s">
        <v>749</v>
      </c>
      <c r="U191" s="6">
        <v>25108</v>
      </c>
      <c r="V191" s="2">
        <v>47037012801</v>
      </c>
      <c r="W191" s="2" t="s">
        <v>68</v>
      </c>
      <c r="X191" s="1">
        <v>45658</v>
      </c>
      <c r="Y191" s="2">
        <v>7000</v>
      </c>
      <c r="Z191" s="2">
        <v>0</v>
      </c>
      <c r="AA191" s="2">
        <v>7000</v>
      </c>
    </row>
    <row r="192" spans="1:27" x14ac:dyDescent="0.3">
      <c r="A192" s="4" t="s">
        <v>386</v>
      </c>
      <c r="B192" s="2" t="str">
        <f>"05914002600"</f>
        <v>05914002600</v>
      </c>
      <c r="C192" s="2" t="s">
        <v>750</v>
      </c>
      <c r="D192" t="s">
        <v>29</v>
      </c>
      <c r="E192" s="2" t="s">
        <v>30</v>
      </c>
      <c r="F192" s="2">
        <v>37218</v>
      </c>
      <c r="G192" s="2" t="s">
        <v>64</v>
      </c>
      <c r="H192" t="s">
        <v>280</v>
      </c>
      <c r="I192" s="6">
        <v>40696</v>
      </c>
      <c r="J192" s="2" t="s">
        <v>751</v>
      </c>
      <c r="K192" s="2">
        <v>0</v>
      </c>
      <c r="L192" t="s">
        <v>35</v>
      </c>
      <c r="M192" t="s">
        <v>29</v>
      </c>
      <c r="N192" t="s">
        <v>30</v>
      </c>
      <c r="O192">
        <v>37219</v>
      </c>
      <c r="P192" t="s">
        <v>752</v>
      </c>
      <c r="Q192" s="2">
        <v>0.36</v>
      </c>
      <c r="R192" s="2">
        <v>75</v>
      </c>
      <c r="S192" s="2">
        <v>228</v>
      </c>
      <c r="T192" t="s">
        <v>753</v>
      </c>
      <c r="U192" s="6">
        <v>23544</v>
      </c>
      <c r="V192" s="2">
        <v>47037012801</v>
      </c>
      <c r="W192" s="2" t="s">
        <v>68</v>
      </c>
      <c r="X192" s="1">
        <v>45658</v>
      </c>
      <c r="Y192" s="2">
        <v>7000</v>
      </c>
      <c r="Z192" s="2">
        <v>0</v>
      </c>
      <c r="AA192" s="2">
        <v>7000</v>
      </c>
    </row>
    <row r="193" spans="1:27" x14ac:dyDescent="0.3">
      <c r="A193" s="4" t="s">
        <v>386</v>
      </c>
      <c r="B193" s="2" t="str">
        <f>"05914002700"</f>
        <v>05914002700</v>
      </c>
      <c r="C193" s="2" t="s">
        <v>754</v>
      </c>
      <c r="D193" t="s">
        <v>29</v>
      </c>
      <c r="E193" s="2" t="s">
        <v>30</v>
      </c>
      <c r="F193" s="2">
        <v>37218</v>
      </c>
      <c r="G193" s="2" t="s">
        <v>64</v>
      </c>
      <c r="H193" t="s">
        <v>280</v>
      </c>
      <c r="I193" s="6">
        <v>40812</v>
      </c>
      <c r="J193" s="2" t="s">
        <v>755</v>
      </c>
      <c r="K193" s="2">
        <v>0</v>
      </c>
      <c r="L193" t="s">
        <v>35</v>
      </c>
      <c r="M193" t="s">
        <v>29</v>
      </c>
      <c r="N193" t="s">
        <v>30</v>
      </c>
      <c r="O193">
        <v>37219</v>
      </c>
      <c r="P193" t="s">
        <v>756</v>
      </c>
      <c r="Q193" s="2">
        <v>0.32</v>
      </c>
      <c r="R193" s="2">
        <v>75</v>
      </c>
      <c r="S193" s="2">
        <v>228</v>
      </c>
      <c r="T193" t="s">
        <v>757</v>
      </c>
      <c r="U193" s="6">
        <v>25045</v>
      </c>
      <c r="V193" s="2">
        <v>47037012801</v>
      </c>
      <c r="W193" s="2" t="s">
        <v>68</v>
      </c>
      <c r="X193" s="1">
        <v>45658</v>
      </c>
      <c r="Y193" s="2">
        <v>7000</v>
      </c>
      <c r="Z193" s="2">
        <v>0</v>
      </c>
      <c r="AA193" s="2">
        <v>7000</v>
      </c>
    </row>
    <row r="194" spans="1:27" x14ac:dyDescent="0.3">
      <c r="A194" s="4" t="s">
        <v>386</v>
      </c>
      <c r="B194" s="2" t="str">
        <f>"05914003600"</f>
        <v>05914003600</v>
      </c>
      <c r="C194" s="2" t="s">
        <v>758</v>
      </c>
      <c r="D194" t="s">
        <v>29</v>
      </c>
      <c r="E194" s="2" t="s">
        <v>30</v>
      </c>
      <c r="F194" s="2">
        <v>37218</v>
      </c>
      <c r="G194" s="2" t="s">
        <v>64</v>
      </c>
      <c r="H194" t="s">
        <v>280</v>
      </c>
      <c r="I194" s="6">
        <v>40652</v>
      </c>
      <c r="J194" s="2" t="s">
        <v>759</v>
      </c>
      <c r="K194" s="2">
        <v>0</v>
      </c>
      <c r="L194" t="s">
        <v>35</v>
      </c>
      <c r="M194" t="s">
        <v>29</v>
      </c>
      <c r="N194" t="s">
        <v>30</v>
      </c>
      <c r="O194">
        <v>37219</v>
      </c>
      <c r="P194" t="s">
        <v>760</v>
      </c>
      <c r="Q194" s="2">
        <v>0.39</v>
      </c>
      <c r="R194" s="2">
        <v>75</v>
      </c>
      <c r="S194" s="2">
        <v>231</v>
      </c>
      <c r="T194" t="s">
        <v>761</v>
      </c>
      <c r="U194" s="6">
        <v>25882</v>
      </c>
      <c r="V194" s="2">
        <v>47037012801</v>
      </c>
      <c r="W194" s="2" t="s">
        <v>68</v>
      </c>
      <c r="X194" s="1">
        <v>45658</v>
      </c>
      <c r="Y194" s="2">
        <v>7000</v>
      </c>
      <c r="Z194" s="2">
        <v>0</v>
      </c>
      <c r="AA194" s="2">
        <v>7000</v>
      </c>
    </row>
    <row r="195" spans="1:27" x14ac:dyDescent="0.3">
      <c r="A195" s="4" t="s">
        <v>386</v>
      </c>
      <c r="B195" s="2" t="str">
        <f>"05914002800"</f>
        <v>05914002800</v>
      </c>
      <c r="C195" s="2" t="s">
        <v>762</v>
      </c>
      <c r="D195" t="s">
        <v>29</v>
      </c>
      <c r="E195" s="2" t="s">
        <v>30</v>
      </c>
      <c r="F195" s="2">
        <v>37218</v>
      </c>
      <c r="G195" s="2" t="s">
        <v>64</v>
      </c>
      <c r="H195" t="s">
        <v>280</v>
      </c>
      <c r="I195" s="6">
        <v>40744</v>
      </c>
      <c r="J195" s="2" t="s">
        <v>763</v>
      </c>
      <c r="K195" s="2">
        <v>0</v>
      </c>
      <c r="L195" t="s">
        <v>35</v>
      </c>
      <c r="M195" t="s">
        <v>29</v>
      </c>
      <c r="N195" t="s">
        <v>30</v>
      </c>
      <c r="O195">
        <v>37219</v>
      </c>
      <c r="P195" t="s">
        <v>764</v>
      </c>
      <c r="Q195" s="2">
        <v>0.3</v>
      </c>
      <c r="R195" s="2">
        <v>75</v>
      </c>
      <c r="S195" s="2">
        <v>206</v>
      </c>
      <c r="T195" t="s">
        <v>765</v>
      </c>
      <c r="U195" s="6">
        <v>27045</v>
      </c>
      <c r="V195" s="2">
        <v>47037012801</v>
      </c>
      <c r="W195" s="2" t="s">
        <v>68</v>
      </c>
      <c r="X195" s="1">
        <v>45658</v>
      </c>
      <c r="Y195" s="2">
        <v>7000</v>
      </c>
      <c r="Z195" s="2">
        <v>0</v>
      </c>
      <c r="AA195" s="2">
        <v>7000</v>
      </c>
    </row>
    <row r="196" spans="1:27" x14ac:dyDescent="0.3">
      <c r="A196" s="4" t="s">
        <v>386</v>
      </c>
      <c r="B196" s="2" t="str">
        <f>"05914003500"</f>
        <v>05914003500</v>
      </c>
      <c r="C196" s="2" t="s">
        <v>766</v>
      </c>
      <c r="D196" t="s">
        <v>29</v>
      </c>
      <c r="E196" s="2" t="s">
        <v>30</v>
      </c>
      <c r="F196" s="2">
        <v>37218</v>
      </c>
      <c r="G196" s="2" t="s">
        <v>64</v>
      </c>
      <c r="H196" t="s">
        <v>280</v>
      </c>
      <c r="I196" s="6">
        <v>40603</v>
      </c>
      <c r="J196" s="2" t="s">
        <v>767</v>
      </c>
      <c r="K196" s="2">
        <v>0</v>
      </c>
      <c r="L196" t="s">
        <v>35</v>
      </c>
      <c r="M196" t="s">
        <v>29</v>
      </c>
      <c r="N196" t="s">
        <v>30</v>
      </c>
      <c r="O196">
        <v>37219</v>
      </c>
      <c r="P196" t="s">
        <v>768</v>
      </c>
      <c r="Q196" s="2">
        <v>0.43</v>
      </c>
      <c r="R196" s="2">
        <v>75</v>
      </c>
      <c r="S196" s="2">
        <v>244</v>
      </c>
      <c r="T196" t="s">
        <v>769</v>
      </c>
      <c r="U196" s="6">
        <v>25076</v>
      </c>
      <c r="V196" s="2">
        <v>47037012801</v>
      </c>
      <c r="W196" s="2" t="s">
        <v>68</v>
      </c>
      <c r="X196" s="1">
        <v>45658</v>
      </c>
      <c r="Y196" s="2">
        <v>7000</v>
      </c>
      <c r="Z196" s="2">
        <v>0</v>
      </c>
      <c r="AA196" s="2">
        <v>7000</v>
      </c>
    </row>
    <row r="197" spans="1:27" x14ac:dyDescent="0.3">
      <c r="A197" s="4" t="s">
        <v>386</v>
      </c>
      <c r="B197" s="2" t="str">
        <f>"05914003400"</f>
        <v>05914003400</v>
      </c>
      <c r="C197" s="2" t="s">
        <v>770</v>
      </c>
      <c r="D197" t="s">
        <v>29</v>
      </c>
      <c r="E197" s="2" t="s">
        <v>30</v>
      </c>
      <c r="F197" s="2">
        <v>37218</v>
      </c>
      <c r="G197" s="2" t="s">
        <v>64</v>
      </c>
      <c r="H197" t="s">
        <v>280</v>
      </c>
      <c r="I197" s="6">
        <v>40557</v>
      </c>
      <c r="J197" s="2" t="s">
        <v>771</v>
      </c>
      <c r="K197" s="2" t="s">
        <v>34</v>
      </c>
      <c r="L197" t="s">
        <v>35</v>
      </c>
      <c r="M197" t="s">
        <v>29</v>
      </c>
      <c r="N197" t="s">
        <v>30</v>
      </c>
      <c r="O197">
        <v>37219</v>
      </c>
      <c r="P197" t="s">
        <v>772</v>
      </c>
      <c r="Q197" s="2">
        <v>0.43</v>
      </c>
      <c r="R197" s="2">
        <v>75</v>
      </c>
      <c r="S197" s="2">
        <v>249</v>
      </c>
      <c r="T197" t="s">
        <v>773</v>
      </c>
      <c r="U197" s="6">
        <v>24743</v>
      </c>
      <c r="V197" s="2">
        <v>47037012801</v>
      </c>
      <c r="W197" s="2" t="s">
        <v>68</v>
      </c>
      <c r="X197" s="1">
        <v>45658</v>
      </c>
      <c r="Y197" s="2">
        <v>7000</v>
      </c>
      <c r="Z197" s="2">
        <v>0</v>
      </c>
      <c r="AA197" s="2">
        <v>7000</v>
      </c>
    </row>
    <row r="198" spans="1:27" x14ac:dyDescent="0.3">
      <c r="A198" s="4" t="s">
        <v>386</v>
      </c>
      <c r="B198" s="2" t="str">
        <f>"05913012801"</f>
        <v>05913012801</v>
      </c>
      <c r="C198" s="2" t="s">
        <v>774</v>
      </c>
      <c r="D198" t="s">
        <v>29</v>
      </c>
      <c r="E198" s="2" t="s">
        <v>30</v>
      </c>
      <c r="F198" s="2">
        <v>37218</v>
      </c>
      <c r="G198" s="2" t="s">
        <v>64</v>
      </c>
      <c r="H198" t="s">
        <v>280</v>
      </c>
      <c r="I198" s="6">
        <v>40682</v>
      </c>
      <c r="J198" s="2" t="s">
        <v>775</v>
      </c>
      <c r="K198" s="2">
        <v>0</v>
      </c>
      <c r="L198" t="s">
        <v>35</v>
      </c>
      <c r="M198" t="s">
        <v>29</v>
      </c>
      <c r="N198" t="s">
        <v>30</v>
      </c>
      <c r="O198">
        <v>37219</v>
      </c>
      <c r="P198" t="s">
        <v>776</v>
      </c>
      <c r="Q198" s="2">
        <v>0.27</v>
      </c>
      <c r="R198" s="2">
        <v>90</v>
      </c>
      <c r="S198" s="2">
        <v>167</v>
      </c>
      <c r="T198" t="s">
        <v>777</v>
      </c>
      <c r="U198" s="6">
        <v>25462</v>
      </c>
      <c r="V198" s="2">
        <v>47037012801</v>
      </c>
      <c r="W198" s="2" t="s">
        <v>68</v>
      </c>
      <c r="X198" s="1">
        <v>45658</v>
      </c>
      <c r="Y198" s="2">
        <v>7000</v>
      </c>
      <c r="Z198" s="2">
        <v>0</v>
      </c>
      <c r="AA198" s="2">
        <v>7000</v>
      </c>
    </row>
    <row r="199" spans="1:27" x14ac:dyDescent="0.3">
      <c r="A199" s="4" t="s">
        <v>386</v>
      </c>
      <c r="B199" s="2" t="str">
        <f>"05914003300"</f>
        <v>05914003300</v>
      </c>
      <c r="C199" s="2" t="s">
        <v>778</v>
      </c>
      <c r="D199" t="s">
        <v>29</v>
      </c>
      <c r="E199" s="2" t="s">
        <v>30</v>
      </c>
      <c r="F199" s="2">
        <v>37218</v>
      </c>
      <c r="G199" s="2" t="s">
        <v>64</v>
      </c>
      <c r="H199" t="s">
        <v>280</v>
      </c>
      <c r="I199" s="6">
        <v>40627</v>
      </c>
      <c r="J199" s="2" t="s">
        <v>779</v>
      </c>
      <c r="K199" s="2">
        <v>0</v>
      </c>
      <c r="L199" t="s">
        <v>35</v>
      </c>
      <c r="M199" t="s">
        <v>29</v>
      </c>
      <c r="N199" t="s">
        <v>30</v>
      </c>
      <c r="O199">
        <v>37219</v>
      </c>
      <c r="P199" t="s">
        <v>780</v>
      </c>
      <c r="Q199" s="2">
        <v>0.45</v>
      </c>
      <c r="R199" s="2">
        <v>75</v>
      </c>
      <c r="S199" s="2">
        <v>264</v>
      </c>
      <c r="T199" t="s">
        <v>781</v>
      </c>
      <c r="U199" s="6">
        <v>22383</v>
      </c>
      <c r="V199" s="2">
        <v>47037012801</v>
      </c>
      <c r="W199" s="2" t="s">
        <v>68</v>
      </c>
      <c r="X199" s="1">
        <v>45658</v>
      </c>
      <c r="Y199" s="2">
        <v>7000</v>
      </c>
      <c r="Z199" s="2">
        <v>0</v>
      </c>
      <c r="AA199" s="2">
        <v>7000</v>
      </c>
    </row>
    <row r="200" spans="1:27" x14ac:dyDescent="0.3">
      <c r="A200" s="4" t="s">
        <v>386</v>
      </c>
      <c r="B200" s="2" t="str">
        <f>"05913012800"</f>
        <v>05913012800</v>
      </c>
      <c r="C200" s="2" t="s">
        <v>782</v>
      </c>
      <c r="D200" t="s">
        <v>29</v>
      </c>
      <c r="E200" s="2" t="s">
        <v>30</v>
      </c>
      <c r="F200" s="2">
        <v>37218</v>
      </c>
      <c r="G200" s="2" t="s">
        <v>64</v>
      </c>
      <c r="H200" t="s">
        <v>280</v>
      </c>
      <c r="I200" s="6">
        <v>41047</v>
      </c>
      <c r="J200" s="2" t="s">
        <v>783</v>
      </c>
      <c r="K200" s="2">
        <v>0</v>
      </c>
      <c r="L200" t="s">
        <v>35</v>
      </c>
      <c r="M200" t="s">
        <v>29</v>
      </c>
      <c r="N200" t="s">
        <v>30</v>
      </c>
      <c r="O200">
        <v>37219</v>
      </c>
      <c r="P200" t="s">
        <v>784</v>
      </c>
      <c r="Q200" s="2">
        <v>0.59</v>
      </c>
      <c r="R200" s="2">
        <v>181</v>
      </c>
      <c r="S200" s="2">
        <v>141</v>
      </c>
      <c r="T200" t="s">
        <v>785</v>
      </c>
      <c r="U200" s="6">
        <v>26410</v>
      </c>
      <c r="V200" s="2">
        <v>47037012801</v>
      </c>
      <c r="W200" s="2" t="s">
        <v>68</v>
      </c>
      <c r="X200" s="1">
        <v>45658</v>
      </c>
      <c r="Y200" s="2">
        <v>7000</v>
      </c>
      <c r="Z200" s="2">
        <v>0</v>
      </c>
      <c r="AA200" s="2">
        <v>7000</v>
      </c>
    </row>
    <row r="201" spans="1:27" x14ac:dyDescent="0.3">
      <c r="A201" s="4" t="s">
        <v>386</v>
      </c>
      <c r="B201" s="2" t="str">
        <f>"05913011300"</f>
        <v>05913011300</v>
      </c>
      <c r="C201" s="2" t="s">
        <v>786</v>
      </c>
      <c r="D201" t="s">
        <v>29</v>
      </c>
      <c r="E201" s="2" t="s">
        <v>30</v>
      </c>
      <c r="F201" s="2">
        <v>37218</v>
      </c>
      <c r="G201" s="2" t="s">
        <v>64</v>
      </c>
      <c r="H201" t="s">
        <v>280</v>
      </c>
      <c r="I201" s="6">
        <v>40701</v>
      </c>
      <c r="J201" s="2" t="s">
        <v>787</v>
      </c>
      <c r="K201" s="2">
        <v>0</v>
      </c>
      <c r="L201" t="s">
        <v>35</v>
      </c>
      <c r="M201" t="s">
        <v>29</v>
      </c>
      <c r="N201" t="s">
        <v>30</v>
      </c>
      <c r="O201">
        <v>37219</v>
      </c>
      <c r="P201" t="s">
        <v>788</v>
      </c>
      <c r="Q201" s="2">
        <v>0.75</v>
      </c>
      <c r="R201" s="2">
        <v>118</v>
      </c>
      <c r="S201" s="2">
        <v>204</v>
      </c>
      <c r="T201" t="s">
        <v>789</v>
      </c>
      <c r="U201" s="6">
        <v>24986</v>
      </c>
      <c r="V201" s="2">
        <v>47037012801</v>
      </c>
      <c r="W201" s="2" t="s">
        <v>68</v>
      </c>
      <c r="X201" s="1">
        <v>45658</v>
      </c>
      <c r="Y201" s="2">
        <v>7000</v>
      </c>
      <c r="Z201" s="2">
        <v>0</v>
      </c>
      <c r="AA201" s="2">
        <v>7000</v>
      </c>
    </row>
    <row r="202" spans="1:27" x14ac:dyDescent="0.3">
      <c r="A202" s="4" t="s">
        <v>386</v>
      </c>
      <c r="B202" s="2" t="str">
        <f>"05913013400"</f>
        <v>05913013400</v>
      </c>
      <c r="C202" s="2" t="s">
        <v>790</v>
      </c>
      <c r="D202" t="s">
        <v>29</v>
      </c>
      <c r="E202" s="2" t="s">
        <v>30</v>
      </c>
      <c r="F202" s="2">
        <v>37218</v>
      </c>
      <c r="G202" s="2" t="s">
        <v>64</v>
      </c>
      <c r="H202" t="s">
        <v>280</v>
      </c>
      <c r="I202" s="6">
        <v>40592</v>
      </c>
      <c r="J202" s="2" t="s">
        <v>791</v>
      </c>
      <c r="K202" s="2">
        <v>0</v>
      </c>
      <c r="L202" t="s">
        <v>35</v>
      </c>
      <c r="M202" t="s">
        <v>29</v>
      </c>
      <c r="N202" t="s">
        <v>30</v>
      </c>
      <c r="O202">
        <v>37219</v>
      </c>
      <c r="P202" t="s">
        <v>792</v>
      </c>
      <c r="Q202" s="2">
        <v>0.89</v>
      </c>
      <c r="R202" s="2">
        <v>110</v>
      </c>
      <c r="S202" s="2">
        <v>319</v>
      </c>
      <c r="T202" t="s">
        <v>793</v>
      </c>
      <c r="U202" s="6">
        <v>24883</v>
      </c>
      <c r="V202" s="2">
        <v>47037012801</v>
      </c>
      <c r="W202" s="2" t="s">
        <v>68</v>
      </c>
      <c r="X202" s="1">
        <v>45658</v>
      </c>
      <c r="Y202" s="2">
        <v>7000</v>
      </c>
      <c r="Z202" s="2">
        <v>0</v>
      </c>
      <c r="AA202" s="2">
        <v>7000</v>
      </c>
    </row>
    <row r="203" spans="1:27" x14ac:dyDescent="0.3">
      <c r="A203" s="4" t="s">
        <v>386</v>
      </c>
      <c r="B203" s="2" t="str">
        <f>"07001006000"</f>
        <v>07001006000</v>
      </c>
      <c r="C203" s="2" t="s">
        <v>794</v>
      </c>
      <c r="D203" t="s">
        <v>29</v>
      </c>
      <c r="E203" s="2" t="s">
        <v>30</v>
      </c>
      <c r="F203" s="2">
        <v>37218</v>
      </c>
      <c r="G203" s="2" t="s">
        <v>64</v>
      </c>
      <c r="H203" t="s">
        <v>280</v>
      </c>
      <c r="I203" s="6">
        <v>40534</v>
      </c>
      <c r="J203" s="2" t="s">
        <v>795</v>
      </c>
      <c r="K203" s="2">
        <v>0</v>
      </c>
      <c r="L203" t="s">
        <v>35</v>
      </c>
      <c r="M203" t="s">
        <v>29</v>
      </c>
      <c r="N203" t="s">
        <v>30</v>
      </c>
      <c r="O203">
        <v>37219</v>
      </c>
      <c r="P203" t="s">
        <v>796</v>
      </c>
      <c r="Q203" s="2">
        <v>1</v>
      </c>
      <c r="R203" s="2">
        <v>80</v>
      </c>
      <c r="S203" s="2">
        <v>318</v>
      </c>
      <c r="T203" t="s">
        <v>797</v>
      </c>
      <c r="U203" s="6">
        <v>26301</v>
      </c>
      <c r="V203" s="2">
        <v>47037012801</v>
      </c>
      <c r="W203" s="2" t="s">
        <v>68</v>
      </c>
      <c r="X203" s="1">
        <v>45658</v>
      </c>
      <c r="Y203" s="2">
        <v>7000</v>
      </c>
      <c r="Z203" s="2">
        <v>0</v>
      </c>
      <c r="AA203" s="2">
        <v>7000</v>
      </c>
    </row>
    <row r="204" spans="1:27" x14ac:dyDescent="0.3">
      <c r="A204" s="4" t="s">
        <v>386</v>
      </c>
      <c r="B204" s="2" t="str">
        <f>"05914002900"</f>
        <v>05914002900</v>
      </c>
      <c r="C204" s="2" t="s">
        <v>798</v>
      </c>
      <c r="D204" t="s">
        <v>29</v>
      </c>
      <c r="E204" s="2" t="s">
        <v>30</v>
      </c>
      <c r="F204" s="2">
        <v>37218</v>
      </c>
      <c r="G204" s="2" t="s">
        <v>64</v>
      </c>
      <c r="H204" t="s">
        <v>280</v>
      </c>
      <c r="I204" s="6">
        <v>40610</v>
      </c>
      <c r="J204" s="2" t="s">
        <v>799</v>
      </c>
      <c r="K204" s="2">
        <v>0</v>
      </c>
      <c r="L204" t="s">
        <v>35</v>
      </c>
      <c r="M204" t="s">
        <v>29</v>
      </c>
      <c r="N204" t="s">
        <v>30</v>
      </c>
      <c r="O204">
        <v>37219</v>
      </c>
      <c r="P204" t="s">
        <v>800</v>
      </c>
      <c r="Q204" s="2">
        <v>0.51</v>
      </c>
      <c r="R204" s="2">
        <v>75</v>
      </c>
      <c r="S204" s="2">
        <v>303</v>
      </c>
      <c r="T204" t="s">
        <v>801</v>
      </c>
      <c r="U204" s="6">
        <v>27225</v>
      </c>
      <c r="V204" s="2">
        <v>47037012801</v>
      </c>
      <c r="W204" s="2" t="s">
        <v>68</v>
      </c>
      <c r="X204" s="1">
        <v>45658</v>
      </c>
      <c r="Y204" s="2">
        <v>7000</v>
      </c>
      <c r="Z204" s="2">
        <v>0</v>
      </c>
      <c r="AA204" s="2">
        <v>7000</v>
      </c>
    </row>
    <row r="205" spans="1:27" x14ac:dyDescent="0.3">
      <c r="A205" s="4" t="s">
        <v>386</v>
      </c>
      <c r="B205" s="2" t="str">
        <f>"05913012900"</f>
        <v>05913012900</v>
      </c>
      <c r="C205" s="2" t="s">
        <v>802</v>
      </c>
      <c r="D205" t="s">
        <v>29</v>
      </c>
      <c r="E205" s="2" t="s">
        <v>30</v>
      </c>
      <c r="F205" s="2">
        <v>37218</v>
      </c>
      <c r="G205" s="2" t="s">
        <v>64</v>
      </c>
      <c r="H205" t="s">
        <v>280</v>
      </c>
      <c r="I205" s="6">
        <v>40620</v>
      </c>
      <c r="J205" s="2" t="s">
        <v>803</v>
      </c>
      <c r="K205" s="2">
        <v>0</v>
      </c>
      <c r="L205" t="s">
        <v>35</v>
      </c>
      <c r="M205" t="s">
        <v>29</v>
      </c>
      <c r="N205" t="s">
        <v>30</v>
      </c>
      <c r="O205">
        <v>37219</v>
      </c>
      <c r="P205" t="s">
        <v>804</v>
      </c>
      <c r="Q205" s="2">
        <v>0.44</v>
      </c>
      <c r="R205" s="2">
        <v>75</v>
      </c>
      <c r="S205" s="2">
        <v>317</v>
      </c>
      <c r="T205" t="s">
        <v>805</v>
      </c>
      <c r="U205" s="6">
        <v>25074</v>
      </c>
      <c r="V205" s="2">
        <v>47037012801</v>
      </c>
      <c r="W205" s="2" t="s">
        <v>68</v>
      </c>
      <c r="X205" s="1">
        <v>45658</v>
      </c>
      <c r="Y205" s="2">
        <v>7000</v>
      </c>
      <c r="Z205" s="2">
        <v>0</v>
      </c>
      <c r="AA205" s="2">
        <v>7000</v>
      </c>
    </row>
    <row r="206" spans="1:27" x14ac:dyDescent="0.3">
      <c r="A206" s="4" t="s">
        <v>386</v>
      </c>
      <c r="B206" s="2" t="str">
        <f>"05913013000"</f>
        <v>05913013000</v>
      </c>
      <c r="C206" s="2" t="s">
        <v>806</v>
      </c>
      <c r="D206" t="s">
        <v>29</v>
      </c>
      <c r="E206" s="2" t="s">
        <v>30</v>
      </c>
      <c r="F206" s="2">
        <v>37218</v>
      </c>
      <c r="G206" s="2" t="s">
        <v>64</v>
      </c>
      <c r="H206" t="s">
        <v>280</v>
      </c>
      <c r="I206" s="6">
        <v>40591</v>
      </c>
      <c r="J206" s="2" t="s">
        <v>807</v>
      </c>
      <c r="K206" s="2">
        <v>0</v>
      </c>
      <c r="L206" t="s">
        <v>35</v>
      </c>
      <c r="M206" t="s">
        <v>29</v>
      </c>
      <c r="N206" t="s">
        <v>30</v>
      </c>
      <c r="O206">
        <v>37219</v>
      </c>
      <c r="P206" t="s">
        <v>808</v>
      </c>
      <c r="Q206" s="2">
        <v>0.56999999999999995</v>
      </c>
      <c r="R206" s="2">
        <v>75</v>
      </c>
      <c r="S206" s="2">
        <v>321</v>
      </c>
      <c r="T206" t="s">
        <v>809</v>
      </c>
      <c r="U206" s="6">
        <v>27347</v>
      </c>
      <c r="V206" s="2">
        <v>47037012801</v>
      </c>
      <c r="W206" s="2" t="s">
        <v>68</v>
      </c>
      <c r="X206" s="1">
        <v>45658</v>
      </c>
      <c r="Y206" s="2">
        <v>7000</v>
      </c>
      <c r="Z206" s="2">
        <v>0</v>
      </c>
      <c r="AA206" s="2">
        <v>7000</v>
      </c>
    </row>
    <row r="207" spans="1:27" x14ac:dyDescent="0.3">
      <c r="A207" s="4" t="s">
        <v>386</v>
      </c>
      <c r="B207" s="2" t="str">
        <f>"05913013100"</f>
        <v>05913013100</v>
      </c>
      <c r="C207" s="2" t="s">
        <v>810</v>
      </c>
      <c r="D207" t="s">
        <v>29</v>
      </c>
      <c r="E207" s="2" t="s">
        <v>30</v>
      </c>
      <c r="F207" s="2">
        <v>37218</v>
      </c>
      <c r="G207" s="2" t="s">
        <v>64</v>
      </c>
      <c r="H207" t="s">
        <v>280</v>
      </c>
      <c r="I207" s="6">
        <v>40730</v>
      </c>
      <c r="J207" s="2" t="s">
        <v>811</v>
      </c>
      <c r="K207" s="2">
        <v>0</v>
      </c>
      <c r="L207" t="s">
        <v>35</v>
      </c>
      <c r="M207" t="s">
        <v>29</v>
      </c>
      <c r="N207" t="s">
        <v>30</v>
      </c>
      <c r="O207">
        <v>37219</v>
      </c>
      <c r="P207" t="s">
        <v>812</v>
      </c>
      <c r="Q207" s="2">
        <v>0.5</v>
      </c>
      <c r="R207" s="2">
        <v>75</v>
      </c>
      <c r="S207" s="2">
        <v>321</v>
      </c>
      <c r="T207" t="s">
        <v>813</v>
      </c>
      <c r="U207" s="6">
        <v>25610</v>
      </c>
      <c r="V207" s="2">
        <v>47037012801</v>
      </c>
      <c r="W207" s="2" t="s">
        <v>68</v>
      </c>
      <c r="X207" s="1">
        <v>45658</v>
      </c>
      <c r="Y207" s="2">
        <v>7000</v>
      </c>
      <c r="Z207" s="2">
        <v>0</v>
      </c>
      <c r="AA207" s="2">
        <v>7000</v>
      </c>
    </row>
    <row r="208" spans="1:27" x14ac:dyDescent="0.3">
      <c r="A208" s="4" t="s">
        <v>386</v>
      </c>
      <c r="B208" s="2" t="str">
        <f>"05914003000"</f>
        <v>05914003000</v>
      </c>
      <c r="C208" s="2" t="s">
        <v>814</v>
      </c>
      <c r="D208" t="s">
        <v>29</v>
      </c>
      <c r="E208" s="2" t="s">
        <v>30</v>
      </c>
      <c r="F208" s="2">
        <v>37218</v>
      </c>
      <c r="G208" s="2" t="s">
        <v>64</v>
      </c>
      <c r="H208" t="s">
        <v>280</v>
      </c>
      <c r="I208" s="6">
        <v>40632</v>
      </c>
      <c r="J208" s="2" t="s">
        <v>815</v>
      </c>
      <c r="K208" s="2">
        <v>0</v>
      </c>
      <c r="L208" t="s">
        <v>35</v>
      </c>
      <c r="M208" t="s">
        <v>29</v>
      </c>
      <c r="N208" t="s">
        <v>30</v>
      </c>
      <c r="O208">
        <v>37219</v>
      </c>
      <c r="P208" t="s">
        <v>816</v>
      </c>
      <c r="Q208" s="2">
        <v>0.48</v>
      </c>
      <c r="R208" s="2">
        <v>75</v>
      </c>
      <c r="S208" s="2">
        <v>292</v>
      </c>
      <c r="T208" t="s">
        <v>817</v>
      </c>
      <c r="U208" s="6">
        <v>25043</v>
      </c>
      <c r="V208" s="2">
        <v>47037012801</v>
      </c>
      <c r="W208" s="2" t="s">
        <v>68</v>
      </c>
      <c r="X208" s="1">
        <v>45658</v>
      </c>
      <c r="Y208" s="2">
        <v>7000</v>
      </c>
      <c r="Z208" s="2">
        <v>0</v>
      </c>
      <c r="AA208" s="2">
        <v>7000</v>
      </c>
    </row>
    <row r="209" spans="1:27" x14ac:dyDescent="0.3">
      <c r="A209" s="4" t="s">
        <v>386</v>
      </c>
      <c r="B209" s="2" t="str">
        <f>"05913013200"</f>
        <v>05913013200</v>
      </c>
      <c r="C209" s="2" t="s">
        <v>818</v>
      </c>
      <c r="D209" t="s">
        <v>29</v>
      </c>
      <c r="E209" s="2" t="s">
        <v>30</v>
      </c>
      <c r="F209" s="2">
        <v>37218</v>
      </c>
      <c r="G209" s="2" t="s">
        <v>64</v>
      </c>
      <c r="H209" t="s">
        <v>280</v>
      </c>
      <c r="I209" s="6">
        <v>40591</v>
      </c>
      <c r="J209" s="2" t="s">
        <v>819</v>
      </c>
      <c r="K209" s="2">
        <v>0</v>
      </c>
      <c r="L209" t="s">
        <v>35</v>
      </c>
      <c r="M209" t="s">
        <v>29</v>
      </c>
      <c r="N209" t="s">
        <v>30</v>
      </c>
      <c r="O209">
        <v>37219</v>
      </c>
      <c r="P209" t="s">
        <v>820</v>
      </c>
      <c r="Q209" s="2">
        <v>0.56999999999999995</v>
      </c>
      <c r="R209" s="2">
        <v>80</v>
      </c>
      <c r="S209" s="2">
        <v>320</v>
      </c>
      <c r="T209" t="s">
        <v>821</v>
      </c>
      <c r="U209" s="6">
        <v>26123</v>
      </c>
      <c r="V209" s="2">
        <v>47037012801</v>
      </c>
      <c r="W209" s="2" t="s">
        <v>68</v>
      </c>
      <c r="X209" s="1">
        <v>45658</v>
      </c>
      <c r="Y209" s="2">
        <v>7000</v>
      </c>
      <c r="Z209" s="2">
        <v>0</v>
      </c>
      <c r="AA209" s="2">
        <v>7000</v>
      </c>
    </row>
    <row r="210" spans="1:27" x14ac:dyDescent="0.3">
      <c r="A210" s="4" t="s">
        <v>386</v>
      </c>
      <c r="B210" s="2" t="str">
        <f>"08102007700"</f>
        <v>08102007700</v>
      </c>
      <c r="C210" s="2" t="s">
        <v>822</v>
      </c>
      <c r="D210" t="s">
        <v>29</v>
      </c>
      <c r="E210" s="2" t="s">
        <v>30</v>
      </c>
      <c r="F210" s="2">
        <v>37208</v>
      </c>
      <c r="G210" s="2" t="s">
        <v>64</v>
      </c>
      <c r="H210" t="s">
        <v>280</v>
      </c>
      <c r="I210" s="6">
        <v>38987</v>
      </c>
      <c r="J210" s="2" t="s">
        <v>823</v>
      </c>
      <c r="K210" s="2">
        <v>100000</v>
      </c>
      <c r="L210" t="s">
        <v>35</v>
      </c>
      <c r="M210" t="s">
        <v>29</v>
      </c>
      <c r="N210" t="s">
        <v>30</v>
      </c>
      <c r="O210">
        <v>37219</v>
      </c>
      <c r="P210" t="s">
        <v>824</v>
      </c>
      <c r="Q210" s="2">
        <v>0.28000000000000003</v>
      </c>
      <c r="R210" s="2">
        <v>100</v>
      </c>
      <c r="S210" s="2">
        <v>118</v>
      </c>
      <c r="T210" t="s">
        <v>825</v>
      </c>
      <c r="U210" s="6">
        <v>19393</v>
      </c>
      <c r="V210" s="2">
        <v>47037013700</v>
      </c>
      <c r="W210" s="2" t="s">
        <v>68</v>
      </c>
      <c r="X210" s="1">
        <v>45658</v>
      </c>
      <c r="Y210" s="2">
        <v>190000</v>
      </c>
      <c r="Z210" s="2">
        <v>0</v>
      </c>
      <c r="AA210" s="2">
        <v>190000</v>
      </c>
    </row>
    <row r="211" spans="1:27" x14ac:dyDescent="0.3">
      <c r="A211" s="4" t="s">
        <v>386</v>
      </c>
      <c r="B211" s="2" t="str">
        <f>"08102007800"</f>
        <v>08102007800</v>
      </c>
      <c r="C211" s="2" t="s">
        <v>826</v>
      </c>
      <c r="D211" t="s">
        <v>29</v>
      </c>
      <c r="E211" s="2" t="s">
        <v>30</v>
      </c>
      <c r="F211" s="2">
        <v>37208</v>
      </c>
      <c r="G211" s="2" t="s">
        <v>64</v>
      </c>
      <c r="H211" t="s">
        <v>280</v>
      </c>
      <c r="I211" s="6">
        <v>38987</v>
      </c>
      <c r="J211" s="2" t="s">
        <v>823</v>
      </c>
      <c r="K211" s="2">
        <v>100000</v>
      </c>
      <c r="L211" t="s">
        <v>35</v>
      </c>
      <c r="M211" t="s">
        <v>29</v>
      </c>
      <c r="N211" t="s">
        <v>30</v>
      </c>
      <c r="O211">
        <v>37219</v>
      </c>
      <c r="P211" t="s">
        <v>827</v>
      </c>
      <c r="Q211" s="2">
        <v>0.28000000000000003</v>
      </c>
      <c r="R211" s="2">
        <v>100</v>
      </c>
      <c r="S211" s="2">
        <v>124</v>
      </c>
      <c r="T211" t="s">
        <v>825</v>
      </c>
      <c r="U211" s="6">
        <v>19393</v>
      </c>
      <c r="V211" s="2">
        <v>47037013700</v>
      </c>
      <c r="W211" s="2" t="s">
        <v>68</v>
      </c>
      <c r="X211" s="1">
        <v>45658</v>
      </c>
      <c r="Y211" s="2">
        <v>190000</v>
      </c>
      <c r="Z211" s="2">
        <v>0</v>
      </c>
      <c r="AA211" s="2">
        <v>190000</v>
      </c>
    </row>
    <row r="212" spans="1:27" x14ac:dyDescent="0.3">
      <c r="A212" s="4" t="s">
        <v>386</v>
      </c>
      <c r="B212" s="2" t="str">
        <f>"06000008500"</f>
        <v>06000008500</v>
      </c>
      <c r="C212" s="2" t="s">
        <v>828</v>
      </c>
      <c r="D212" t="s">
        <v>29</v>
      </c>
      <c r="E212" s="2" t="s">
        <v>30</v>
      </c>
      <c r="F212" s="2">
        <v>37207</v>
      </c>
      <c r="G212" s="2" t="s">
        <v>152</v>
      </c>
      <c r="H212" t="s">
        <v>280</v>
      </c>
      <c r="I212" s="6">
        <v>32311</v>
      </c>
      <c r="J212" s="2" t="s">
        <v>829</v>
      </c>
      <c r="K212" s="2" t="s">
        <v>34</v>
      </c>
      <c r="L212" t="s">
        <v>35</v>
      </c>
      <c r="M212" t="s">
        <v>29</v>
      </c>
      <c r="N212" t="s">
        <v>30</v>
      </c>
      <c r="O212">
        <v>37219</v>
      </c>
      <c r="P212" t="s">
        <v>830</v>
      </c>
      <c r="Q212" s="2">
        <v>0.23</v>
      </c>
      <c r="R212" s="2">
        <v>0</v>
      </c>
      <c r="S212" s="2">
        <v>100</v>
      </c>
      <c r="T212" t="s">
        <v>829</v>
      </c>
      <c r="U212" s="6">
        <v>32311</v>
      </c>
      <c r="V212" s="2">
        <v>47037012701</v>
      </c>
      <c r="W212" s="2" t="s">
        <v>68</v>
      </c>
      <c r="X212" s="1">
        <v>45658</v>
      </c>
      <c r="Y212" s="2">
        <v>18700</v>
      </c>
      <c r="Z212" s="2">
        <v>0</v>
      </c>
      <c r="AA212" s="2">
        <v>18700</v>
      </c>
    </row>
    <row r="213" spans="1:27" x14ac:dyDescent="0.3">
      <c r="A213" s="4" t="s">
        <v>386</v>
      </c>
      <c r="B213" s="2" t="str">
        <f>"07010000700"</f>
        <v>07010000700</v>
      </c>
      <c r="C213" s="2" t="s">
        <v>831</v>
      </c>
      <c r="D213" t="s">
        <v>29</v>
      </c>
      <c r="E213" s="2" t="s">
        <v>30</v>
      </c>
      <c r="F213" s="2">
        <v>37218</v>
      </c>
      <c r="G213" s="2" t="s">
        <v>64</v>
      </c>
      <c r="H213" t="s">
        <v>280</v>
      </c>
      <c r="I213" s="6">
        <v>25320</v>
      </c>
      <c r="J213" s="2" t="s">
        <v>832</v>
      </c>
      <c r="K213" s="2" t="s">
        <v>34</v>
      </c>
      <c r="L213" t="s">
        <v>35</v>
      </c>
      <c r="M213" t="s">
        <v>29</v>
      </c>
      <c r="N213" t="s">
        <v>30</v>
      </c>
      <c r="O213">
        <v>37219</v>
      </c>
      <c r="P213" t="s">
        <v>833</v>
      </c>
      <c r="Q213" s="2">
        <v>0.19</v>
      </c>
      <c r="R213" s="2">
        <v>20</v>
      </c>
      <c r="S213" s="2">
        <v>361</v>
      </c>
      <c r="T213" t="s">
        <v>832</v>
      </c>
      <c r="U213" s="6">
        <v>25320</v>
      </c>
      <c r="V213" s="2">
        <v>47037012801</v>
      </c>
      <c r="W213" s="2" t="s">
        <v>68</v>
      </c>
      <c r="X213" s="1">
        <v>45658</v>
      </c>
      <c r="Y213" s="2">
        <v>144000</v>
      </c>
      <c r="Z213" s="2">
        <v>0</v>
      </c>
      <c r="AA213" s="2">
        <v>144000</v>
      </c>
    </row>
    <row r="214" spans="1:27" x14ac:dyDescent="0.3">
      <c r="A214" s="4" t="s">
        <v>386</v>
      </c>
      <c r="B214" s="2" t="str">
        <f>"07008024900"</f>
        <v>07008024900</v>
      </c>
      <c r="C214" s="2" t="s">
        <v>834</v>
      </c>
      <c r="D214" t="s">
        <v>29</v>
      </c>
      <c r="E214" s="2" t="s">
        <v>30</v>
      </c>
      <c r="F214" s="2">
        <v>37207</v>
      </c>
      <c r="G214" s="2" t="s">
        <v>64</v>
      </c>
      <c r="H214" t="s">
        <v>280</v>
      </c>
      <c r="I214" s="6">
        <v>31020</v>
      </c>
      <c r="J214" s="2" t="s">
        <v>835</v>
      </c>
      <c r="K214" s="2">
        <v>4000</v>
      </c>
      <c r="L214" t="s">
        <v>343</v>
      </c>
      <c r="M214" t="s">
        <v>29</v>
      </c>
      <c r="N214" t="s">
        <v>30</v>
      </c>
      <c r="O214">
        <v>37201</v>
      </c>
      <c r="P214" t="s">
        <v>836</v>
      </c>
      <c r="Q214" s="2">
        <v>0.14000000000000001</v>
      </c>
      <c r="R214" s="2">
        <v>60</v>
      </c>
      <c r="S214" s="2">
        <v>100</v>
      </c>
      <c r="T214" t="s">
        <v>835</v>
      </c>
      <c r="U214" s="6">
        <v>31020</v>
      </c>
      <c r="V214" s="2">
        <v>47037012702</v>
      </c>
      <c r="W214" s="2" t="s">
        <v>837</v>
      </c>
      <c r="X214" s="1">
        <v>45658</v>
      </c>
      <c r="Y214" s="2">
        <v>128000</v>
      </c>
      <c r="Z214" s="2">
        <v>0</v>
      </c>
      <c r="AA214" s="2">
        <v>128000</v>
      </c>
    </row>
    <row r="215" spans="1:27" x14ac:dyDescent="0.3">
      <c r="A215" s="4" t="s">
        <v>386</v>
      </c>
      <c r="B215" s="2" t="str">
        <f>"06014001601"</f>
        <v>06014001601</v>
      </c>
      <c r="C215" s="2" t="s">
        <v>838</v>
      </c>
      <c r="D215" t="s">
        <v>29</v>
      </c>
      <c r="E215" s="2" t="s">
        <v>30</v>
      </c>
      <c r="F215" s="2">
        <v>37207</v>
      </c>
      <c r="G215" s="2" t="s">
        <v>64</v>
      </c>
      <c r="H215" t="s">
        <v>280</v>
      </c>
      <c r="I215" s="6">
        <v>41535</v>
      </c>
      <c r="J215" s="2" t="s">
        <v>839</v>
      </c>
      <c r="K215" s="2">
        <v>0</v>
      </c>
      <c r="L215" t="s">
        <v>35</v>
      </c>
      <c r="M215" t="s">
        <v>29</v>
      </c>
      <c r="N215" t="s">
        <v>30</v>
      </c>
      <c r="O215">
        <v>37219</v>
      </c>
      <c r="P215" t="s">
        <v>840</v>
      </c>
      <c r="Q215" s="2">
        <v>0.48</v>
      </c>
      <c r="R215" s="2">
        <v>100</v>
      </c>
      <c r="S215" s="2">
        <v>222</v>
      </c>
      <c r="T215" t="s">
        <v>841</v>
      </c>
      <c r="U215" s="6">
        <v>35675</v>
      </c>
      <c r="V215" s="2">
        <v>47037012701</v>
      </c>
      <c r="W215" s="2" t="s">
        <v>68</v>
      </c>
      <c r="X215" s="1">
        <v>45658</v>
      </c>
      <c r="Y215" s="2">
        <v>184800</v>
      </c>
      <c r="Z215" s="2">
        <v>0</v>
      </c>
      <c r="AA215" s="2">
        <v>184800</v>
      </c>
    </row>
    <row r="216" spans="1:27" x14ac:dyDescent="0.3">
      <c r="A216" s="4" t="s">
        <v>386</v>
      </c>
      <c r="B216" s="2" t="str">
        <f>"07000003900"</f>
        <v>07000003900</v>
      </c>
      <c r="C216" s="2" t="s">
        <v>842</v>
      </c>
      <c r="D216" t="s">
        <v>29</v>
      </c>
      <c r="E216" s="2" t="s">
        <v>30</v>
      </c>
      <c r="F216" s="2">
        <v>37218</v>
      </c>
      <c r="G216" s="2" t="s">
        <v>152</v>
      </c>
      <c r="H216" t="s">
        <v>280</v>
      </c>
      <c r="I216" s="6">
        <v>15465</v>
      </c>
      <c r="J216" s="2" t="s">
        <v>599</v>
      </c>
      <c r="K216" s="2">
        <v>0</v>
      </c>
      <c r="L216" t="s">
        <v>35</v>
      </c>
      <c r="M216" t="s">
        <v>29</v>
      </c>
      <c r="N216" t="s">
        <v>30</v>
      </c>
      <c r="O216">
        <v>37219</v>
      </c>
      <c r="P216" t="s">
        <v>843</v>
      </c>
      <c r="Q216" s="2">
        <v>2.5499999999999998</v>
      </c>
      <c r="R216" s="2">
        <v>0</v>
      </c>
      <c r="S216" s="2">
        <v>0</v>
      </c>
      <c r="T216" t="s">
        <v>601</v>
      </c>
      <c r="U216" s="6">
        <v>29812</v>
      </c>
      <c r="V216" s="2">
        <v>47037012801</v>
      </c>
      <c r="W216" s="2" t="s">
        <v>68</v>
      </c>
      <c r="X216" s="1">
        <v>45658</v>
      </c>
      <c r="Y216" s="2">
        <v>232100</v>
      </c>
      <c r="Z216" s="2">
        <v>0</v>
      </c>
      <c r="AA216" s="2">
        <v>232100</v>
      </c>
    </row>
    <row r="217" spans="1:27" x14ac:dyDescent="0.3">
      <c r="A217" s="4" t="s">
        <v>386</v>
      </c>
      <c r="B217" s="2" t="str">
        <f>"05914014800"</f>
        <v>05914014800</v>
      </c>
      <c r="C217" s="2" t="s">
        <v>844</v>
      </c>
      <c r="D217" t="s">
        <v>29</v>
      </c>
      <c r="E217" s="2" t="s">
        <v>30</v>
      </c>
      <c r="F217" s="2">
        <v>37207</v>
      </c>
      <c r="G217" s="2" t="s">
        <v>64</v>
      </c>
      <c r="H217" t="s">
        <v>379</v>
      </c>
      <c r="I217" s="6">
        <v>44127</v>
      </c>
      <c r="J217" s="2" t="s">
        <v>845</v>
      </c>
      <c r="K217" s="2" t="s">
        <v>34</v>
      </c>
      <c r="L217" t="s">
        <v>315</v>
      </c>
      <c r="M217" t="s">
        <v>29</v>
      </c>
      <c r="N217" t="s">
        <v>30</v>
      </c>
      <c r="O217">
        <v>37208</v>
      </c>
      <c r="P217" t="s">
        <v>846</v>
      </c>
      <c r="Q217" s="2">
        <v>0.3</v>
      </c>
      <c r="R217" s="2">
        <v>78</v>
      </c>
      <c r="S217" s="2">
        <v>133</v>
      </c>
      <c r="T217" t="s">
        <v>847</v>
      </c>
      <c r="U217" s="6">
        <v>24055</v>
      </c>
      <c r="V217" s="2">
        <v>47037012702</v>
      </c>
      <c r="W217" s="2" t="s">
        <v>68</v>
      </c>
      <c r="X217" s="1">
        <v>45658</v>
      </c>
      <c r="Y217" s="2">
        <v>83600</v>
      </c>
      <c r="Z217" s="2">
        <v>0</v>
      </c>
      <c r="AA217" s="2">
        <v>83600</v>
      </c>
    </row>
    <row r="218" spans="1:27" x14ac:dyDescent="0.3">
      <c r="A218" s="4" t="s">
        <v>386</v>
      </c>
      <c r="B218" s="2" t="str">
        <f>"05914003700"</f>
        <v>05914003700</v>
      </c>
      <c r="C218" s="2" t="s">
        <v>848</v>
      </c>
      <c r="D218" t="s">
        <v>29</v>
      </c>
      <c r="E218" s="2" t="s">
        <v>30</v>
      </c>
      <c r="F218" s="2">
        <v>37218</v>
      </c>
      <c r="G218" s="2" t="s">
        <v>64</v>
      </c>
      <c r="H218" t="s">
        <v>379</v>
      </c>
      <c r="I218" s="6">
        <v>45098</v>
      </c>
      <c r="J218" s="2" t="s">
        <v>849</v>
      </c>
      <c r="K218" s="2">
        <v>0</v>
      </c>
      <c r="L218" t="s">
        <v>85</v>
      </c>
      <c r="M218" t="s">
        <v>29</v>
      </c>
      <c r="N218" t="s">
        <v>30</v>
      </c>
      <c r="O218">
        <v>37219</v>
      </c>
      <c r="P218" t="s">
        <v>850</v>
      </c>
      <c r="Q218" s="2">
        <v>0.39</v>
      </c>
      <c r="R218" s="2">
        <v>75</v>
      </c>
      <c r="S218" s="2">
        <v>225</v>
      </c>
      <c r="T218" t="s">
        <v>851</v>
      </c>
      <c r="U218" s="6">
        <v>27338</v>
      </c>
      <c r="V218" s="2">
        <v>47037012801</v>
      </c>
      <c r="W218" s="2" t="s">
        <v>68</v>
      </c>
      <c r="X218" s="1">
        <v>45658</v>
      </c>
      <c r="Y218" s="2">
        <v>83200</v>
      </c>
      <c r="Z218" s="2">
        <v>0</v>
      </c>
      <c r="AA218" s="2">
        <v>83200</v>
      </c>
    </row>
    <row r="219" spans="1:27" x14ac:dyDescent="0.3">
      <c r="A219" s="4" t="s">
        <v>386</v>
      </c>
      <c r="B219" s="2" t="str">
        <f>"05914003200"</f>
        <v>05914003200</v>
      </c>
      <c r="C219" s="2" t="s">
        <v>852</v>
      </c>
      <c r="D219" t="s">
        <v>29</v>
      </c>
      <c r="E219" s="2" t="s">
        <v>30</v>
      </c>
      <c r="F219" s="2">
        <v>37218</v>
      </c>
      <c r="G219" s="2" t="s">
        <v>64</v>
      </c>
      <c r="H219" t="s">
        <v>379</v>
      </c>
      <c r="I219" s="6">
        <v>45098</v>
      </c>
      <c r="J219" s="2" t="s">
        <v>853</v>
      </c>
      <c r="K219" s="2">
        <v>0</v>
      </c>
      <c r="L219" t="s">
        <v>85</v>
      </c>
      <c r="M219" t="s">
        <v>29</v>
      </c>
      <c r="N219" t="s">
        <v>30</v>
      </c>
      <c r="O219">
        <v>37219</v>
      </c>
      <c r="P219" t="s">
        <v>854</v>
      </c>
      <c r="Q219" s="2">
        <v>0.45</v>
      </c>
      <c r="R219" s="2">
        <v>75</v>
      </c>
      <c r="S219" s="2">
        <v>276</v>
      </c>
      <c r="T219" t="s">
        <v>855</v>
      </c>
      <c r="U219" s="6">
        <v>25183</v>
      </c>
      <c r="V219" s="2">
        <v>47037012801</v>
      </c>
      <c r="W219" s="2" t="s">
        <v>68</v>
      </c>
      <c r="X219" s="1">
        <v>45658</v>
      </c>
      <c r="Y219" s="2">
        <v>86000</v>
      </c>
      <c r="Z219" s="2">
        <v>0</v>
      </c>
      <c r="AA219" s="2">
        <v>86000</v>
      </c>
    </row>
    <row r="220" spans="1:27" x14ac:dyDescent="0.3">
      <c r="A220" s="4" t="s">
        <v>386</v>
      </c>
      <c r="B220" s="2" t="str">
        <f>"05914003100"</f>
        <v>05914003100</v>
      </c>
      <c r="C220" s="2" t="s">
        <v>856</v>
      </c>
      <c r="D220" t="s">
        <v>29</v>
      </c>
      <c r="E220" s="2" t="s">
        <v>30</v>
      </c>
      <c r="F220" s="2">
        <v>37218</v>
      </c>
      <c r="G220" s="2" t="s">
        <v>64</v>
      </c>
      <c r="H220" t="s">
        <v>379</v>
      </c>
      <c r="I220" s="6">
        <v>45098</v>
      </c>
      <c r="J220" s="2" t="s">
        <v>857</v>
      </c>
      <c r="K220" s="2">
        <v>0</v>
      </c>
      <c r="L220" t="s">
        <v>85</v>
      </c>
      <c r="M220" t="s">
        <v>29</v>
      </c>
      <c r="N220" t="s">
        <v>30</v>
      </c>
      <c r="O220">
        <v>37219</v>
      </c>
      <c r="P220" t="s">
        <v>858</v>
      </c>
      <c r="Q220" s="2">
        <v>0.48</v>
      </c>
      <c r="R220" s="2">
        <v>75</v>
      </c>
      <c r="S220" s="2">
        <v>282</v>
      </c>
      <c r="T220" t="s">
        <v>859</v>
      </c>
      <c r="U220" s="6">
        <v>27232</v>
      </c>
      <c r="V220" s="2">
        <v>47037012801</v>
      </c>
      <c r="W220" s="2" t="s">
        <v>68</v>
      </c>
      <c r="X220" s="1">
        <v>45658</v>
      </c>
      <c r="Y220" s="2">
        <v>86000</v>
      </c>
      <c r="Z220" s="2">
        <v>0</v>
      </c>
      <c r="AA220" s="2">
        <v>86000</v>
      </c>
    </row>
    <row r="221" spans="1:27" x14ac:dyDescent="0.3">
      <c r="A221" s="4" t="s">
        <v>386</v>
      </c>
      <c r="B221" s="2" t="str">
        <f>"05913013300"</f>
        <v>05913013300</v>
      </c>
      <c r="C221" s="2" t="s">
        <v>860</v>
      </c>
      <c r="D221" t="s">
        <v>29</v>
      </c>
      <c r="E221" s="2" t="s">
        <v>30</v>
      </c>
      <c r="F221" s="2">
        <v>37218</v>
      </c>
      <c r="G221" s="2" t="s">
        <v>64</v>
      </c>
      <c r="H221" t="s">
        <v>379</v>
      </c>
      <c r="I221" s="6">
        <v>45098</v>
      </c>
      <c r="J221" s="2" t="s">
        <v>861</v>
      </c>
      <c r="K221" s="2">
        <v>0</v>
      </c>
      <c r="L221" t="s">
        <v>85</v>
      </c>
      <c r="M221" t="s">
        <v>29</v>
      </c>
      <c r="N221" t="s">
        <v>30</v>
      </c>
      <c r="O221">
        <v>37219</v>
      </c>
      <c r="P221" t="s">
        <v>862</v>
      </c>
      <c r="Q221" s="2">
        <v>0.84</v>
      </c>
      <c r="R221" s="2">
        <v>110</v>
      </c>
      <c r="S221" s="2">
        <v>319</v>
      </c>
      <c r="T221" t="s">
        <v>863</v>
      </c>
      <c r="U221" s="6">
        <v>22970</v>
      </c>
      <c r="V221" s="2">
        <v>47037012801</v>
      </c>
      <c r="W221" s="2" t="s">
        <v>68</v>
      </c>
      <c r="X221" s="1">
        <v>45658</v>
      </c>
      <c r="Y221" s="2">
        <v>91700</v>
      </c>
      <c r="Z221" s="2">
        <v>0</v>
      </c>
      <c r="AA221" s="2">
        <v>91700</v>
      </c>
    </row>
    <row r="222" spans="1:27" x14ac:dyDescent="0.3">
      <c r="A222" s="4" t="s">
        <v>864</v>
      </c>
      <c r="B222" s="2" t="str">
        <f>"05102000600"</f>
        <v>05102000600</v>
      </c>
      <c r="C222" s="2" t="s">
        <v>865</v>
      </c>
      <c r="D222" t="s">
        <v>866</v>
      </c>
      <c r="E222" s="2" t="s">
        <v>30</v>
      </c>
      <c r="F222" s="2">
        <v>37115</v>
      </c>
      <c r="G222" s="2" t="s">
        <v>64</v>
      </c>
      <c r="H222" t="s">
        <v>32</v>
      </c>
      <c r="I222" s="6">
        <v>42639</v>
      </c>
      <c r="J222" s="2" t="s">
        <v>867</v>
      </c>
      <c r="K222" s="2">
        <v>499</v>
      </c>
      <c r="L222" t="s">
        <v>35</v>
      </c>
      <c r="M222" t="s">
        <v>29</v>
      </c>
      <c r="N222" t="s">
        <v>30</v>
      </c>
      <c r="O222">
        <v>37219</v>
      </c>
      <c r="P222" t="s">
        <v>868</v>
      </c>
      <c r="Q222" s="2">
        <v>0.75</v>
      </c>
      <c r="R222" s="2">
        <v>0</v>
      </c>
      <c r="S222" s="2">
        <v>423</v>
      </c>
      <c r="T222" t="s">
        <v>869</v>
      </c>
      <c r="U222" s="6">
        <v>36993</v>
      </c>
      <c r="V222" s="2">
        <v>47037010901</v>
      </c>
      <c r="W222" s="2" t="s">
        <v>837</v>
      </c>
      <c r="X222" s="1">
        <v>45658</v>
      </c>
      <c r="Y222" s="2">
        <v>6300</v>
      </c>
      <c r="Z222" s="2">
        <v>0</v>
      </c>
      <c r="AA222" s="2">
        <v>6300</v>
      </c>
    </row>
    <row r="223" spans="1:27" x14ac:dyDescent="0.3">
      <c r="A223" s="4" t="s">
        <v>864</v>
      </c>
      <c r="B223" s="2" t="str">
        <f>"04200004000"</f>
        <v>04200004000</v>
      </c>
      <c r="C223" s="2" t="s">
        <v>28</v>
      </c>
      <c r="D223" t="s">
        <v>866</v>
      </c>
      <c r="E223" s="2" t="s">
        <v>30</v>
      </c>
      <c r="F223" s="2">
        <v>37115</v>
      </c>
      <c r="G223" s="2" t="s">
        <v>870</v>
      </c>
      <c r="H223" t="s">
        <v>32</v>
      </c>
      <c r="I223" s="6">
        <v>41537</v>
      </c>
      <c r="J223" s="2" t="s">
        <v>871</v>
      </c>
      <c r="K223" s="2">
        <v>0</v>
      </c>
      <c r="L223" t="s">
        <v>35</v>
      </c>
      <c r="M223" t="s">
        <v>29</v>
      </c>
      <c r="N223" t="s">
        <v>30</v>
      </c>
      <c r="O223">
        <v>37219</v>
      </c>
      <c r="P223" t="s">
        <v>872</v>
      </c>
      <c r="Q223" s="2">
        <v>103.09</v>
      </c>
      <c r="R223" s="2">
        <v>0</v>
      </c>
      <c r="S223" s="2">
        <v>0</v>
      </c>
      <c r="T223" t="s">
        <v>873</v>
      </c>
      <c r="U223" s="6">
        <v>37648</v>
      </c>
      <c r="V223" s="2">
        <v>47037010201</v>
      </c>
      <c r="W223" s="2" t="s">
        <v>38</v>
      </c>
      <c r="X223" s="1">
        <v>45658</v>
      </c>
      <c r="Y223" s="2">
        <v>1855600</v>
      </c>
      <c r="Z223" s="2">
        <v>0</v>
      </c>
      <c r="AA223" s="2">
        <v>1855600</v>
      </c>
    </row>
    <row r="224" spans="1:27" x14ac:dyDescent="0.3">
      <c r="A224" s="4" t="s">
        <v>864</v>
      </c>
      <c r="B224" s="2" t="str">
        <f>"05000012300"</f>
        <v>05000012300</v>
      </c>
      <c r="C224" s="2" t="s">
        <v>874</v>
      </c>
      <c r="D224" t="s">
        <v>29</v>
      </c>
      <c r="E224" s="2" t="s">
        <v>30</v>
      </c>
      <c r="F224" s="2">
        <v>37207</v>
      </c>
      <c r="G224" s="2" t="s">
        <v>152</v>
      </c>
      <c r="H224" t="s">
        <v>32</v>
      </c>
      <c r="I224" s="6">
        <v>30781</v>
      </c>
      <c r="J224" s="2" t="s">
        <v>875</v>
      </c>
      <c r="K224" s="2" t="s">
        <v>34</v>
      </c>
      <c r="L224" t="s">
        <v>35</v>
      </c>
      <c r="M224" t="s">
        <v>29</v>
      </c>
      <c r="N224" t="s">
        <v>30</v>
      </c>
      <c r="O224">
        <v>37219</v>
      </c>
      <c r="P224" t="s">
        <v>876</v>
      </c>
      <c r="Q224" s="2">
        <v>10.02</v>
      </c>
      <c r="R224" s="2">
        <v>0</v>
      </c>
      <c r="S224" s="2">
        <v>0</v>
      </c>
      <c r="T224" t="s">
        <v>875</v>
      </c>
      <c r="U224" s="6">
        <v>30781</v>
      </c>
      <c r="V224" s="2">
        <v>47037010903</v>
      </c>
      <c r="W224" s="2" t="s">
        <v>837</v>
      </c>
      <c r="X224" s="1">
        <v>45658</v>
      </c>
      <c r="Y224" s="2">
        <v>200400</v>
      </c>
      <c r="Z224" s="2">
        <v>0</v>
      </c>
      <c r="AA224" s="2">
        <v>200400</v>
      </c>
    </row>
    <row r="225" spans="1:27" x14ac:dyDescent="0.3">
      <c r="A225" s="4" t="s">
        <v>864</v>
      </c>
      <c r="B225" s="2" t="str">
        <f>"05000012200"</f>
        <v>05000012200</v>
      </c>
      <c r="C225" s="2" t="s">
        <v>877</v>
      </c>
      <c r="D225" t="s">
        <v>29</v>
      </c>
      <c r="E225" s="2" t="s">
        <v>30</v>
      </c>
      <c r="F225" s="2">
        <v>37207</v>
      </c>
      <c r="G225" s="2" t="s">
        <v>152</v>
      </c>
      <c r="H225" t="s">
        <v>32</v>
      </c>
      <c r="I225" s="6">
        <v>30781</v>
      </c>
      <c r="J225" s="2" t="s">
        <v>875</v>
      </c>
      <c r="K225" s="2" t="s">
        <v>34</v>
      </c>
      <c r="L225" t="s">
        <v>35</v>
      </c>
      <c r="M225" t="s">
        <v>29</v>
      </c>
      <c r="N225" t="s">
        <v>30</v>
      </c>
      <c r="O225">
        <v>37219</v>
      </c>
      <c r="P225" t="s">
        <v>878</v>
      </c>
      <c r="Q225" s="2">
        <v>2.5099999999999998</v>
      </c>
      <c r="R225" s="2">
        <v>0</v>
      </c>
      <c r="S225" s="2">
        <v>0</v>
      </c>
      <c r="T225" t="s">
        <v>875</v>
      </c>
      <c r="U225" s="6">
        <v>30781</v>
      </c>
      <c r="V225" s="2">
        <v>47037010903</v>
      </c>
      <c r="W225" s="2" t="s">
        <v>837</v>
      </c>
      <c r="X225" s="1">
        <v>45658</v>
      </c>
      <c r="Y225" s="2">
        <v>138100</v>
      </c>
      <c r="Z225" s="2">
        <v>0</v>
      </c>
      <c r="AA225" s="2">
        <v>138100</v>
      </c>
    </row>
    <row r="226" spans="1:27" x14ac:dyDescent="0.3">
      <c r="A226" s="4" t="s">
        <v>864</v>
      </c>
      <c r="B226" s="2" t="str">
        <f>"05015022800"</f>
        <v>05015022800</v>
      </c>
      <c r="C226" s="2" t="s">
        <v>879</v>
      </c>
      <c r="D226" t="s">
        <v>29</v>
      </c>
      <c r="E226" s="2" t="s">
        <v>30</v>
      </c>
      <c r="F226" s="2">
        <v>37207</v>
      </c>
      <c r="G226" s="2" t="s">
        <v>64</v>
      </c>
      <c r="H226" t="s">
        <v>99</v>
      </c>
      <c r="I226" s="6">
        <v>42936</v>
      </c>
      <c r="J226" s="2" t="s">
        <v>880</v>
      </c>
      <c r="K226" s="2">
        <v>603</v>
      </c>
      <c r="L226" t="s">
        <v>881</v>
      </c>
      <c r="M226" t="s">
        <v>29</v>
      </c>
      <c r="N226" t="s">
        <v>30</v>
      </c>
      <c r="O226">
        <v>37219</v>
      </c>
      <c r="P226" t="s">
        <v>882</v>
      </c>
      <c r="Q226" s="2">
        <v>0.01</v>
      </c>
      <c r="R226" s="2">
        <v>43</v>
      </c>
      <c r="S226" s="2">
        <v>24</v>
      </c>
      <c r="T226" t="s">
        <v>883</v>
      </c>
      <c r="U226" s="6">
        <v>23462</v>
      </c>
      <c r="V226" s="2">
        <v>47037010904</v>
      </c>
      <c r="W226" s="2" t="s">
        <v>68</v>
      </c>
      <c r="X226" s="1">
        <v>45658</v>
      </c>
      <c r="Y226" s="2">
        <v>1500</v>
      </c>
      <c r="Z226" s="2">
        <v>0</v>
      </c>
      <c r="AA226" s="2">
        <v>1500</v>
      </c>
    </row>
    <row r="227" spans="1:27" x14ac:dyDescent="0.3">
      <c r="A227" s="4" t="s">
        <v>864</v>
      </c>
      <c r="B227" s="2" t="str">
        <f>"04213003800"</f>
        <v>04213003800</v>
      </c>
      <c r="C227" s="2" t="s">
        <v>884</v>
      </c>
      <c r="D227" t="s">
        <v>866</v>
      </c>
      <c r="E227" s="2" t="s">
        <v>30</v>
      </c>
      <c r="F227" s="2">
        <v>37115</v>
      </c>
      <c r="G227" s="2" t="s">
        <v>64</v>
      </c>
      <c r="H227" t="s">
        <v>99</v>
      </c>
      <c r="I227" s="6">
        <v>27282</v>
      </c>
      <c r="J227" s="2" t="s">
        <v>885</v>
      </c>
      <c r="K227" s="2">
        <v>140</v>
      </c>
      <c r="L227" t="s">
        <v>35</v>
      </c>
      <c r="M227" t="s">
        <v>29</v>
      </c>
      <c r="N227" t="s">
        <v>30</v>
      </c>
      <c r="O227">
        <v>37219</v>
      </c>
      <c r="P227" t="s">
        <v>886</v>
      </c>
      <c r="Q227" s="2">
        <v>0.03</v>
      </c>
      <c r="R227" s="2">
        <v>41</v>
      </c>
      <c r="S227" s="2">
        <v>98</v>
      </c>
      <c r="T227" t="s">
        <v>887</v>
      </c>
      <c r="U227" s="6">
        <v>21985</v>
      </c>
      <c r="V227" s="2">
        <v>47037010901</v>
      </c>
      <c r="W227" s="2" t="s">
        <v>837</v>
      </c>
      <c r="X227" s="1">
        <v>45658</v>
      </c>
      <c r="Y227" s="2">
        <v>1600</v>
      </c>
      <c r="Z227" s="2">
        <v>0</v>
      </c>
      <c r="AA227" s="2">
        <v>1600</v>
      </c>
    </row>
    <row r="228" spans="1:27" x14ac:dyDescent="0.3">
      <c r="A228" s="4" t="s">
        <v>864</v>
      </c>
      <c r="B228" s="2" t="str">
        <f>"05015022700"</f>
        <v>05015022700</v>
      </c>
      <c r="C228" s="2" t="s">
        <v>888</v>
      </c>
      <c r="D228" t="s">
        <v>29</v>
      </c>
      <c r="E228" s="2" t="s">
        <v>30</v>
      </c>
      <c r="F228" s="2">
        <v>37207</v>
      </c>
      <c r="G228" s="2" t="s">
        <v>64</v>
      </c>
      <c r="H228" t="s">
        <v>99</v>
      </c>
      <c r="I228" s="6">
        <v>41444</v>
      </c>
      <c r="J228" s="2" t="s">
        <v>889</v>
      </c>
      <c r="K228" s="2">
        <v>554</v>
      </c>
      <c r="L228" t="s">
        <v>35</v>
      </c>
      <c r="M228" t="s">
        <v>29</v>
      </c>
      <c r="N228" t="s">
        <v>30</v>
      </c>
      <c r="O228">
        <v>37219</v>
      </c>
      <c r="P228" t="s">
        <v>890</v>
      </c>
      <c r="Q228" s="2">
        <v>0.41</v>
      </c>
      <c r="R228" s="2">
        <v>202</v>
      </c>
      <c r="S228" s="2">
        <v>139</v>
      </c>
      <c r="T228" t="s">
        <v>891</v>
      </c>
      <c r="U228" s="6">
        <v>19285</v>
      </c>
      <c r="V228" s="2">
        <v>47037010904</v>
      </c>
      <c r="W228" s="2" t="s">
        <v>68</v>
      </c>
      <c r="X228" s="1">
        <v>45658</v>
      </c>
      <c r="Y228" s="2">
        <v>2500</v>
      </c>
      <c r="Z228" s="2">
        <v>0</v>
      </c>
      <c r="AA228" s="2">
        <v>2500</v>
      </c>
    </row>
    <row r="229" spans="1:27" x14ac:dyDescent="0.3">
      <c r="A229" s="4" t="s">
        <v>864</v>
      </c>
      <c r="B229" s="2" t="str">
        <f>"05006001100"</f>
        <v>05006001100</v>
      </c>
      <c r="C229" s="2" t="s">
        <v>517</v>
      </c>
      <c r="D229" t="s">
        <v>29</v>
      </c>
      <c r="E229" s="2" t="s">
        <v>30</v>
      </c>
      <c r="F229" s="2">
        <v>37207</v>
      </c>
      <c r="G229" s="2" t="s">
        <v>64</v>
      </c>
      <c r="H229" t="s">
        <v>99</v>
      </c>
      <c r="I229" s="6">
        <v>43665</v>
      </c>
      <c r="J229" s="2" t="s">
        <v>892</v>
      </c>
      <c r="K229" s="2">
        <v>1134</v>
      </c>
      <c r="L229" t="s">
        <v>893</v>
      </c>
      <c r="M229" t="s">
        <v>29</v>
      </c>
      <c r="N229" t="s">
        <v>30</v>
      </c>
      <c r="O229">
        <v>37219</v>
      </c>
      <c r="P229" t="s">
        <v>894</v>
      </c>
      <c r="Q229" s="2">
        <v>7.0000000000000007E-2</v>
      </c>
      <c r="R229" s="2">
        <v>0</v>
      </c>
      <c r="S229" s="2">
        <v>0</v>
      </c>
      <c r="T229" t="s">
        <v>895</v>
      </c>
      <c r="U229" s="6">
        <v>30806</v>
      </c>
      <c r="V229" s="2">
        <v>47037010903</v>
      </c>
      <c r="W229" s="2" t="s">
        <v>837</v>
      </c>
      <c r="X229" s="1">
        <v>45658</v>
      </c>
      <c r="Y229" s="2">
        <v>300</v>
      </c>
      <c r="Z229" s="2">
        <v>0</v>
      </c>
      <c r="AA229" s="2">
        <v>300</v>
      </c>
    </row>
    <row r="230" spans="1:27" x14ac:dyDescent="0.3">
      <c r="A230" s="4" t="s">
        <v>864</v>
      </c>
      <c r="B230" s="2" t="str">
        <f>"041140A04200CO"</f>
        <v>041140A04200CO</v>
      </c>
      <c r="C230" s="2" t="s">
        <v>896</v>
      </c>
      <c r="D230" t="s">
        <v>29</v>
      </c>
      <c r="E230" s="2" t="s">
        <v>30</v>
      </c>
      <c r="F230" s="2">
        <v>37207</v>
      </c>
      <c r="G230" s="2" t="s">
        <v>64</v>
      </c>
      <c r="H230" t="s">
        <v>99</v>
      </c>
      <c r="I230" s="6">
        <v>41472</v>
      </c>
      <c r="J230" s="2" t="s">
        <v>897</v>
      </c>
      <c r="K230" s="2">
        <v>393</v>
      </c>
      <c r="L230" t="s">
        <v>35</v>
      </c>
      <c r="M230" t="s">
        <v>29</v>
      </c>
      <c r="N230" t="s">
        <v>30</v>
      </c>
      <c r="O230">
        <v>37219</v>
      </c>
      <c r="P230" t="s">
        <v>898</v>
      </c>
      <c r="Q230" s="2">
        <v>0.1</v>
      </c>
      <c r="R230" s="2">
        <v>263</v>
      </c>
      <c r="S230" s="2">
        <v>46</v>
      </c>
      <c r="T230" t="s">
        <v>899</v>
      </c>
      <c r="U230" s="6">
        <v>38141</v>
      </c>
      <c r="V230" s="2">
        <v>47037010903</v>
      </c>
      <c r="W230" s="2" t="s">
        <v>837</v>
      </c>
      <c r="X230" s="1">
        <v>45658</v>
      </c>
      <c r="Y230" s="2">
        <v>100</v>
      </c>
      <c r="Z230" s="2">
        <v>0</v>
      </c>
      <c r="AA230" s="2">
        <v>100</v>
      </c>
    </row>
    <row r="231" spans="1:27" x14ac:dyDescent="0.3">
      <c r="A231" s="4" t="s">
        <v>864</v>
      </c>
      <c r="B231" s="2" t="str">
        <f>"04211010000"</f>
        <v>04211010000</v>
      </c>
      <c r="C231" s="2" t="s">
        <v>900</v>
      </c>
      <c r="D231" t="s">
        <v>866</v>
      </c>
      <c r="E231" s="2" t="s">
        <v>30</v>
      </c>
      <c r="F231" s="2">
        <v>37115</v>
      </c>
      <c r="G231" s="2" t="s">
        <v>901</v>
      </c>
      <c r="H231" t="s">
        <v>902</v>
      </c>
      <c r="I231" s="6">
        <v>27255</v>
      </c>
      <c r="J231" s="2" t="s">
        <v>903</v>
      </c>
      <c r="K231" s="2">
        <v>35000</v>
      </c>
      <c r="L231" t="s">
        <v>35</v>
      </c>
      <c r="M231" t="s">
        <v>29</v>
      </c>
      <c r="N231" t="s">
        <v>30</v>
      </c>
      <c r="O231">
        <v>37219</v>
      </c>
      <c r="P231" t="s">
        <v>904</v>
      </c>
      <c r="Q231" s="2">
        <v>1</v>
      </c>
      <c r="R231" s="2">
        <v>236</v>
      </c>
      <c r="S231" s="2">
        <v>164</v>
      </c>
      <c r="T231" t="s">
        <v>905</v>
      </c>
      <c r="U231" s="6">
        <v>28996</v>
      </c>
      <c r="V231" s="2">
        <v>47037010801</v>
      </c>
      <c r="W231" s="2" t="s">
        <v>837</v>
      </c>
      <c r="X231" s="1">
        <v>45658</v>
      </c>
      <c r="Y231" s="2">
        <v>181100</v>
      </c>
      <c r="Z231" s="2">
        <v>0</v>
      </c>
      <c r="AA231" s="2">
        <v>181100</v>
      </c>
    </row>
    <row r="232" spans="1:27" x14ac:dyDescent="0.3">
      <c r="A232" s="4" t="s">
        <v>864</v>
      </c>
      <c r="B232" s="2" t="str">
        <f>"05015022600"</f>
        <v>05015022600</v>
      </c>
      <c r="C232" s="2" t="s">
        <v>906</v>
      </c>
      <c r="D232" t="s">
        <v>29</v>
      </c>
      <c r="E232" s="2" t="s">
        <v>30</v>
      </c>
      <c r="F232" s="2">
        <v>37207</v>
      </c>
      <c r="G232" s="2" t="s">
        <v>64</v>
      </c>
      <c r="H232" t="s">
        <v>171</v>
      </c>
      <c r="I232" s="6">
        <v>35018</v>
      </c>
      <c r="J232" s="2" t="s">
        <v>907</v>
      </c>
      <c r="K232" s="2" t="s">
        <v>34</v>
      </c>
      <c r="L232" t="s">
        <v>35</v>
      </c>
      <c r="M232" t="s">
        <v>29</v>
      </c>
      <c r="N232" t="s">
        <v>30</v>
      </c>
      <c r="O232">
        <v>37219</v>
      </c>
      <c r="P232" t="s">
        <v>908</v>
      </c>
      <c r="Q232" s="2">
        <v>0.13</v>
      </c>
      <c r="R232" s="2">
        <v>174</v>
      </c>
      <c r="S232" s="2">
        <v>65</v>
      </c>
      <c r="T232" t="s">
        <v>909</v>
      </c>
      <c r="U232" s="6">
        <v>19257</v>
      </c>
      <c r="V232" s="2">
        <v>47037010904</v>
      </c>
      <c r="W232" s="2" t="s">
        <v>68</v>
      </c>
      <c r="X232" s="1">
        <v>45658</v>
      </c>
      <c r="Y232" s="2">
        <v>2000</v>
      </c>
      <c r="Z232" s="2">
        <v>0</v>
      </c>
      <c r="AA232" s="2">
        <v>2000</v>
      </c>
    </row>
    <row r="233" spans="1:27" x14ac:dyDescent="0.3">
      <c r="A233" s="4" t="s">
        <v>864</v>
      </c>
      <c r="B233" s="2" t="str">
        <f>"05015006400"</f>
        <v>05015006400</v>
      </c>
      <c r="C233" s="2" t="s">
        <v>910</v>
      </c>
      <c r="D233" t="s">
        <v>29</v>
      </c>
      <c r="E233" s="2" t="s">
        <v>30</v>
      </c>
      <c r="F233" s="2">
        <v>37207</v>
      </c>
      <c r="G233" s="2" t="s">
        <v>64</v>
      </c>
      <c r="H233" t="s">
        <v>911</v>
      </c>
      <c r="I233" s="6">
        <v>26522</v>
      </c>
      <c r="J233" s="2" t="s">
        <v>912</v>
      </c>
      <c r="K233" s="2" t="s">
        <v>34</v>
      </c>
      <c r="L233" t="s">
        <v>35</v>
      </c>
      <c r="M233" t="s">
        <v>29</v>
      </c>
      <c r="N233" t="s">
        <v>30</v>
      </c>
      <c r="O233">
        <v>37219</v>
      </c>
      <c r="P233" t="s">
        <v>913</v>
      </c>
      <c r="Q233" s="2">
        <v>0.37</v>
      </c>
      <c r="R233" s="2">
        <v>55</v>
      </c>
      <c r="S233" s="2">
        <v>339</v>
      </c>
      <c r="T233" t="s">
        <v>912</v>
      </c>
      <c r="U233" s="6">
        <v>35797</v>
      </c>
      <c r="V233" s="2">
        <v>47037010904</v>
      </c>
      <c r="W233" s="2" t="s">
        <v>68</v>
      </c>
      <c r="X233" s="1">
        <v>45658</v>
      </c>
      <c r="Y233" s="2">
        <v>10000</v>
      </c>
      <c r="Z233" s="2">
        <v>0</v>
      </c>
      <c r="AA233" s="2">
        <v>10000</v>
      </c>
    </row>
    <row r="234" spans="1:27" x14ac:dyDescent="0.3">
      <c r="A234" s="4" t="s">
        <v>864</v>
      </c>
      <c r="B234" s="2" t="str">
        <f>"04203004400"</f>
        <v>04203004400</v>
      </c>
      <c r="C234" s="2" t="s">
        <v>914</v>
      </c>
      <c r="D234" t="s">
        <v>866</v>
      </c>
      <c r="E234" s="2" t="s">
        <v>30</v>
      </c>
      <c r="F234" s="2">
        <v>37115</v>
      </c>
      <c r="G234" s="2" t="s">
        <v>152</v>
      </c>
      <c r="H234" t="s">
        <v>176</v>
      </c>
      <c r="I234" s="6">
        <v>21591</v>
      </c>
      <c r="J234" s="2" t="s">
        <v>915</v>
      </c>
      <c r="K234" s="2" t="s">
        <v>34</v>
      </c>
      <c r="L234" t="s">
        <v>178</v>
      </c>
      <c r="M234" t="s">
        <v>29</v>
      </c>
      <c r="N234" t="s">
        <v>30</v>
      </c>
      <c r="O234">
        <v>37246</v>
      </c>
      <c r="P234" t="s">
        <v>916</v>
      </c>
      <c r="Q234" s="2">
        <v>1.28</v>
      </c>
      <c r="R234" s="2">
        <v>199</v>
      </c>
      <c r="S234" s="2">
        <v>258</v>
      </c>
      <c r="T234" t="s">
        <v>915</v>
      </c>
      <c r="U234" s="6">
        <v>21591</v>
      </c>
      <c r="V234" s="2">
        <v>47037010801</v>
      </c>
      <c r="W234" s="2" t="s">
        <v>837</v>
      </c>
      <c r="X234" s="1">
        <v>45658</v>
      </c>
      <c r="Y234" s="2">
        <v>103500</v>
      </c>
      <c r="Z234" s="2">
        <v>0</v>
      </c>
      <c r="AA234" s="2">
        <v>103500</v>
      </c>
    </row>
    <row r="235" spans="1:27" x14ac:dyDescent="0.3">
      <c r="A235" s="4" t="s">
        <v>864</v>
      </c>
      <c r="B235" s="2" t="str">
        <f>"04209004000"</f>
        <v>04209004000</v>
      </c>
      <c r="C235" s="2" t="s">
        <v>917</v>
      </c>
      <c r="D235" t="s">
        <v>866</v>
      </c>
      <c r="E235" s="2" t="s">
        <v>30</v>
      </c>
      <c r="F235" s="2">
        <v>37115</v>
      </c>
      <c r="G235" s="2" t="s">
        <v>152</v>
      </c>
      <c r="H235" t="s">
        <v>176</v>
      </c>
      <c r="I235" s="6">
        <v>20347</v>
      </c>
      <c r="J235" s="2" t="s">
        <v>918</v>
      </c>
      <c r="K235" s="2" t="s">
        <v>34</v>
      </c>
      <c r="L235" t="s">
        <v>178</v>
      </c>
      <c r="M235" t="s">
        <v>29</v>
      </c>
      <c r="N235" t="s">
        <v>30</v>
      </c>
      <c r="O235">
        <v>37246</v>
      </c>
      <c r="P235" t="s">
        <v>919</v>
      </c>
      <c r="Q235" s="2">
        <v>0.82</v>
      </c>
      <c r="R235" s="2">
        <v>101</v>
      </c>
      <c r="S235" s="2">
        <v>432</v>
      </c>
      <c r="T235" t="s">
        <v>918</v>
      </c>
      <c r="U235" s="6">
        <v>20347</v>
      </c>
      <c r="V235" s="2">
        <v>47037010901</v>
      </c>
      <c r="W235" s="2" t="s">
        <v>837</v>
      </c>
      <c r="X235" s="1">
        <v>45658</v>
      </c>
      <c r="Y235" s="2">
        <v>60000</v>
      </c>
      <c r="Z235" s="2">
        <v>0</v>
      </c>
      <c r="AA235" s="2">
        <v>60000</v>
      </c>
    </row>
    <row r="236" spans="1:27" x14ac:dyDescent="0.3">
      <c r="A236" s="4" t="s">
        <v>864</v>
      </c>
      <c r="B236" s="2" t="str">
        <f>"04112007400"</f>
        <v>04112007400</v>
      </c>
      <c r="C236" s="2" t="s">
        <v>920</v>
      </c>
      <c r="D236" t="s">
        <v>29</v>
      </c>
      <c r="E236" s="2" t="s">
        <v>30</v>
      </c>
      <c r="F236" s="2">
        <v>37207</v>
      </c>
      <c r="G236" s="2" t="s">
        <v>152</v>
      </c>
      <c r="H236" t="s">
        <v>176</v>
      </c>
      <c r="I236" s="6">
        <v>19977</v>
      </c>
      <c r="J236" s="2" t="s">
        <v>921</v>
      </c>
      <c r="K236" s="2" t="s">
        <v>34</v>
      </c>
      <c r="L236" t="s">
        <v>178</v>
      </c>
      <c r="M236" t="s">
        <v>29</v>
      </c>
      <c r="N236" t="s">
        <v>30</v>
      </c>
      <c r="O236">
        <v>37246</v>
      </c>
      <c r="P236" t="s">
        <v>922</v>
      </c>
      <c r="Q236" s="2">
        <v>0.62</v>
      </c>
      <c r="R236" s="2">
        <v>130</v>
      </c>
      <c r="S236" s="2">
        <v>270</v>
      </c>
      <c r="T236" t="s">
        <v>921</v>
      </c>
      <c r="U236" s="6">
        <v>19977</v>
      </c>
      <c r="V236" s="2">
        <v>47037010901</v>
      </c>
      <c r="W236" s="2" t="s">
        <v>38</v>
      </c>
      <c r="X236" s="1">
        <v>45658</v>
      </c>
      <c r="Y236" s="2">
        <v>85000</v>
      </c>
      <c r="Z236" s="2">
        <v>0</v>
      </c>
      <c r="AA236" s="2">
        <v>85000</v>
      </c>
    </row>
    <row r="237" spans="1:27" x14ac:dyDescent="0.3">
      <c r="A237" s="4" t="s">
        <v>864</v>
      </c>
      <c r="B237" s="2" t="str">
        <f>"05102002201"</f>
        <v>05102002201</v>
      </c>
      <c r="C237" s="2" t="s">
        <v>923</v>
      </c>
      <c r="D237" t="s">
        <v>866</v>
      </c>
      <c r="E237" s="2" t="s">
        <v>30</v>
      </c>
      <c r="F237" s="2">
        <v>37115</v>
      </c>
      <c r="G237" s="2" t="s">
        <v>152</v>
      </c>
      <c r="H237" t="s">
        <v>176</v>
      </c>
      <c r="I237" s="6">
        <v>20652</v>
      </c>
      <c r="J237" s="2" t="s">
        <v>924</v>
      </c>
      <c r="K237" s="2" t="s">
        <v>34</v>
      </c>
      <c r="L237" t="s">
        <v>178</v>
      </c>
      <c r="M237" t="s">
        <v>29</v>
      </c>
      <c r="N237" t="s">
        <v>30</v>
      </c>
      <c r="O237">
        <v>37246</v>
      </c>
      <c r="P237" t="s">
        <v>925</v>
      </c>
      <c r="Q237" s="2">
        <v>1.1399999999999999</v>
      </c>
      <c r="R237" s="2">
        <v>120</v>
      </c>
      <c r="S237" s="2">
        <v>421</v>
      </c>
      <c r="T237" t="s">
        <v>924</v>
      </c>
      <c r="U237" s="6">
        <v>20652</v>
      </c>
      <c r="V237" s="2">
        <v>47037010802</v>
      </c>
      <c r="W237" s="2" t="s">
        <v>837</v>
      </c>
      <c r="X237" s="1">
        <v>45658</v>
      </c>
      <c r="Y237" s="2">
        <v>175000</v>
      </c>
      <c r="Z237" s="2">
        <v>0</v>
      </c>
      <c r="AA237" s="2">
        <v>175000</v>
      </c>
    </row>
    <row r="238" spans="1:27" x14ac:dyDescent="0.3">
      <c r="A238" s="4" t="s">
        <v>864</v>
      </c>
      <c r="B238" s="2" t="str">
        <f>"05000002001"</f>
        <v>05000002001</v>
      </c>
      <c r="C238" s="2" t="s">
        <v>926</v>
      </c>
      <c r="D238" t="s">
        <v>29</v>
      </c>
      <c r="E238" s="2" t="s">
        <v>30</v>
      </c>
      <c r="F238" s="2">
        <v>37207</v>
      </c>
      <c r="G238" s="2" t="s">
        <v>152</v>
      </c>
      <c r="H238" t="s">
        <v>176</v>
      </c>
      <c r="I238" s="6">
        <v>22887</v>
      </c>
      <c r="J238" s="2" t="s">
        <v>927</v>
      </c>
      <c r="K238" s="2" t="s">
        <v>34</v>
      </c>
      <c r="L238" t="s">
        <v>178</v>
      </c>
      <c r="M238" t="s">
        <v>29</v>
      </c>
      <c r="N238" t="s">
        <v>30</v>
      </c>
      <c r="O238">
        <v>37246</v>
      </c>
      <c r="P238" t="s">
        <v>928</v>
      </c>
      <c r="Q238" s="2">
        <v>4.4000000000000004</v>
      </c>
      <c r="R238" s="2">
        <v>0</v>
      </c>
      <c r="S238" s="2">
        <v>0</v>
      </c>
      <c r="T238" t="s">
        <v>927</v>
      </c>
      <c r="U238" s="6">
        <v>22887</v>
      </c>
      <c r="V238" s="2">
        <v>47037010903</v>
      </c>
      <c r="W238" s="2" t="s">
        <v>68</v>
      </c>
      <c r="X238" s="1">
        <v>45658</v>
      </c>
      <c r="Y238" s="2">
        <v>574900</v>
      </c>
      <c r="Z238" s="2">
        <v>0</v>
      </c>
      <c r="AA238" s="2">
        <v>574900</v>
      </c>
    </row>
    <row r="239" spans="1:27" x14ac:dyDescent="0.3">
      <c r="A239" s="4" t="s">
        <v>864</v>
      </c>
      <c r="B239" s="2" t="str">
        <f>"06002014200"</f>
        <v>06002014200</v>
      </c>
      <c r="C239" s="2" t="s">
        <v>929</v>
      </c>
      <c r="D239" t="s">
        <v>29</v>
      </c>
      <c r="E239" s="2" t="s">
        <v>30</v>
      </c>
      <c r="F239" s="2">
        <v>37207</v>
      </c>
      <c r="G239" s="2" t="s">
        <v>152</v>
      </c>
      <c r="H239" t="s">
        <v>176</v>
      </c>
      <c r="I239" s="6">
        <v>22175</v>
      </c>
      <c r="J239" s="2" t="s">
        <v>930</v>
      </c>
      <c r="K239" s="2" t="s">
        <v>34</v>
      </c>
      <c r="L239" t="s">
        <v>178</v>
      </c>
      <c r="M239" t="s">
        <v>29</v>
      </c>
      <c r="N239" t="s">
        <v>30</v>
      </c>
      <c r="O239">
        <v>37246</v>
      </c>
      <c r="P239" t="s">
        <v>931</v>
      </c>
      <c r="Q239" s="2">
        <v>0.21</v>
      </c>
      <c r="R239" s="2">
        <v>89</v>
      </c>
      <c r="S239" s="2">
        <v>167</v>
      </c>
      <c r="T239" t="s">
        <v>930</v>
      </c>
      <c r="U239" s="6">
        <v>22175</v>
      </c>
      <c r="V239" s="2">
        <v>47037010904</v>
      </c>
      <c r="W239" s="2" t="s">
        <v>68</v>
      </c>
      <c r="X239" s="1">
        <v>45658</v>
      </c>
      <c r="Y239" s="2">
        <v>80000</v>
      </c>
      <c r="Z239" s="2">
        <v>0</v>
      </c>
      <c r="AA239" s="2">
        <v>80000</v>
      </c>
    </row>
    <row r="240" spans="1:27" x14ac:dyDescent="0.3">
      <c r="A240" s="4" t="s">
        <v>864</v>
      </c>
      <c r="B240" s="2" t="str">
        <f>"04201005300"</f>
        <v>04201005300</v>
      </c>
      <c r="C240" s="2" t="s">
        <v>932</v>
      </c>
      <c r="D240" t="s">
        <v>29</v>
      </c>
      <c r="E240" s="2" t="s">
        <v>30</v>
      </c>
      <c r="F240" s="2">
        <v>37207</v>
      </c>
      <c r="G240" s="2" t="s">
        <v>152</v>
      </c>
      <c r="H240" t="s">
        <v>176</v>
      </c>
      <c r="I240" s="6">
        <v>24219</v>
      </c>
      <c r="J240" s="2" t="s">
        <v>933</v>
      </c>
      <c r="K240" s="2" t="s">
        <v>34</v>
      </c>
      <c r="L240" t="s">
        <v>934</v>
      </c>
      <c r="M240" t="s">
        <v>29</v>
      </c>
      <c r="N240" t="s">
        <v>30</v>
      </c>
      <c r="O240">
        <v>37246</v>
      </c>
      <c r="P240" t="s">
        <v>935</v>
      </c>
      <c r="Q240" s="2">
        <v>0.2</v>
      </c>
      <c r="R240" s="2">
        <v>50</v>
      </c>
      <c r="S240" s="2">
        <v>173</v>
      </c>
      <c r="T240" t="s">
        <v>936</v>
      </c>
      <c r="U240" s="6">
        <v>33626</v>
      </c>
      <c r="V240" s="2">
        <v>47037010201</v>
      </c>
      <c r="W240" s="2" t="s">
        <v>38</v>
      </c>
      <c r="X240" s="1">
        <v>45658</v>
      </c>
      <c r="Y240" s="2">
        <v>61000</v>
      </c>
      <c r="Z240" s="2">
        <v>0</v>
      </c>
      <c r="AA240" s="2">
        <v>61000</v>
      </c>
    </row>
    <row r="241" spans="1:27" x14ac:dyDescent="0.3">
      <c r="A241" s="4" t="s">
        <v>864</v>
      </c>
      <c r="B241" s="2" t="str">
        <f>"04100008400"</f>
        <v>04100008400</v>
      </c>
      <c r="C241" s="2" t="s">
        <v>937</v>
      </c>
      <c r="D241" t="s">
        <v>29</v>
      </c>
      <c r="E241" s="2" t="s">
        <v>30</v>
      </c>
      <c r="F241" s="2">
        <v>37207</v>
      </c>
      <c r="G241" s="2" t="s">
        <v>152</v>
      </c>
      <c r="H241" t="s">
        <v>176</v>
      </c>
      <c r="I241" s="6">
        <v>23965</v>
      </c>
      <c r="J241" s="2" t="s">
        <v>938</v>
      </c>
      <c r="K241" s="2" t="s">
        <v>34</v>
      </c>
      <c r="L241" t="s">
        <v>934</v>
      </c>
      <c r="M241" t="s">
        <v>29</v>
      </c>
      <c r="N241" t="s">
        <v>30</v>
      </c>
      <c r="O241">
        <v>37246</v>
      </c>
      <c r="P241" t="s">
        <v>939</v>
      </c>
      <c r="Q241" s="2">
        <v>1</v>
      </c>
      <c r="R241" s="2">
        <v>0</v>
      </c>
      <c r="S241" s="2">
        <v>0</v>
      </c>
      <c r="T241" t="s">
        <v>938</v>
      </c>
      <c r="U241" s="6">
        <v>23965</v>
      </c>
      <c r="V241" s="2">
        <v>47037010903</v>
      </c>
      <c r="W241" s="2" t="s">
        <v>38</v>
      </c>
      <c r="X241" s="1">
        <v>45658</v>
      </c>
      <c r="Y241" s="2">
        <v>54600</v>
      </c>
      <c r="Z241" s="2">
        <v>0</v>
      </c>
      <c r="AA241" s="2">
        <v>54600</v>
      </c>
    </row>
    <row r="242" spans="1:27" x14ac:dyDescent="0.3">
      <c r="A242" s="4" t="s">
        <v>864</v>
      </c>
      <c r="B242" s="2" t="str">
        <f>"04200000700"</f>
        <v>04200000700</v>
      </c>
      <c r="C242" s="2" t="s">
        <v>940</v>
      </c>
      <c r="D242" t="s">
        <v>29</v>
      </c>
      <c r="E242" s="2" t="s">
        <v>30</v>
      </c>
      <c r="F242" s="2">
        <v>37207</v>
      </c>
      <c r="G242" s="2" t="s">
        <v>200</v>
      </c>
      <c r="H242" t="s">
        <v>941</v>
      </c>
      <c r="I242" s="6">
        <v>23671</v>
      </c>
      <c r="J242" s="2" t="s">
        <v>942</v>
      </c>
      <c r="K242" s="2" t="s">
        <v>34</v>
      </c>
      <c r="L242" t="s">
        <v>35</v>
      </c>
      <c r="M242" t="s">
        <v>29</v>
      </c>
      <c r="N242" t="s">
        <v>30</v>
      </c>
      <c r="O242">
        <v>37219</v>
      </c>
      <c r="P242" t="s">
        <v>943</v>
      </c>
      <c r="Q242" s="2">
        <v>221.44</v>
      </c>
      <c r="R242" s="2">
        <v>0</v>
      </c>
      <c r="S242" s="2">
        <v>0</v>
      </c>
      <c r="T242" t="s">
        <v>198</v>
      </c>
      <c r="U242" s="6">
        <v>27760</v>
      </c>
      <c r="V242" s="2">
        <v>47037010201</v>
      </c>
      <c r="W242" s="2" t="s">
        <v>38</v>
      </c>
      <c r="X242" s="1">
        <v>45658</v>
      </c>
      <c r="Y242" s="2">
        <v>3543000</v>
      </c>
      <c r="Z242" s="2">
        <v>0</v>
      </c>
      <c r="AA242" s="2">
        <v>3543000</v>
      </c>
    </row>
    <row r="243" spans="1:27" x14ac:dyDescent="0.3">
      <c r="A243" s="4" t="s">
        <v>864</v>
      </c>
      <c r="B243" s="2" t="str">
        <f>"05100000500"</f>
        <v>05100000500</v>
      </c>
      <c r="C243" s="2" t="s">
        <v>865</v>
      </c>
      <c r="D243" t="s">
        <v>866</v>
      </c>
      <c r="E243" s="2" t="s">
        <v>30</v>
      </c>
      <c r="F243" s="2">
        <v>37115</v>
      </c>
      <c r="G243" s="2" t="s">
        <v>64</v>
      </c>
      <c r="H243" t="s">
        <v>944</v>
      </c>
      <c r="I243" s="6">
        <v>37202</v>
      </c>
      <c r="J243" s="2" t="s">
        <v>945</v>
      </c>
      <c r="K243" s="2">
        <v>0</v>
      </c>
      <c r="L243" t="s">
        <v>35</v>
      </c>
      <c r="M243" t="s">
        <v>29</v>
      </c>
      <c r="N243" t="s">
        <v>30</v>
      </c>
      <c r="O243">
        <v>37219</v>
      </c>
      <c r="P243" t="s">
        <v>946</v>
      </c>
      <c r="Q243" s="2">
        <v>3.67</v>
      </c>
      <c r="R243" s="2">
        <v>0</v>
      </c>
      <c r="S243" s="2">
        <v>0</v>
      </c>
      <c r="T243" t="s">
        <v>945</v>
      </c>
      <c r="U243" s="6">
        <v>37202</v>
      </c>
      <c r="V243" s="2">
        <v>47037010802</v>
      </c>
      <c r="W243" s="2" t="s">
        <v>837</v>
      </c>
      <c r="X243" s="1">
        <v>45658</v>
      </c>
      <c r="Y243" s="2">
        <v>367000</v>
      </c>
      <c r="Z243" s="2">
        <v>0</v>
      </c>
      <c r="AA243" s="2">
        <v>367000</v>
      </c>
    </row>
    <row r="244" spans="1:27" x14ac:dyDescent="0.3">
      <c r="A244" s="4" t="s">
        <v>864</v>
      </c>
      <c r="B244" s="2" t="str">
        <f>"05100018200"</f>
        <v>05100018200</v>
      </c>
      <c r="C244" s="2" t="s">
        <v>865</v>
      </c>
      <c r="D244" t="s">
        <v>866</v>
      </c>
      <c r="E244" s="2" t="s">
        <v>30</v>
      </c>
      <c r="F244" s="2">
        <v>37115</v>
      </c>
      <c r="G244" s="2" t="s">
        <v>64</v>
      </c>
      <c r="H244" t="s">
        <v>944</v>
      </c>
      <c r="I244" s="6">
        <v>36715</v>
      </c>
      <c r="J244" s="2" t="s">
        <v>947</v>
      </c>
      <c r="K244" s="2" t="s">
        <v>34</v>
      </c>
      <c r="L244" t="s">
        <v>35</v>
      </c>
      <c r="M244" t="s">
        <v>29</v>
      </c>
      <c r="N244" t="s">
        <v>30</v>
      </c>
      <c r="O244">
        <v>37219</v>
      </c>
      <c r="P244" t="s">
        <v>948</v>
      </c>
      <c r="Q244" s="2">
        <v>3</v>
      </c>
      <c r="R244" s="2">
        <v>0</v>
      </c>
      <c r="S244" s="2">
        <v>0</v>
      </c>
      <c r="T244" t="s">
        <v>949</v>
      </c>
      <c r="U244" s="6">
        <v>27733</v>
      </c>
      <c r="V244" s="2">
        <v>47037010802</v>
      </c>
      <c r="W244" s="2" t="s">
        <v>837</v>
      </c>
      <c r="X244" s="1">
        <v>45658</v>
      </c>
      <c r="Y244" s="2">
        <v>300000</v>
      </c>
      <c r="Z244" s="2">
        <v>0</v>
      </c>
      <c r="AA244" s="2">
        <v>300000</v>
      </c>
    </row>
    <row r="245" spans="1:27" x14ac:dyDescent="0.3">
      <c r="A245" s="4" t="s">
        <v>864</v>
      </c>
      <c r="B245" s="2" t="str">
        <f>"06001004300"</f>
        <v>06001004300</v>
      </c>
      <c r="C245" s="2" t="s">
        <v>950</v>
      </c>
      <c r="D245" t="s">
        <v>29</v>
      </c>
      <c r="E245" s="2" t="s">
        <v>30</v>
      </c>
      <c r="F245" s="2">
        <v>37207</v>
      </c>
      <c r="G245" s="2" t="s">
        <v>41</v>
      </c>
      <c r="H245" t="s">
        <v>211</v>
      </c>
      <c r="I245" s="6">
        <v>28796</v>
      </c>
      <c r="J245" s="2" t="s">
        <v>951</v>
      </c>
      <c r="K245" s="2">
        <v>243</v>
      </c>
      <c r="L245" t="s">
        <v>35</v>
      </c>
      <c r="M245" t="s">
        <v>29</v>
      </c>
      <c r="N245" t="s">
        <v>30</v>
      </c>
      <c r="O245">
        <v>37219</v>
      </c>
      <c r="P245" t="s">
        <v>952</v>
      </c>
      <c r="Q245" s="2">
        <v>0.03</v>
      </c>
      <c r="R245" s="2">
        <v>31</v>
      </c>
      <c r="S245" s="2">
        <v>42</v>
      </c>
      <c r="T245" t="s">
        <v>953</v>
      </c>
      <c r="U245" s="6">
        <v>20257</v>
      </c>
      <c r="V245" s="2">
        <v>47037010904</v>
      </c>
      <c r="W245" s="2" t="s">
        <v>68</v>
      </c>
      <c r="X245" s="1">
        <v>45658</v>
      </c>
      <c r="Y245" s="2">
        <v>4200</v>
      </c>
      <c r="Z245" s="2">
        <v>0</v>
      </c>
      <c r="AA245" s="2">
        <v>4200</v>
      </c>
    </row>
    <row r="246" spans="1:27" x14ac:dyDescent="0.3">
      <c r="A246" s="4" t="s">
        <v>864</v>
      </c>
      <c r="B246" s="2" t="str">
        <f>"06001001500"</f>
        <v>06001001500</v>
      </c>
      <c r="C246" s="2" t="s">
        <v>954</v>
      </c>
      <c r="D246" t="s">
        <v>29</v>
      </c>
      <c r="E246" s="2" t="s">
        <v>30</v>
      </c>
      <c r="F246" s="2">
        <v>37207</v>
      </c>
      <c r="G246" s="2" t="s">
        <v>41</v>
      </c>
      <c r="H246" t="s">
        <v>211</v>
      </c>
      <c r="I246" s="6">
        <v>31841</v>
      </c>
      <c r="J246" s="2" t="s">
        <v>955</v>
      </c>
      <c r="K246" s="2">
        <v>508</v>
      </c>
      <c r="L246" t="s">
        <v>35</v>
      </c>
      <c r="M246" t="s">
        <v>29</v>
      </c>
      <c r="N246" t="s">
        <v>30</v>
      </c>
      <c r="O246">
        <v>37219</v>
      </c>
      <c r="P246" t="s">
        <v>956</v>
      </c>
      <c r="Q246" s="2">
        <v>0.11</v>
      </c>
      <c r="R246" s="2">
        <v>22</v>
      </c>
      <c r="S246" s="2">
        <v>64</v>
      </c>
      <c r="T246" t="s">
        <v>957</v>
      </c>
      <c r="U246" s="6">
        <v>20893</v>
      </c>
      <c r="V246" s="2">
        <v>47037010904</v>
      </c>
      <c r="W246" s="2" t="s">
        <v>68</v>
      </c>
      <c r="X246" s="1">
        <v>45658</v>
      </c>
      <c r="Y246" s="2">
        <v>21600</v>
      </c>
      <c r="Z246" s="2">
        <v>0</v>
      </c>
      <c r="AA246" s="2">
        <v>21600</v>
      </c>
    </row>
    <row r="247" spans="1:27" x14ac:dyDescent="0.3">
      <c r="A247" s="4" t="s">
        <v>864</v>
      </c>
      <c r="B247" s="2" t="str">
        <f>"06002028100"</f>
        <v>06002028100</v>
      </c>
      <c r="C247" s="2" t="s">
        <v>954</v>
      </c>
      <c r="D247" t="s">
        <v>29</v>
      </c>
      <c r="E247" s="2" t="s">
        <v>30</v>
      </c>
      <c r="F247" s="2">
        <v>37207</v>
      </c>
      <c r="G247" s="2" t="s">
        <v>64</v>
      </c>
      <c r="H247" t="s">
        <v>211</v>
      </c>
      <c r="I247" s="6">
        <v>36937</v>
      </c>
      <c r="J247" s="2" t="s">
        <v>958</v>
      </c>
      <c r="K247" s="2">
        <v>749</v>
      </c>
      <c r="L247" t="s">
        <v>35</v>
      </c>
      <c r="M247" t="s">
        <v>29</v>
      </c>
      <c r="N247" t="s">
        <v>30</v>
      </c>
      <c r="O247">
        <v>37219</v>
      </c>
      <c r="P247" t="s">
        <v>959</v>
      </c>
      <c r="Q247" s="2">
        <v>0.13</v>
      </c>
      <c r="R247" s="2">
        <v>173</v>
      </c>
      <c r="S247" s="2">
        <v>21</v>
      </c>
      <c r="T247" t="s">
        <v>960</v>
      </c>
      <c r="U247" s="6">
        <v>21929</v>
      </c>
      <c r="V247" s="2">
        <v>47037010904</v>
      </c>
      <c r="W247" s="2" t="s">
        <v>68</v>
      </c>
      <c r="X247" s="1">
        <v>45658</v>
      </c>
      <c r="Y247" s="2">
        <v>500</v>
      </c>
      <c r="Z247" s="2">
        <v>0</v>
      </c>
      <c r="AA247" s="2">
        <v>500</v>
      </c>
    </row>
    <row r="248" spans="1:27" x14ac:dyDescent="0.3">
      <c r="A248" s="4" t="s">
        <v>864</v>
      </c>
      <c r="B248" s="2" t="str">
        <f>"06003014100"</f>
        <v>06003014100</v>
      </c>
      <c r="C248" s="2" t="s">
        <v>961</v>
      </c>
      <c r="D248" t="s">
        <v>29</v>
      </c>
      <c r="E248" s="2" t="s">
        <v>30</v>
      </c>
      <c r="F248" s="2">
        <v>37207</v>
      </c>
      <c r="G248" s="2" t="s">
        <v>200</v>
      </c>
      <c r="H248" t="s">
        <v>962</v>
      </c>
      <c r="I248" s="6">
        <v>26681</v>
      </c>
      <c r="J248" s="2" t="s">
        <v>963</v>
      </c>
      <c r="K248" s="2" t="s">
        <v>34</v>
      </c>
      <c r="L248" t="s">
        <v>35</v>
      </c>
      <c r="M248" t="s">
        <v>29</v>
      </c>
      <c r="N248" t="s">
        <v>30</v>
      </c>
      <c r="O248">
        <v>37219</v>
      </c>
      <c r="P248" t="s">
        <v>964</v>
      </c>
      <c r="Q248" s="2">
        <v>10.29</v>
      </c>
      <c r="R248" s="2">
        <v>0</v>
      </c>
      <c r="S248" s="2">
        <v>0</v>
      </c>
      <c r="T248" t="s">
        <v>278</v>
      </c>
      <c r="U248" s="6">
        <v>36581</v>
      </c>
      <c r="V248" s="2">
        <v>47037010904</v>
      </c>
      <c r="W248" s="2" t="s">
        <v>68</v>
      </c>
      <c r="X248" s="1">
        <v>45658</v>
      </c>
      <c r="Y248" s="2">
        <v>642800</v>
      </c>
      <c r="Z248" s="2">
        <v>0</v>
      </c>
      <c r="AA248" s="2">
        <v>642800</v>
      </c>
    </row>
    <row r="249" spans="1:27" x14ac:dyDescent="0.3">
      <c r="A249" s="4" t="s">
        <v>864</v>
      </c>
      <c r="B249" s="2" t="str">
        <f>"05015022601"</f>
        <v>05015022601</v>
      </c>
      <c r="C249" s="2" t="s">
        <v>965</v>
      </c>
      <c r="D249" t="s">
        <v>29</v>
      </c>
      <c r="E249" s="2" t="s">
        <v>30</v>
      </c>
      <c r="F249" s="2">
        <v>37207</v>
      </c>
      <c r="G249" s="2" t="s">
        <v>64</v>
      </c>
      <c r="H249" t="s">
        <v>966</v>
      </c>
      <c r="I249" s="6">
        <v>27732</v>
      </c>
      <c r="J249" s="2" t="s">
        <v>967</v>
      </c>
      <c r="K249" s="2">
        <v>0</v>
      </c>
      <c r="L249" t="s">
        <v>35</v>
      </c>
      <c r="M249" t="s">
        <v>29</v>
      </c>
      <c r="N249" t="s">
        <v>30</v>
      </c>
      <c r="O249">
        <v>37219</v>
      </c>
      <c r="P249" t="s">
        <v>968</v>
      </c>
      <c r="Q249" s="2">
        <v>0.01</v>
      </c>
      <c r="R249" s="2">
        <v>25</v>
      </c>
      <c r="S249" s="2">
        <v>10</v>
      </c>
      <c r="T249" t="s">
        <v>969</v>
      </c>
      <c r="U249" s="6">
        <v>22859</v>
      </c>
      <c r="V249" s="2">
        <v>47037010904</v>
      </c>
      <c r="W249" s="2" t="s">
        <v>68</v>
      </c>
      <c r="X249" s="1">
        <v>45658</v>
      </c>
      <c r="Y249" s="2">
        <v>1000</v>
      </c>
      <c r="Z249" s="2">
        <v>0</v>
      </c>
      <c r="AA249" s="2">
        <v>1000</v>
      </c>
    </row>
    <row r="250" spans="1:27" x14ac:dyDescent="0.3">
      <c r="A250" s="4" t="s">
        <v>864</v>
      </c>
      <c r="B250" s="2" t="str">
        <f>"04108005300"</f>
        <v>04108005300</v>
      </c>
      <c r="C250" s="2" t="s">
        <v>970</v>
      </c>
      <c r="D250" t="s">
        <v>29</v>
      </c>
      <c r="E250" s="2" t="s">
        <v>30</v>
      </c>
      <c r="F250" s="2">
        <v>37207</v>
      </c>
      <c r="G250" s="2" t="s">
        <v>253</v>
      </c>
      <c r="H250" t="s">
        <v>971</v>
      </c>
      <c r="I250" s="6">
        <v>20025</v>
      </c>
      <c r="J250" s="2" t="s">
        <v>972</v>
      </c>
      <c r="K250" s="2" t="s">
        <v>34</v>
      </c>
      <c r="L250" t="s">
        <v>35</v>
      </c>
      <c r="M250" t="s">
        <v>29</v>
      </c>
      <c r="N250" t="s">
        <v>30</v>
      </c>
      <c r="O250">
        <v>37219</v>
      </c>
      <c r="P250" t="s">
        <v>973</v>
      </c>
      <c r="Q250" s="2">
        <v>13.65</v>
      </c>
      <c r="R250" s="2">
        <v>0</v>
      </c>
      <c r="S250" s="2">
        <v>0</v>
      </c>
      <c r="T250" t="s">
        <v>972</v>
      </c>
      <c r="U250" s="6">
        <v>20025</v>
      </c>
      <c r="V250" s="2">
        <v>47037010901</v>
      </c>
      <c r="W250" s="2" t="s">
        <v>38</v>
      </c>
      <c r="X250" s="1">
        <v>45658</v>
      </c>
      <c r="Y250" s="2">
        <v>229300</v>
      </c>
      <c r="Z250" s="2">
        <v>0</v>
      </c>
      <c r="AA250" s="2">
        <v>229300</v>
      </c>
    </row>
    <row r="251" spans="1:27" x14ac:dyDescent="0.3">
      <c r="A251" s="4" t="s">
        <v>864</v>
      </c>
      <c r="B251" s="2" t="str">
        <f>"06000000400"</f>
        <v>06000000400</v>
      </c>
      <c r="C251" s="2" t="s">
        <v>974</v>
      </c>
      <c r="D251" t="s">
        <v>29</v>
      </c>
      <c r="E251" s="2" t="s">
        <v>30</v>
      </c>
      <c r="F251" s="2">
        <v>37207</v>
      </c>
      <c r="G251" s="2" t="s">
        <v>253</v>
      </c>
      <c r="H251" t="s">
        <v>975</v>
      </c>
      <c r="I251" s="6">
        <v>18869</v>
      </c>
      <c r="J251" s="2" t="s">
        <v>976</v>
      </c>
      <c r="K251" s="2" t="s">
        <v>34</v>
      </c>
      <c r="L251" t="s">
        <v>35</v>
      </c>
      <c r="M251" t="s">
        <v>29</v>
      </c>
      <c r="N251" t="s">
        <v>30</v>
      </c>
      <c r="O251">
        <v>37219</v>
      </c>
      <c r="P251" t="s">
        <v>977</v>
      </c>
      <c r="Q251" s="2">
        <v>10.44</v>
      </c>
      <c r="R251" s="2">
        <v>0</v>
      </c>
      <c r="S251" s="2">
        <v>0</v>
      </c>
      <c r="T251" t="s">
        <v>978</v>
      </c>
      <c r="U251" s="6">
        <v>35240</v>
      </c>
      <c r="V251" s="2">
        <v>47037010904</v>
      </c>
      <c r="W251" s="2" t="s">
        <v>68</v>
      </c>
      <c r="X251" s="1">
        <v>45658</v>
      </c>
      <c r="Y251" s="2">
        <v>259400</v>
      </c>
      <c r="Z251" s="2">
        <v>0</v>
      </c>
      <c r="AA251" s="2">
        <v>259400</v>
      </c>
    </row>
    <row r="252" spans="1:27" x14ac:dyDescent="0.3">
      <c r="A252" s="4" t="s">
        <v>864</v>
      </c>
      <c r="B252" s="2" t="str">
        <f>"05102000500"</f>
        <v>05102000500</v>
      </c>
      <c r="C252" s="2" t="s">
        <v>979</v>
      </c>
      <c r="D252" t="s">
        <v>866</v>
      </c>
      <c r="E252" s="2" t="s">
        <v>30</v>
      </c>
      <c r="F252" s="2">
        <v>37115</v>
      </c>
      <c r="G252" s="2" t="s">
        <v>253</v>
      </c>
      <c r="H252" t="s">
        <v>980</v>
      </c>
      <c r="I252" s="6">
        <v>20625</v>
      </c>
      <c r="J252" s="2" t="s">
        <v>981</v>
      </c>
      <c r="K252" s="2" t="s">
        <v>34</v>
      </c>
      <c r="L252" t="s">
        <v>35</v>
      </c>
      <c r="M252" t="s">
        <v>29</v>
      </c>
      <c r="N252" t="s">
        <v>30</v>
      </c>
      <c r="O252">
        <v>37219</v>
      </c>
      <c r="P252" t="s">
        <v>982</v>
      </c>
      <c r="Q252" s="2">
        <v>14.04</v>
      </c>
      <c r="R252" s="2">
        <v>0</v>
      </c>
      <c r="S252" s="2">
        <v>0</v>
      </c>
      <c r="T252" t="s">
        <v>983</v>
      </c>
      <c r="U252" s="6">
        <v>36966</v>
      </c>
      <c r="V252" s="2">
        <v>47037010901</v>
      </c>
      <c r="W252" s="2" t="s">
        <v>837</v>
      </c>
      <c r="X252" s="1">
        <v>45658</v>
      </c>
      <c r="Y252" s="2">
        <v>422100</v>
      </c>
      <c r="Z252" s="2">
        <v>0</v>
      </c>
      <c r="AA252" s="2">
        <v>422100</v>
      </c>
    </row>
    <row r="253" spans="1:27" x14ac:dyDescent="0.3">
      <c r="A253" s="4" t="s">
        <v>864</v>
      </c>
      <c r="B253" s="2" t="str">
        <f>"04212006400"</f>
        <v>04212006400</v>
      </c>
      <c r="C253" s="2" t="s">
        <v>984</v>
      </c>
      <c r="D253" t="s">
        <v>866</v>
      </c>
      <c r="E253" s="2" t="s">
        <v>30</v>
      </c>
      <c r="F253" s="2">
        <v>37115</v>
      </c>
      <c r="G253" s="2" t="s">
        <v>253</v>
      </c>
      <c r="H253" t="s">
        <v>985</v>
      </c>
      <c r="I253" s="6">
        <v>20860</v>
      </c>
      <c r="J253" s="2" t="s">
        <v>986</v>
      </c>
      <c r="K253" s="2" t="s">
        <v>34</v>
      </c>
      <c r="L253" t="s">
        <v>35</v>
      </c>
      <c r="M253" t="s">
        <v>29</v>
      </c>
      <c r="N253" t="s">
        <v>30</v>
      </c>
      <c r="O253">
        <v>37219</v>
      </c>
      <c r="P253" t="s">
        <v>987</v>
      </c>
      <c r="Q253" s="2">
        <v>25.21</v>
      </c>
      <c r="R253" s="2">
        <v>0</v>
      </c>
      <c r="S253" s="2">
        <v>0</v>
      </c>
      <c r="T253" t="s">
        <v>988</v>
      </c>
      <c r="U253" s="6">
        <v>27453</v>
      </c>
      <c r="V253" s="2">
        <v>47037010801</v>
      </c>
      <c r="W253" s="2" t="s">
        <v>837</v>
      </c>
      <c r="X253" s="1">
        <v>45658</v>
      </c>
      <c r="Y253" s="2">
        <v>630300</v>
      </c>
      <c r="Z253" s="2">
        <v>0</v>
      </c>
      <c r="AA253" s="2">
        <v>630300</v>
      </c>
    </row>
    <row r="254" spans="1:27" x14ac:dyDescent="0.3">
      <c r="A254" s="4" t="s">
        <v>864</v>
      </c>
      <c r="B254" s="2" t="str">
        <f>"03300007800"</f>
        <v>03300007800</v>
      </c>
      <c r="C254" s="2" t="s">
        <v>989</v>
      </c>
      <c r="D254" t="s">
        <v>990</v>
      </c>
      <c r="E254" s="2" t="s">
        <v>30</v>
      </c>
      <c r="F254" s="2">
        <v>37072</v>
      </c>
      <c r="G254" s="2" t="s">
        <v>253</v>
      </c>
      <c r="H254" t="s">
        <v>991</v>
      </c>
      <c r="I254" s="6">
        <v>25104</v>
      </c>
      <c r="J254" s="2" t="s">
        <v>992</v>
      </c>
      <c r="K254" s="2" t="s">
        <v>34</v>
      </c>
      <c r="L254" t="s">
        <v>35</v>
      </c>
      <c r="M254" t="s">
        <v>29</v>
      </c>
      <c r="N254" t="s">
        <v>30</v>
      </c>
      <c r="O254">
        <v>37219</v>
      </c>
      <c r="P254" t="s">
        <v>993</v>
      </c>
      <c r="Q254" s="2">
        <v>10</v>
      </c>
      <c r="R254" s="2">
        <v>0</v>
      </c>
      <c r="S254" s="2">
        <v>0</v>
      </c>
      <c r="T254" t="s">
        <v>994</v>
      </c>
      <c r="U254" s="6">
        <v>22305</v>
      </c>
      <c r="V254" s="2">
        <v>47037010201</v>
      </c>
      <c r="W254" s="2" t="s">
        <v>38</v>
      </c>
      <c r="X254" s="1">
        <v>45658</v>
      </c>
      <c r="Y254" s="2">
        <v>276000</v>
      </c>
      <c r="Z254" s="2">
        <v>0</v>
      </c>
      <c r="AA254" s="2">
        <v>276000</v>
      </c>
    </row>
    <row r="255" spans="1:27" x14ac:dyDescent="0.3">
      <c r="A255" s="4" t="s">
        <v>864</v>
      </c>
      <c r="B255" s="2" t="str">
        <f>"03200005100"</f>
        <v>03200005100</v>
      </c>
      <c r="C255" s="2" t="s">
        <v>995</v>
      </c>
      <c r="D255" t="s">
        <v>29</v>
      </c>
      <c r="E255" s="2" t="s">
        <v>30</v>
      </c>
      <c r="F255" s="2">
        <v>37207</v>
      </c>
      <c r="G255" s="2" t="s">
        <v>253</v>
      </c>
      <c r="H255" t="s">
        <v>996</v>
      </c>
      <c r="I255" s="6">
        <v>28234</v>
      </c>
      <c r="J255" s="2" t="s">
        <v>997</v>
      </c>
      <c r="K255" s="2" t="s">
        <v>34</v>
      </c>
      <c r="L255" t="s">
        <v>35</v>
      </c>
      <c r="M255" t="s">
        <v>29</v>
      </c>
      <c r="N255" t="s">
        <v>30</v>
      </c>
      <c r="O255">
        <v>37219</v>
      </c>
      <c r="P255" t="s">
        <v>998</v>
      </c>
      <c r="Q255" s="2">
        <v>48.61</v>
      </c>
      <c r="R255" s="2">
        <v>0</v>
      </c>
      <c r="S255" s="2">
        <v>0</v>
      </c>
      <c r="T255" t="s">
        <v>999</v>
      </c>
      <c r="U255" s="6">
        <v>23743</v>
      </c>
      <c r="V255" s="2">
        <v>47037010201</v>
      </c>
      <c r="W255" s="2" t="s">
        <v>38</v>
      </c>
      <c r="X255" s="1">
        <v>45658</v>
      </c>
      <c r="Y255" s="2">
        <v>687000</v>
      </c>
      <c r="Z255" s="2">
        <v>0</v>
      </c>
      <c r="AA255" s="2">
        <v>687000</v>
      </c>
    </row>
    <row r="256" spans="1:27" x14ac:dyDescent="0.3">
      <c r="A256" s="4" t="s">
        <v>864</v>
      </c>
      <c r="B256" s="2" t="str">
        <f>"04000002100"</f>
        <v>04000002100</v>
      </c>
      <c r="C256" s="2" t="s">
        <v>28</v>
      </c>
      <c r="D256" t="s">
        <v>103</v>
      </c>
      <c r="E256" s="2" t="s">
        <v>30</v>
      </c>
      <c r="F256" s="2">
        <v>37189</v>
      </c>
      <c r="G256" s="2" t="s">
        <v>31</v>
      </c>
      <c r="H256" t="s">
        <v>1000</v>
      </c>
      <c r="I256" s="6">
        <v>27565</v>
      </c>
      <c r="J256" s="2" t="s">
        <v>229</v>
      </c>
      <c r="K256" s="2" t="s">
        <v>34</v>
      </c>
      <c r="L256" t="s">
        <v>35</v>
      </c>
      <c r="M256" t="s">
        <v>29</v>
      </c>
      <c r="N256" t="s">
        <v>30</v>
      </c>
      <c r="O256">
        <v>37219</v>
      </c>
      <c r="P256" t="s">
        <v>1001</v>
      </c>
      <c r="Q256" s="2">
        <v>2.14</v>
      </c>
      <c r="R256" s="2">
        <v>0</v>
      </c>
      <c r="S256" s="2">
        <v>0</v>
      </c>
      <c r="T256" t="s">
        <v>1002</v>
      </c>
      <c r="U256" s="6">
        <v>37644</v>
      </c>
      <c r="V256" s="2">
        <v>47037010201</v>
      </c>
      <c r="W256" s="2" t="s">
        <v>38</v>
      </c>
      <c r="X256" s="1">
        <v>45658</v>
      </c>
      <c r="Y256" s="2">
        <v>23500</v>
      </c>
      <c r="Z256" s="2">
        <v>0</v>
      </c>
      <c r="AA256" s="2">
        <v>23500</v>
      </c>
    </row>
    <row r="257" spans="1:27" x14ac:dyDescent="0.3">
      <c r="A257" s="4" t="s">
        <v>864</v>
      </c>
      <c r="B257" s="2" t="str">
        <f>"03100003600"</f>
        <v>03100003600</v>
      </c>
      <c r="C257" s="2" t="s">
        <v>1003</v>
      </c>
      <c r="D257" t="s">
        <v>103</v>
      </c>
      <c r="E257" s="2" t="s">
        <v>30</v>
      </c>
      <c r="F257" s="2">
        <v>37189</v>
      </c>
      <c r="G257" s="2" t="s">
        <v>31</v>
      </c>
      <c r="H257" t="s">
        <v>280</v>
      </c>
      <c r="I257" s="6">
        <v>42822</v>
      </c>
      <c r="J257" s="2" t="s">
        <v>1004</v>
      </c>
      <c r="K257" s="2">
        <v>900</v>
      </c>
      <c r="L257" t="s">
        <v>35</v>
      </c>
      <c r="M257" t="s">
        <v>29</v>
      </c>
      <c r="N257" t="s">
        <v>30</v>
      </c>
      <c r="O257">
        <v>37219</v>
      </c>
      <c r="P257" t="s">
        <v>1005</v>
      </c>
      <c r="Q257" s="2">
        <v>0.11</v>
      </c>
      <c r="R257" s="2">
        <v>81</v>
      </c>
      <c r="S257" s="2">
        <v>225</v>
      </c>
      <c r="T257" t="s">
        <v>1006</v>
      </c>
      <c r="U257" s="6">
        <v>20097</v>
      </c>
      <c r="V257" s="2">
        <v>47037010201</v>
      </c>
      <c r="W257" s="2" t="s">
        <v>38</v>
      </c>
      <c r="X257" s="1">
        <v>45658</v>
      </c>
      <c r="Y257" s="2">
        <v>1300</v>
      </c>
      <c r="Z257" s="2">
        <v>0</v>
      </c>
      <c r="AA257" s="2">
        <v>1300</v>
      </c>
    </row>
    <row r="258" spans="1:27" x14ac:dyDescent="0.3">
      <c r="A258" s="4" t="s">
        <v>864</v>
      </c>
      <c r="B258" s="2" t="str">
        <f>"03100005700"</f>
        <v>03100005700</v>
      </c>
      <c r="C258" s="2" t="s">
        <v>1007</v>
      </c>
      <c r="D258" t="s">
        <v>103</v>
      </c>
      <c r="E258" s="2" t="s">
        <v>30</v>
      </c>
      <c r="F258" s="2">
        <v>37189</v>
      </c>
      <c r="G258" s="2" t="s">
        <v>31</v>
      </c>
      <c r="H258" t="s">
        <v>280</v>
      </c>
      <c r="I258" s="6">
        <v>40920</v>
      </c>
      <c r="J258" s="2" t="s">
        <v>1008</v>
      </c>
      <c r="K258" s="2">
        <v>0</v>
      </c>
      <c r="L258" t="s">
        <v>35</v>
      </c>
      <c r="M258" t="s">
        <v>29</v>
      </c>
      <c r="N258" t="s">
        <v>30</v>
      </c>
      <c r="O258">
        <v>37219</v>
      </c>
      <c r="P258" t="s">
        <v>1009</v>
      </c>
      <c r="Q258" s="2">
        <v>2.42</v>
      </c>
      <c r="R258" s="2">
        <v>0</v>
      </c>
      <c r="S258" s="2">
        <v>0</v>
      </c>
      <c r="T258" t="s">
        <v>1010</v>
      </c>
      <c r="U258" s="6">
        <v>27118</v>
      </c>
      <c r="V258" s="2">
        <v>47037010201</v>
      </c>
      <c r="W258" s="2" t="s">
        <v>38</v>
      </c>
      <c r="X258" s="1">
        <v>45658</v>
      </c>
      <c r="Y258" s="2">
        <v>117600</v>
      </c>
      <c r="Z258" s="2">
        <v>0</v>
      </c>
      <c r="AA258" s="2">
        <v>117600</v>
      </c>
    </row>
    <row r="259" spans="1:27" x14ac:dyDescent="0.3">
      <c r="A259" s="4" t="s">
        <v>864</v>
      </c>
      <c r="B259" s="2" t="str">
        <f>"04216003100"</f>
        <v>04216003100</v>
      </c>
      <c r="C259" s="2" t="s">
        <v>1011</v>
      </c>
      <c r="D259" t="s">
        <v>866</v>
      </c>
      <c r="E259" s="2" t="s">
        <v>30</v>
      </c>
      <c r="F259" s="2">
        <v>37115</v>
      </c>
      <c r="G259" s="2" t="s">
        <v>64</v>
      </c>
      <c r="H259" t="s">
        <v>280</v>
      </c>
      <c r="I259" s="6">
        <v>43564</v>
      </c>
      <c r="J259" s="2" t="s">
        <v>1012</v>
      </c>
      <c r="K259" s="2" t="s">
        <v>34</v>
      </c>
      <c r="L259" t="s">
        <v>315</v>
      </c>
      <c r="M259" t="s">
        <v>29</v>
      </c>
      <c r="N259" t="s">
        <v>30</v>
      </c>
      <c r="O259">
        <v>37208</v>
      </c>
      <c r="P259" t="s">
        <v>1013</v>
      </c>
      <c r="Q259" s="2">
        <v>0.32</v>
      </c>
      <c r="R259" s="2">
        <v>100</v>
      </c>
      <c r="S259" s="2">
        <v>140</v>
      </c>
      <c r="T259" t="s">
        <v>1014</v>
      </c>
      <c r="U259" s="6">
        <v>26732</v>
      </c>
      <c r="V259" s="2">
        <v>47037010802</v>
      </c>
      <c r="W259" s="2" t="s">
        <v>837</v>
      </c>
      <c r="X259" s="1">
        <v>45658</v>
      </c>
      <c r="Y259" s="2">
        <v>97500</v>
      </c>
      <c r="Z259" s="2">
        <v>0</v>
      </c>
      <c r="AA259" s="2">
        <v>97500</v>
      </c>
    </row>
    <row r="260" spans="1:27" x14ac:dyDescent="0.3">
      <c r="A260" s="4" t="s">
        <v>864</v>
      </c>
      <c r="B260" s="2" t="str">
        <f>"04115003900"</f>
        <v>04115003900</v>
      </c>
      <c r="C260" s="2" t="s">
        <v>1015</v>
      </c>
      <c r="D260" t="s">
        <v>29</v>
      </c>
      <c r="E260" s="2" t="s">
        <v>30</v>
      </c>
      <c r="F260" s="2">
        <v>37207</v>
      </c>
      <c r="G260" s="2" t="s">
        <v>64</v>
      </c>
      <c r="H260" t="s">
        <v>280</v>
      </c>
      <c r="I260" s="6">
        <v>41192</v>
      </c>
      <c r="J260" s="2" t="s">
        <v>1016</v>
      </c>
      <c r="K260" s="2">
        <v>0</v>
      </c>
      <c r="L260" t="s">
        <v>35</v>
      </c>
      <c r="M260" t="s">
        <v>29</v>
      </c>
      <c r="N260" t="s">
        <v>30</v>
      </c>
      <c r="O260">
        <v>37219</v>
      </c>
      <c r="P260" t="s">
        <v>1017</v>
      </c>
      <c r="Q260" s="2">
        <v>0.76</v>
      </c>
      <c r="R260" s="2">
        <v>86</v>
      </c>
      <c r="S260" s="2">
        <v>384</v>
      </c>
      <c r="T260" t="s">
        <v>1018</v>
      </c>
      <c r="U260" s="6">
        <v>23489</v>
      </c>
      <c r="V260" s="2">
        <v>47037010901</v>
      </c>
      <c r="W260" s="2" t="s">
        <v>38</v>
      </c>
      <c r="X260" s="1">
        <v>45658</v>
      </c>
      <c r="Y260" s="2">
        <v>110000</v>
      </c>
      <c r="Z260" s="2">
        <v>0</v>
      </c>
      <c r="AA260" s="2">
        <v>110000</v>
      </c>
    </row>
    <row r="261" spans="1:27" x14ac:dyDescent="0.3">
      <c r="A261" s="4" t="s">
        <v>864</v>
      </c>
      <c r="B261" s="2" t="str">
        <f>"04115004000"</f>
        <v>04115004000</v>
      </c>
      <c r="C261" s="2" t="s">
        <v>1019</v>
      </c>
      <c r="D261" t="s">
        <v>29</v>
      </c>
      <c r="E261" s="2" t="s">
        <v>30</v>
      </c>
      <c r="F261" s="2">
        <v>37207</v>
      </c>
      <c r="G261" s="2" t="s">
        <v>64</v>
      </c>
      <c r="H261" t="s">
        <v>280</v>
      </c>
      <c r="I261" s="6">
        <v>41052</v>
      </c>
      <c r="J261" s="2" t="s">
        <v>1020</v>
      </c>
      <c r="K261" s="2">
        <v>0</v>
      </c>
      <c r="L261" t="s">
        <v>35</v>
      </c>
      <c r="M261" t="s">
        <v>29</v>
      </c>
      <c r="N261" t="s">
        <v>30</v>
      </c>
      <c r="O261">
        <v>37219</v>
      </c>
      <c r="P261" t="s">
        <v>1021</v>
      </c>
      <c r="Q261" s="2">
        <v>0.72</v>
      </c>
      <c r="R261" s="2">
        <v>89</v>
      </c>
      <c r="S261" s="2">
        <v>384</v>
      </c>
      <c r="T261" t="s">
        <v>1022</v>
      </c>
      <c r="U261" s="6">
        <v>22717</v>
      </c>
      <c r="V261" s="2">
        <v>47037010901</v>
      </c>
      <c r="W261" s="2" t="s">
        <v>38</v>
      </c>
      <c r="X261" s="1">
        <v>45658</v>
      </c>
      <c r="Y261" s="2">
        <v>110000</v>
      </c>
      <c r="Z261" s="2">
        <v>0</v>
      </c>
      <c r="AA261" s="2">
        <v>110000</v>
      </c>
    </row>
    <row r="262" spans="1:27" x14ac:dyDescent="0.3">
      <c r="A262" s="4" t="s">
        <v>864</v>
      </c>
      <c r="B262" s="2" t="str">
        <f>"04115003800"</f>
        <v>04115003800</v>
      </c>
      <c r="C262" s="2" t="s">
        <v>1023</v>
      </c>
      <c r="D262" t="s">
        <v>29</v>
      </c>
      <c r="E262" s="2" t="s">
        <v>30</v>
      </c>
      <c r="F262" s="2">
        <v>37207</v>
      </c>
      <c r="G262" s="2" t="s">
        <v>64</v>
      </c>
      <c r="H262" t="s">
        <v>280</v>
      </c>
      <c r="I262" s="6">
        <v>41030</v>
      </c>
      <c r="J262" s="2" t="s">
        <v>1024</v>
      </c>
      <c r="K262" s="2">
        <v>0</v>
      </c>
      <c r="L262" t="s">
        <v>35</v>
      </c>
      <c r="M262" t="s">
        <v>29</v>
      </c>
      <c r="N262" t="s">
        <v>30</v>
      </c>
      <c r="O262">
        <v>37219</v>
      </c>
      <c r="P262" t="s">
        <v>1025</v>
      </c>
      <c r="Q262" s="2">
        <v>0.83</v>
      </c>
      <c r="R262" s="2">
        <v>138</v>
      </c>
      <c r="S262" s="2">
        <v>321</v>
      </c>
      <c r="T262" t="s">
        <v>1026</v>
      </c>
      <c r="U262" s="6">
        <v>27016</v>
      </c>
      <c r="V262" s="2">
        <v>47037010901</v>
      </c>
      <c r="W262" s="2" t="s">
        <v>38</v>
      </c>
      <c r="X262" s="1">
        <v>45658</v>
      </c>
      <c r="Y262" s="2">
        <v>110000</v>
      </c>
      <c r="Z262" s="2">
        <v>0</v>
      </c>
      <c r="AA262" s="2">
        <v>110000</v>
      </c>
    </row>
    <row r="263" spans="1:27" x14ac:dyDescent="0.3">
      <c r="A263" s="4" t="s">
        <v>864</v>
      </c>
      <c r="B263" s="2" t="str">
        <f>"04115005700"</f>
        <v>04115005700</v>
      </c>
      <c r="C263" s="2" t="s">
        <v>1027</v>
      </c>
      <c r="D263" t="s">
        <v>29</v>
      </c>
      <c r="E263" s="2" t="s">
        <v>30</v>
      </c>
      <c r="F263" s="2">
        <v>37207</v>
      </c>
      <c r="G263" s="2" t="s">
        <v>64</v>
      </c>
      <c r="H263" t="s">
        <v>280</v>
      </c>
      <c r="I263" s="6">
        <v>41115</v>
      </c>
      <c r="J263" s="2" t="s">
        <v>1028</v>
      </c>
      <c r="K263" s="2">
        <v>0</v>
      </c>
      <c r="L263" t="s">
        <v>35</v>
      </c>
      <c r="M263" t="s">
        <v>29</v>
      </c>
      <c r="N263" t="s">
        <v>30</v>
      </c>
      <c r="O263">
        <v>37219</v>
      </c>
      <c r="P263" t="s">
        <v>1029</v>
      </c>
      <c r="Q263" s="2">
        <v>0.76</v>
      </c>
      <c r="R263" s="2">
        <v>103</v>
      </c>
      <c r="S263" s="2">
        <v>315</v>
      </c>
      <c r="T263" t="s">
        <v>1030</v>
      </c>
      <c r="U263" s="6">
        <v>25301</v>
      </c>
      <c r="V263" s="2">
        <v>47037010903</v>
      </c>
      <c r="W263" s="2" t="s">
        <v>837</v>
      </c>
      <c r="X263" s="1">
        <v>45658</v>
      </c>
      <c r="Y263" s="2">
        <v>85000</v>
      </c>
      <c r="Z263" s="2">
        <v>0</v>
      </c>
      <c r="AA263" s="2">
        <v>85000</v>
      </c>
    </row>
    <row r="264" spans="1:27" x14ac:dyDescent="0.3">
      <c r="A264" s="4" t="s">
        <v>864</v>
      </c>
      <c r="B264" s="2" t="str">
        <f>"04115005800"</f>
        <v>04115005800</v>
      </c>
      <c r="C264" s="2" t="s">
        <v>1031</v>
      </c>
      <c r="D264" t="s">
        <v>29</v>
      </c>
      <c r="E264" s="2" t="s">
        <v>30</v>
      </c>
      <c r="F264" s="2">
        <v>37207</v>
      </c>
      <c r="G264" s="2" t="s">
        <v>64</v>
      </c>
      <c r="H264" t="s">
        <v>280</v>
      </c>
      <c r="I264" s="6">
        <v>41001</v>
      </c>
      <c r="J264" s="2" t="s">
        <v>1032</v>
      </c>
      <c r="K264" s="2">
        <v>0</v>
      </c>
      <c r="L264" t="s">
        <v>35</v>
      </c>
      <c r="M264" t="s">
        <v>29</v>
      </c>
      <c r="N264" t="s">
        <v>30</v>
      </c>
      <c r="O264">
        <v>37219</v>
      </c>
      <c r="P264" t="s">
        <v>1033</v>
      </c>
      <c r="Q264" s="2">
        <v>0.8</v>
      </c>
      <c r="R264" s="2">
        <v>101</v>
      </c>
      <c r="S264" s="2">
        <v>321</v>
      </c>
      <c r="T264" t="s">
        <v>1034</v>
      </c>
      <c r="U264" s="6">
        <v>27268</v>
      </c>
      <c r="V264" s="2">
        <v>47037010903</v>
      </c>
      <c r="W264" s="2" t="s">
        <v>837</v>
      </c>
      <c r="X264" s="1">
        <v>45658</v>
      </c>
      <c r="Y264" s="2">
        <v>85000</v>
      </c>
      <c r="Z264" s="2">
        <v>0</v>
      </c>
      <c r="AA264" s="2">
        <v>85000</v>
      </c>
    </row>
    <row r="265" spans="1:27" x14ac:dyDescent="0.3">
      <c r="A265" s="4" t="s">
        <v>864</v>
      </c>
      <c r="B265" s="2" t="str">
        <f>"05104003100"</f>
        <v>05104003100</v>
      </c>
      <c r="C265" s="2" t="s">
        <v>1035</v>
      </c>
      <c r="D265" t="s">
        <v>866</v>
      </c>
      <c r="E265" s="2" t="s">
        <v>30</v>
      </c>
      <c r="F265" s="2">
        <v>37115</v>
      </c>
      <c r="G265" s="2" t="s">
        <v>64</v>
      </c>
      <c r="H265" t="s">
        <v>280</v>
      </c>
      <c r="I265" s="6">
        <v>42528</v>
      </c>
      <c r="J265" s="2" t="s">
        <v>1036</v>
      </c>
      <c r="K265" s="2">
        <v>0</v>
      </c>
      <c r="L265" t="s">
        <v>35</v>
      </c>
      <c r="M265" t="s">
        <v>29</v>
      </c>
      <c r="N265" t="s">
        <v>30</v>
      </c>
      <c r="O265">
        <v>37219</v>
      </c>
      <c r="P265" t="s">
        <v>1037</v>
      </c>
      <c r="Q265" s="2">
        <v>0.27</v>
      </c>
      <c r="R265" s="2">
        <v>60</v>
      </c>
      <c r="S265" s="2">
        <v>214</v>
      </c>
      <c r="T265" t="s">
        <v>1038</v>
      </c>
      <c r="U265" s="6">
        <v>26098</v>
      </c>
      <c r="V265" s="2">
        <v>47037010802</v>
      </c>
      <c r="W265" s="2" t="s">
        <v>837</v>
      </c>
      <c r="X265" s="1">
        <v>45658</v>
      </c>
      <c r="Y265" s="2">
        <v>97500</v>
      </c>
      <c r="Z265" s="2">
        <v>0</v>
      </c>
      <c r="AA265" s="2">
        <v>97500</v>
      </c>
    </row>
    <row r="266" spans="1:27" x14ac:dyDescent="0.3">
      <c r="A266" s="4" t="s">
        <v>864</v>
      </c>
      <c r="B266" s="2" t="str">
        <f>"05104002900"</f>
        <v>05104002900</v>
      </c>
      <c r="C266" s="2" t="s">
        <v>1039</v>
      </c>
      <c r="D266" t="s">
        <v>866</v>
      </c>
      <c r="E266" s="2" t="s">
        <v>30</v>
      </c>
      <c r="F266" s="2">
        <v>37115</v>
      </c>
      <c r="G266" s="2" t="s">
        <v>64</v>
      </c>
      <c r="H266" t="s">
        <v>280</v>
      </c>
      <c r="I266" s="6">
        <v>42552</v>
      </c>
      <c r="J266" s="2" t="s">
        <v>1040</v>
      </c>
      <c r="K266" s="2">
        <v>0</v>
      </c>
      <c r="L266" t="s">
        <v>1041</v>
      </c>
      <c r="M266" t="s">
        <v>29</v>
      </c>
      <c r="N266" t="s">
        <v>30</v>
      </c>
      <c r="O266">
        <v>37201</v>
      </c>
      <c r="P266" t="s">
        <v>1042</v>
      </c>
      <c r="Q266" s="2">
        <v>0.3</v>
      </c>
      <c r="R266" s="2">
        <v>60</v>
      </c>
      <c r="S266" s="2">
        <v>214</v>
      </c>
      <c r="T266" t="s">
        <v>1043</v>
      </c>
      <c r="U266" s="6">
        <v>24226</v>
      </c>
      <c r="V266" s="2">
        <v>47037010802</v>
      </c>
      <c r="W266" s="2" t="s">
        <v>837</v>
      </c>
      <c r="X266" s="1">
        <v>45658</v>
      </c>
      <c r="Y266" s="2">
        <v>97500</v>
      </c>
      <c r="Z266" s="2">
        <v>0</v>
      </c>
      <c r="AA266" s="2">
        <v>97500</v>
      </c>
    </row>
    <row r="267" spans="1:27" x14ac:dyDescent="0.3">
      <c r="A267" s="4" t="s">
        <v>864</v>
      </c>
      <c r="B267" s="2" t="str">
        <f>"05104002800"</f>
        <v>05104002800</v>
      </c>
      <c r="C267" s="2" t="s">
        <v>1044</v>
      </c>
      <c r="D267" t="s">
        <v>866</v>
      </c>
      <c r="E267" s="2" t="s">
        <v>30</v>
      </c>
      <c r="F267" s="2">
        <v>37115</v>
      </c>
      <c r="G267" s="2" t="s">
        <v>64</v>
      </c>
      <c r="H267" t="s">
        <v>280</v>
      </c>
      <c r="I267" s="6">
        <v>42524</v>
      </c>
      <c r="J267" s="2" t="s">
        <v>1045</v>
      </c>
      <c r="K267" s="2">
        <v>0</v>
      </c>
      <c r="L267" t="s">
        <v>35</v>
      </c>
      <c r="M267" t="s">
        <v>29</v>
      </c>
      <c r="N267" t="s">
        <v>30</v>
      </c>
      <c r="O267">
        <v>37219</v>
      </c>
      <c r="P267" t="s">
        <v>1046</v>
      </c>
      <c r="Q267" s="2">
        <v>0.35</v>
      </c>
      <c r="R267" s="2">
        <v>62</v>
      </c>
      <c r="S267" s="2">
        <v>213</v>
      </c>
      <c r="T267" t="s">
        <v>1047</v>
      </c>
      <c r="U267" s="6">
        <v>26539</v>
      </c>
      <c r="V267" s="2">
        <v>47037010802</v>
      </c>
      <c r="W267" s="2" t="s">
        <v>837</v>
      </c>
      <c r="X267" s="1">
        <v>45658</v>
      </c>
      <c r="Y267" s="2">
        <v>97500</v>
      </c>
      <c r="Z267" s="2">
        <v>0</v>
      </c>
      <c r="AA267" s="2">
        <v>97500</v>
      </c>
    </row>
    <row r="268" spans="1:27" x14ac:dyDescent="0.3">
      <c r="A268" s="4" t="s">
        <v>864</v>
      </c>
      <c r="B268" s="2" t="str">
        <f>"05104004900"</f>
        <v>05104004900</v>
      </c>
      <c r="C268" s="2" t="s">
        <v>1048</v>
      </c>
      <c r="D268" t="s">
        <v>866</v>
      </c>
      <c r="E268" s="2" t="s">
        <v>30</v>
      </c>
      <c r="F268" s="2">
        <v>37115</v>
      </c>
      <c r="G268" s="2" t="s">
        <v>64</v>
      </c>
      <c r="H268" t="s">
        <v>280</v>
      </c>
      <c r="I268" s="6">
        <v>42530</v>
      </c>
      <c r="J268" s="2" t="s">
        <v>1049</v>
      </c>
      <c r="K268" s="2">
        <v>0</v>
      </c>
      <c r="L268" t="s">
        <v>35</v>
      </c>
      <c r="M268" t="s">
        <v>29</v>
      </c>
      <c r="N268" t="s">
        <v>30</v>
      </c>
      <c r="O268">
        <v>37219</v>
      </c>
      <c r="P268" t="s">
        <v>1050</v>
      </c>
      <c r="Q268" s="2">
        <v>0.45</v>
      </c>
      <c r="R268" s="2">
        <v>60</v>
      </c>
      <c r="S268" s="2">
        <v>340</v>
      </c>
      <c r="T268" t="s">
        <v>1051</v>
      </c>
      <c r="U268" s="6">
        <v>25710</v>
      </c>
      <c r="V268" s="2">
        <v>47037010802</v>
      </c>
      <c r="W268" s="2" t="s">
        <v>837</v>
      </c>
      <c r="X268" s="1">
        <v>45658</v>
      </c>
      <c r="Y268" s="2">
        <v>97500</v>
      </c>
      <c r="Z268" s="2">
        <v>0</v>
      </c>
      <c r="AA268" s="2">
        <v>97500</v>
      </c>
    </row>
    <row r="269" spans="1:27" x14ac:dyDescent="0.3">
      <c r="A269" s="4" t="s">
        <v>864</v>
      </c>
      <c r="B269" s="2" t="str">
        <f>"05104004800"</f>
        <v>05104004800</v>
      </c>
      <c r="C269" s="2" t="s">
        <v>1052</v>
      </c>
      <c r="D269" t="s">
        <v>866</v>
      </c>
      <c r="E269" s="2" t="s">
        <v>30</v>
      </c>
      <c r="F269" s="2">
        <v>37115</v>
      </c>
      <c r="G269" s="2" t="s">
        <v>64</v>
      </c>
      <c r="H269" t="s">
        <v>280</v>
      </c>
      <c r="I269" s="6">
        <v>42552</v>
      </c>
      <c r="J269" s="2" t="s">
        <v>1053</v>
      </c>
      <c r="K269" s="2">
        <v>0</v>
      </c>
      <c r="L269" t="s">
        <v>1041</v>
      </c>
      <c r="M269" t="s">
        <v>29</v>
      </c>
      <c r="N269" t="s">
        <v>30</v>
      </c>
      <c r="O269">
        <v>37201</v>
      </c>
      <c r="P269" t="s">
        <v>1054</v>
      </c>
      <c r="Q269" s="2">
        <v>0.43</v>
      </c>
      <c r="R269" s="2">
        <v>60</v>
      </c>
      <c r="S269" s="2">
        <v>327</v>
      </c>
      <c r="T269" t="s">
        <v>1055</v>
      </c>
      <c r="U269" s="6">
        <v>21627</v>
      </c>
      <c r="V269" s="2">
        <v>47037010802</v>
      </c>
      <c r="W269" s="2" t="s">
        <v>837</v>
      </c>
      <c r="X269" s="1">
        <v>45658</v>
      </c>
      <c r="Y269" s="2">
        <v>97500</v>
      </c>
      <c r="Z269" s="2">
        <v>0</v>
      </c>
      <c r="AA269" s="2">
        <v>97500</v>
      </c>
    </row>
    <row r="270" spans="1:27" x14ac:dyDescent="0.3">
      <c r="A270" s="4" t="s">
        <v>864</v>
      </c>
      <c r="B270" s="2" t="str">
        <f>"05104005000"</f>
        <v>05104005000</v>
      </c>
      <c r="C270" s="2" t="s">
        <v>1056</v>
      </c>
      <c r="D270" t="s">
        <v>866</v>
      </c>
      <c r="E270" s="2" t="s">
        <v>30</v>
      </c>
      <c r="F270" s="2">
        <v>37115</v>
      </c>
      <c r="G270" s="2" t="s">
        <v>64</v>
      </c>
      <c r="H270" t="s">
        <v>280</v>
      </c>
      <c r="I270" s="6">
        <v>42558</v>
      </c>
      <c r="J270" s="2" t="s">
        <v>1057</v>
      </c>
      <c r="K270" s="2">
        <v>0</v>
      </c>
      <c r="L270" t="s">
        <v>1041</v>
      </c>
      <c r="M270" t="s">
        <v>29</v>
      </c>
      <c r="N270" t="s">
        <v>30</v>
      </c>
      <c r="O270">
        <v>37201</v>
      </c>
      <c r="P270" t="s">
        <v>1058</v>
      </c>
      <c r="Q270" s="2">
        <v>0.45</v>
      </c>
      <c r="R270" s="2">
        <v>60</v>
      </c>
      <c r="S270" s="2">
        <v>352</v>
      </c>
      <c r="T270" t="s">
        <v>1059</v>
      </c>
      <c r="U270" s="6">
        <v>26617</v>
      </c>
      <c r="V270" s="2">
        <v>47037010802</v>
      </c>
      <c r="W270" s="2" t="s">
        <v>837</v>
      </c>
      <c r="X270" s="1">
        <v>45658</v>
      </c>
      <c r="Y270" s="2">
        <v>97500</v>
      </c>
      <c r="Z270" s="2">
        <v>0</v>
      </c>
      <c r="AA270" s="2">
        <v>97500</v>
      </c>
    </row>
    <row r="271" spans="1:27" x14ac:dyDescent="0.3">
      <c r="A271" s="4" t="s">
        <v>864</v>
      </c>
      <c r="B271" s="2" t="str">
        <f>"05000002200"</f>
        <v>05000002200</v>
      </c>
      <c r="C271" s="2" t="s">
        <v>1060</v>
      </c>
      <c r="D271" t="s">
        <v>29</v>
      </c>
      <c r="E271" s="2" t="s">
        <v>30</v>
      </c>
      <c r="F271" s="2">
        <v>37207</v>
      </c>
      <c r="G271" s="2" t="s">
        <v>64</v>
      </c>
      <c r="H271" t="s">
        <v>280</v>
      </c>
      <c r="I271" s="6">
        <v>42074</v>
      </c>
      <c r="J271" s="2" t="s">
        <v>1061</v>
      </c>
      <c r="K271" s="2">
        <v>0</v>
      </c>
      <c r="L271" t="s">
        <v>35</v>
      </c>
      <c r="M271" t="s">
        <v>29</v>
      </c>
      <c r="N271" t="s">
        <v>30</v>
      </c>
      <c r="O271">
        <v>37219</v>
      </c>
      <c r="P271" t="s">
        <v>1062</v>
      </c>
      <c r="Q271" s="2">
        <v>7.85</v>
      </c>
      <c r="R271" s="2">
        <v>0</v>
      </c>
      <c r="S271" s="2">
        <v>0</v>
      </c>
      <c r="T271" t="s">
        <v>1063</v>
      </c>
      <c r="U271" s="6">
        <v>19977</v>
      </c>
      <c r="V271" s="2">
        <v>47037010904</v>
      </c>
      <c r="W271" s="2" t="s">
        <v>68</v>
      </c>
      <c r="X271" s="1">
        <v>45658</v>
      </c>
      <c r="Y271" s="2">
        <v>189500</v>
      </c>
      <c r="Z271" s="2">
        <v>0</v>
      </c>
      <c r="AA271" s="2">
        <v>189500</v>
      </c>
    </row>
    <row r="272" spans="1:27" x14ac:dyDescent="0.3">
      <c r="A272" s="4" t="s">
        <v>864</v>
      </c>
      <c r="B272" s="2" t="str">
        <f>"03100004900"</f>
        <v>03100004900</v>
      </c>
      <c r="C272" s="2" t="s">
        <v>1064</v>
      </c>
      <c r="D272" t="s">
        <v>103</v>
      </c>
      <c r="E272" s="2" t="s">
        <v>30</v>
      </c>
      <c r="F272" s="2">
        <v>37189</v>
      </c>
      <c r="G272" s="2" t="s">
        <v>31</v>
      </c>
      <c r="H272" t="s">
        <v>280</v>
      </c>
      <c r="I272" s="6">
        <v>40890</v>
      </c>
      <c r="J272" s="2" t="s">
        <v>1065</v>
      </c>
      <c r="K272" s="2">
        <v>0</v>
      </c>
      <c r="L272" t="s">
        <v>35</v>
      </c>
      <c r="M272" t="s">
        <v>29</v>
      </c>
      <c r="N272" t="s">
        <v>30</v>
      </c>
      <c r="O272">
        <v>37219</v>
      </c>
      <c r="P272" t="s">
        <v>1066</v>
      </c>
      <c r="Q272" s="2">
        <v>3.58</v>
      </c>
      <c r="R272" s="2">
        <v>0</v>
      </c>
      <c r="S272" s="2">
        <v>0</v>
      </c>
      <c r="T272" t="s">
        <v>1067</v>
      </c>
      <c r="U272" s="6">
        <v>26186</v>
      </c>
      <c r="V272" s="2">
        <v>47037010201</v>
      </c>
      <c r="W272" s="2" t="s">
        <v>38</v>
      </c>
      <c r="X272" s="1">
        <v>45658</v>
      </c>
      <c r="Y272" s="2">
        <v>5400</v>
      </c>
      <c r="Z272" s="2">
        <v>0</v>
      </c>
      <c r="AA272" s="2">
        <v>5400</v>
      </c>
    </row>
    <row r="273" spans="1:27" x14ac:dyDescent="0.3">
      <c r="A273" s="4" t="s">
        <v>864</v>
      </c>
      <c r="B273" s="2" t="str">
        <f>"05104017600"</f>
        <v>05104017600</v>
      </c>
      <c r="C273" s="2" t="s">
        <v>1068</v>
      </c>
      <c r="D273" t="s">
        <v>866</v>
      </c>
      <c r="E273" s="2" t="s">
        <v>30</v>
      </c>
      <c r="F273" s="2">
        <v>37115</v>
      </c>
      <c r="G273" s="2" t="s">
        <v>64</v>
      </c>
      <c r="H273" t="s">
        <v>280</v>
      </c>
      <c r="I273" s="6">
        <v>42578</v>
      </c>
      <c r="J273" s="2" t="s">
        <v>1069</v>
      </c>
      <c r="K273" s="2" t="s">
        <v>34</v>
      </c>
      <c r="L273" t="s">
        <v>343</v>
      </c>
      <c r="M273" t="s">
        <v>29</v>
      </c>
      <c r="N273" t="s">
        <v>30</v>
      </c>
      <c r="O273">
        <v>37201</v>
      </c>
      <c r="P273" t="s">
        <v>1070</v>
      </c>
      <c r="Q273" s="2">
        <v>0.71</v>
      </c>
      <c r="R273" s="2">
        <v>72</v>
      </c>
      <c r="S273" s="2">
        <v>381</v>
      </c>
      <c r="T273" t="s">
        <v>1071</v>
      </c>
      <c r="U273" s="6">
        <v>29259</v>
      </c>
      <c r="V273" s="2">
        <v>47037010802</v>
      </c>
      <c r="W273" s="2" t="s">
        <v>837</v>
      </c>
      <c r="X273" s="1">
        <v>45658</v>
      </c>
      <c r="Y273" s="2">
        <v>102400</v>
      </c>
      <c r="Z273" s="2">
        <v>0</v>
      </c>
      <c r="AA273" s="2">
        <v>102400</v>
      </c>
    </row>
    <row r="274" spans="1:27" x14ac:dyDescent="0.3">
      <c r="A274" s="4" t="s">
        <v>864</v>
      </c>
      <c r="B274" s="2" t="str">
        <f>"05108000100"</f>
        <v>05108000100</v>
      </c>
      <c r="C274" s="2" t="s">
        <v>1072</v>
      </c>
      <c r="D274" t="s">
        <v>866</v>
      </c>
      <c r="E274" s="2" t="s">
        <v>30</v>
      </c>
      <c r="F274" s="2">
        <v>37115</v>
      </c>
      <c r="G274" s="2" t="s">
        <v>64</v>
      </c>
      <c r="H274" t="s">
        <v>280</v>
      </c>
      <c r="I274" s="6">
        <v>42543</v>
      </c>
      <c r="J274" s="2" t="s">
        <v>1073</v>
      </c>
      <c r="K274" s="2">
        <v>0</v>
      </c>
      <c r="L274" t="s">
        <v>1041</v>
      </c>
      <c r="M274" t="s">
        <v>29</v>
      </c>
      <c r="N274" t="s">
        <v>30</v>
      </c>
      <c r="O274">
        <v>37201</v>
      </c>
      <c r="P274" t="s">
        <v>1074</v>
      </c>
      <c r="Q274" s="2">
        <v>1</v>
      </c>
      <c r="R274" s="2">
        <v>159</v>
      </c>
      <c r="S274" s="2">
        <v>256</v>
      </c>
      <c r="T274" t="s">
        <v>1071</v>
      </c>
      <c r="U274" s="6">
        <v>29259</v>
      </c>
      <c r="V274" s="2">
        <v>47037010802</v>
      </c>
      <c r="W274" s="2" t="s">
        <v>837</v>
      </c>
      <c r="X274" s="1">
        <v>45658</v>
      </c>
      <c r="Y274" s="2">
        <v>108800</v>
      </c>
      <c r="Z274" s="2">
        <v>0</v>
      </c>
      <c r="AA274" s="2">
        <v>108800</v>
      </c>
    </row>
    <row r="275" spans="1:27" x14ac:dyDescent="0.3">
      <c r="A275" s="4" t="s">
        <v>864</v>
      </c>
      <c r="B275" s="2" t="str">
        <f>"03100003700"</f>
        <v>03100003700</v>
      </c>
      <c r="C275" s="2" t="s">
        <v>1075</v>
      </c>
      <c r="D275" t="s">
        <v>103</v>
      </c>
      <c r="E275" s="2" t="s">
        <v>30</v>
      </c>
      <c r="F275" s="2">
        <v>37189</v>
      </c>
      <c r="G275" s="2" t="s">
        <v>31</v>
      </c>
      <c r="H275" t="s">
        <v>280</v>
      </c>
      <c r="I275" s="6">
        <v>40955</v>
      </c>
      <c r="J275" s="2" t="s">
        <v>1076</v>
      </c>
      <c r="K275" s="2">
        <v>0</v>
      </c>
      <c r="L275" t="s">
        <v>35</v>
      </c>
      <c r="M275" t="s">
        <v>29</v>
      </c>
      <c r="N275" t="s">
        <v>30</v>
      </c>
      <c r="O275">
        <v>37219</v>
      </c>
      <c r="P275" t="s">
        <v>1077</v>
      </c>
      <c r="Q275" s="2">
        <v>6.85</v>
      </c>
      <c r="R275" s="2">
        <v>0</v>
      </c>
      <c r="S275" s="2">
        <v>0</v>
      </c>
      <c r="T275" t="s">
        <v>1078</v>
      </c>
      <c r="U275" s="6">
        <v>20579</v>
      </c>
      <c r="V275" s="2">
        <v>47037010201</v>
      </c>
      <c r="W275" s="2" t="s">
        <v>38</v>
      </c>
      <c r="X275" s="1">
        <v>45658</v>
      </c>
      <c r="Y275" s="2">
        <v>170800</v>
      </c>
      <c r="Z275" s="2">
        <v>0</v>
      </c>
      <c r="AA275" s="2">
        <v>170800</v>
      </c>
    </row>
    <row r="276" spans="1:27" x14ac:dyDescent="0.3">
      <c r="A276" s="4" t="s">
        <v>864</v>
      </c>
      <c r="B276" s="2" t="str">
        <f>"03100007700"</f>
        <v>03100007700</v>
      </c>
      <c r="C276" s="2" t="s">
        <v>1079</v>
      </c>
      <c r="D276" t="s">
        <v>103</v>
      </c>
      <c r="E276" s="2" t="s">
        <v>30</v>
      </c>
      <c r="F276" s="2">
        <v>37189</v>
      </c>
      <c r="G276" s="2" t="s">
        <v>31</v>
      </c>
      <c r="H276" t="s">
        <v>280</v>
      </c>
      <c r="I276" s="6">
        <v>40897</v>
      </c>
      <c r="J276" s="2" t="s">
        <v>1080</v>
      </c>
      <c r="K276" s="2">
        <v>0</v>
      </c>
      <c r="L276" t="s">
        <v>35</v>
      </c>
      <c r="M276" t="s">
        <v>29</v>
      </c>
      <c r="N276" t="s">
        <v>30</v>
      </c>
      <c r="O276">
        <v>37219</v>
      </c>
      <c r="P276" t="s">
        <v>1081</v>
      </c>
      <c r="Q276" s="2">
        <v>2.0499999999999998</v>
      </c>
      <c r="R276" s="2">
        <v>0</v>
      </c>
      <c r="S276" s="2">
        <v>0</v>
      </c>
      <c r="T276" t="s">
        <v>1082</v>
      </c>
      <c r="U276" s="6">
        <v>26788</v>
      </c>
      <c r="V276" s="2">
        <v>47037010201</v>
      </c>
      <c r="W276" s="2" t="s">
        <v>38</v>
      </c>
      <c r="X276" s="1">
        <v>45658</v>
      </c>
      <c r="Y276" s="2">
        <v>3100</v>
      </c>
      <c r="Z276" s="2">
        <v>0</v>
      </c>
      <c r="AA276" s="2">
        <v>3100</v>
      </c>
    </row>
    <row r="277" spans="1:27" x14ac:dyDescent="0.3">
      <c r="A277" s="4" t="s">
        <v>864</v>
      </c>
      <c r="B277" s="2" t="str">
        <f>"05104003000"</f>
        <v>05104003000</v>
      </c>
      <c r="C277" s="2" t="s">
        <v>1083</v>
      </c>
      <c r="D277" t="s">
        <v>866</v>
      </c>
      <c r="E277" s="2" t="s">
        <v>30</v>
      </c>
      <c r="F277" s="2">
        <v>37115</v>
      </c>
      <c r="G277" s="2" t="s">
        <v>64</v>
      </c>
      <c r="H277" t="s">
        <v>1084</v>
      </c>
      <c r="I277" s="6">
        <v>42548</v>
      </c>
      <c r="J277" s="2" t="s">
        <v>1085</v>
      </c>
      <c r="K277" s="2">
        <v>0</v>
      </c>
      <c r="L277" t="s">
        <v>35</v>
      </c>
      <c r="M277" t="s">
        <v>29</v>
      </c>
      <c r="N277" t="s">
        <v>30</v>
      </c>
      <c r="O277">
        <v>37219</v>
      </c>
      <c r="P277" t="s">
        <v>1086</v>
      </c>
      <c r="Q277" s="2">
        <v>0.27</v>
      </c>
      <c r="R277" s="2">
        <v>60</v>
      </c>
      <c r="S277" s="2">
        <v>214</v>
      </c>
      <c r="T277" t="s">
        <v>1087</v>
      </c>
      <c r="U277" s="6">
        <v>26605</v>
      </c>
      <c r="V277" s="2">
        <v>47037010802</v>
      </c>
      <c r="W277" s="2" t="s">
        <v>837</v>
      </c>
      <c r="X277" s="1">
        <v>45658</v>
      </c>
      <c r="Y277" s="2">
        <v>97500</v>
      </c>
      <c r="Z277" s="2">
        <v>0</v>
      </c>
      <c r="AA277" s="2">
        <v>97500</v>
      </c>
    </row>
    <row r="278" spans="1:27" x14ac:dyDescent="0.3">
      <c r="A278" s="4" t="s">
        <v>864</v>
      </c>
      <c r="B278" s="2" t="str">
        <f>"05104004700"</f>
        <v>05104004700</v>
      </c>
      <c r="C278" s="2" t="s">
        <v>1088</v>
      </c>
      <c r="D278" t="s">
        <v>866</v>
      </c>
      <c r="E278" s="2" t="s">
        <v>30</v>
      </c>
      <c r="F278" s="2">
        <v>37115</v>
      </c>
      <c r="G278" s="2" t="s">
        <v>77</v>
      </c>
      <c r="H278" t="s">
        <v>1084</v>
      </c>
      <c r="I278" s="6">
        <v>42528</v>
      </c>
      <c r="J278" s="2" t="s">
        <v>1089</v>
      </c>
      <c r="K278" s="2">
        <v>0</v>
      </c>
      <c r="L278" t="s">
        <v>35</v>
      </c>
      <c r="M278" t="s">
        <v>29</v>
      </c>
      <c r="N278" t="s">
        <v>30</v>
      </c>
      <c r="O278">
        <v>37219</v>
      </c>
      <c r="P278" t="s">
        <v>1090</v>
      </c>
      <c r="Q278" s="2">
        <v>0.43</v>
      </c>
      <c r="R278" s="2">
        <v>60</v>
      </c>
      <c r="S278" s="2">
        <v>314</v>
      </c>
      <c r="T278" t="s">
        <v>1091</v>
      </c>
      <c r="U278" s="6">
        <v>24245</v>
      </c>
      <c r="V278" s="2">
        <v>47037010802</v>
      </c>
      <c r="W278" s="2" t="s">
        <v>837</v>
      </c>
      <c r="X278" s="1">
        <v>45658</v>
      </c>
      <c r="Y278" s="2">
        <v>102000</v>
      </c>
      <c r="Z278" s="2">
        <v>4500</v>
      </c>
      <c r="AA278" s="2">
        <v>97500</v>
      </c>
    </row>
    <row r="279" spans="1:27" x14ac:dyDescent="0.3">
      <c r="A279" s="4" t="s">
        <v>864</v>
      </c>
      <c r="B279" s="2" t="str">
        <f>"05000001400"</f>
        <v>05000001400</v>
      </c>
      <c r="C279" s="2" t="s">
        <v>1092</v>
      </c>
      <c r="D279" t="s">
        <v>29</v>
      </c>
      <c r="E279" s="2" t="s">
        <v>30</v>
      </c>
      <c r="F279" s="2">
        <v>37207</v>
      </c>
      <c r="G279" s="2" t="s">
        <v>64</v>
      </c>
      <c r="H279" t="s">
        <v>1084</v>
      </c>
      <c r="I279" s="6">
        <v>44922</v>
      </c>
      <c r="J279" s="2" t="s">
        <v>1093</v>
      </c>
      <c r="K279" s="2">
        <v>323000</v>
      </c>
      <c r="L279" t="s">
        <v>1041</v>
      </c>
      <c r="M279" t="s">
        <v>29</v>
      </c>
      <c r="N279" t="s">
        <v>30</v>
      </c>
      <c r="O279">
        <v>37201</v>
      </c>
      <c r="P279" t="s">
        <v>1094</v>
      </c>
      <c r="Q279" s="2">
        <v>1</v>
      </c>
      <c r="R279" s="2">
        <v>229</v>
      </c>
      <c r="S279" s="2">
        <v>180</v>
      </c>
      <c r="T279" t="s">
        <v>1095</v>
      </c>
      <c r="U279" s="6">
        <v>24777</v>
      </c>
      <c r="V279" s="2">
        <v>47037010903</v>
      </c>
      <c r="W279" s="2" t="s">
        <v>38</v>
      </c>
      <c r="X279" s="1">
        <v>45658</v>
      </c>
      <c r="Y279" s="2">
        <v>55000</v>
      </c>
      <c r="Z279" s="2">
        <v>0</v>
      </c>
      <c r="AA279" s="2">
        <v>55000</v>
      </c>
    </row>
    <row r="280" spans="1:27" x14ac:dyDescent="0.3">
      <c r="A280" s="4" t="s">
        <v>864</v>
      </c>
      <c r="B280" s="2" t="str">
        <f>"03100004800"</f>
        <v>03100004800</v>
      </c>
      <c r="C280" s="2" t="s">
        <v>1096</v>
      </c>
      <c r="D280" t="s">
        <v>103</v>
      </c>
      <c r="E280" s="2" t="s">
        <v>30</v>
      </c>
      <c r="F280" s="2">
        <v>37189</v>
      </c>
      <c r="G280" s="2" t="s">
        <v>31</v>
      </c>
      <c r="H280" t="s">
        <v>379</v>
      </c>
      <c r="I280" s="6">
        <v>44641</v>
      </c>
      <c r="J280" s="2" t="s">
        <v>1097</v>
      </c>
      <c r="K280" s="2" t="s">
        <v>34</v>
      </c>
      <c r="L280" t="s">
        <v>315</v>
      </c>
      <c r="M280" t="s">
        <v>29</v>
      </c>
      <c r="N280" t="s">
        <v>30</v>
      </c>
      <c r="O280">
        <v>37208</v>
      </c>
      <c r="P280" t="s">
        <v>1009</v>
      </c>
      <c r="Q280" s="2">
        <v>0.72</v>
      </c>
      <c r="R280" s="2">
        <v>110</v>
      </c>
      <c r="S280" s="2">
        <v>250</v>
      </c>
      <c r="T280" t="s">
        <v>1098</v>
      </c>
      <c r="U280" s="6">
        <v>25202</v>
      </c>
      <c r="V280" s="2">
        <v>47037010201</v>
      </c>
      <c r="W280" s="2" t="s">
        <v>38</v>
      </c>
      <c r="X280" s="1">
        <v>45658</v>
      </c>
      <c r="Y280" s="2">
        <v>55000</v>
      </c>
      <c r="Z280" s="2">
        <v>0</v>
      </c>
      <c r="AA280" s="2">
        <v>55000</v>
      </c>
    </row>
    <row r="281" spans="1:27" x14ac:dyDescent="0.3">
      <c r="A281" s="4" t="s">
        <v>864</v>
      </c>
      <c r="B281" s="2" t="str">
        <f>"05000010200"</f>
        <v>05000010200</v>
      </c>
      <c r="C281" s="2" t="s">
        <v>517</v>
      </c>
      <c r="D281" t="s">
        <v>29</v>
      </c>
      <c r="E281" s="2" t="s">
        <v>30</v>
      </c>
      <c r="F281" s="2">
        <v>37207</v>
      </c>
      <c r="G281" s="2" t="s">
        <v>64</v>
      </c>
      <c r="H281" t="s">
        <v>379</v>
      </c>
      <c r="I281" s="6">
        <v>42867</v>
      </c>
      <c r="J281" s="2" t="s">
        <v>1099</v>
      </c>
      <c r="K281" s="2">
        <v>0</v>
      </c>
      <c r="L281" t="s">
        <v>343</v>
      </c>
      <c r="M281" t="s">
        <v>29</v>
      </c>
      <c r="N281" t="s">
        <v>30</v>
      </c>
      <c r="O281">
        <v>37201</v>
      </c>
      <c r="P281" t="s">
        <v>1100</v>
      </c>
      <c r="Q281" s="2">
        <v>0.51</v>
      </c>
      <c r="R281" s="2">
        <v>90</v>
      </c>
      <c r="S281" s="2">
        <v>265</v>
      </c>
      <c r="T281" t="s">
        <v>1101</v>
      </c>
      <c r="U281" s="6">
        <v>27526</v>
      </c>
      <c r="V281" s="2">
        <v>47037010903</v>
      </c>
      <c r="W281" s="2" t="s">
        <v>38</v>
      </c>
      <c r="X281" s="1">
        <v>45658</v>
      </c>
      <c r="Y281" s="2">
        <v>37500</v>
      </c>
      <c r="Z281" s="2">
        <v>0</v>
      </c>
      <c r="AA281" s="2">
        <v>37500</v>
      </c>
    </row>
    <row r="282" spans="1:27" x14ac:dyDescent="0.3">
      <c r="A282" s="4" t="s">
        <v>864</v>
      </c>
      <c r="B282" s="2" t="str">
        <f>"05000001500"</f>
        <v>05000001500</v>
      </c>
      <c r="C282" s="2" t="s">
        <v>1102</v>
      </c>
      <c r="D282" t="s">
        <v>29</v>
      </c>
      <c r="E282" s="2" t="s">
        <v>30</v>
      </c>
      <c r="F282" s="2">
        <v>37207</v>
      </c>
      <c r="G282" s="2" t="s">
        <v>194</v>
      </c>
      <c r="H282" t="s">
        <v>379</v>
      </c>
      <c r="I282" s="6">
        <v>45145</v>
      </c>
      <c r="J282" s="2" t="s">
        <v>1103</v>
      </c>
      <c r="K282" s="2" t="s">
        <v>34</v>
      </c>
      <c r="L282" t="s">
        <v>1104</v>
      </c>
      <c r="M282" t="s">
        <v>29</v>
      </c>
      <c r="N282" t="s">
        <v>30</v>
      </c>
      <c r="O282">
        <v>37203</v>
      </c>
      <c r="P282" t="s">
        <v>1094</v>
      </c>
      <c r="Q282" s="2">
        <v>0.8</v>
      </c>
      <c r="R282" s="2">
        <v>337</v>
      </c>
      <c r="S282" s="2">
        <v>170</v>
      </c>
      <c r="T282" t="s">
        <v>1105</v>
      </c>
      <c r="U282" s="6">
        <v>34276</v>
      </c>
      <c r="V282" s="2">
        <v>47037010903</v>
      </c>
      <c r="W282" s="2" t="s">
        <v>38</v>
      </c>
      <c r="X282" s="1">
        <v>45658</v>
      </c>
      <c r="Y282" s="2">
        <v>90000</v>
      </c>
      <c r="Z282" s="2">
        <v>0</v>
      </c>
      <c r="AA282" s="2">
        <v>90000</v>
      </c>
    </row>
    <row r="283" spans="1:27" x14ac:dyDescent="0.3">
      <c r="A283" s="4" t="s">
        <v>864</v>
      </c>
      <c r="B283" s="2" t="str">
        <f>"05000001300"</f>
        <v>05000001300</v>
      </c>
      <c r="C283" s="2" t="s">
        <v>1106</v>
      </c>
      <c r="D283" t="s">
        <v>29</v>
      </c>
      <c r="E283" s="2" t="s">
        <v>30</v>
      </c>
      <c r="F283" s="2">
        <v>37207</v>
      </c>
      <c r="G283" s="2" t="s">
        <v>64</v>
      </c>
      <c r="H283" t="s">
        <v>379</v>
      </c>
      <c r="I283" s="6">
        <v>44532</v>
      </c>
      <c r="J283" s="2" t="s">
        <v>1107</v>
      </c>
      <c r="K283" s="2" t="s">
        <v>34</v>
      </c>
      <c r="L283" t="s">
        <v>315</v>
      </c>
      <c r="M283" t="s">
        <v>29</v>
      </c>
      <c r="N283" t="s">
        <v>30</v>
      </c>
      <c r="O283">
        <v>37208</v>
      </c>
      <c r="P283" t="s">
        <v>1094</v>
      </c>
      <c r="Q283" s="2">
        <v>0.48</v>
      </c>
      <c r="R283" s="2">
        <v>87</v>
      </c>
      <c r="S283" s="2">
        <v>268</v>
      </c>
      <c r="T283" t="s">
        <v>1108</v>
      </c>
      <c r="U283" s="6">
        <v>25426</v>
      </c>
      <c r="V283" s="2">
        <v>47037010903</v>
      </c>
      <c r="W283" s="2" t="s">
        <v>38</v>
      </c>
      <c r="X283" s="1">
        <v>45658</v>
      </c>
      <c r="Y283" s="2">
        <v>75000</v>
      </c>
      <c r="Z283" s="2">
        <v>0</v>
      </c>
      <c r="AA283" s="2">
        <v>75000</v>
      </c>
    </row>
    <row r="284" spans="1:27" x14ac:dyDescent="0.3">
      <c r="A284" s="4" t="s">
        <v>864</v>
      </c>
      <c r="B284" s="2" t="str">
        <f>"05000001200"</f>
        <v>05000001200</v>
      </c>
      <c r="C284" s="2" t="s">
        <v>1109</v>
      </c>
      <c r="D284" t="s">
        <v>29</v>
      </c>
      <c r="E284" s="2" t="s">
        <v>30</v>
      </c>
      <c r="F284" s="2">
        <v>37207</v>
      </c>
      <c r="G284" s="2" t="s">
        <v>64</v>
      </c>
      <c r="H284" t="s">
        <v>379</v>
      </c>
      <c r="I284" s="6">
        <v>42867</v>
      </c>
      <c r="J284" s="2" t="s">
        <v>1099</v>
      </c>
      <c r="K284" s="2" t="s">
        <v>34</v>
      </c>
      <c r="L284" t="s">
        <v>343</v>
      </c>
      <c r="M284" t="s">
        <v>29</v>
      </c>
      <c r="N284" t="s">
        <v>30</v>
      </c>
      <c r="O284">
        <v>37201</v>
      </c>
      <c r="P284" t="s">
        <v>1094</v>
      </c>
      <c r="Q284" s="2">
        <v>1.1000000000000001</v>
      </c>
      <c r="R284" s="2">
        <v>0</v>
      </c>
      <c r="S284" s="2">
        <v>0</v>
      </c>
      <c r="T284" t="s">
        <v>1110</v>
      </c>
      <c r="U284" s="6">
        <v>22160</v>
      </c>
      <c r="V284" s="2">
        <v>47037010903</v>
      </c>
      <c r="W284" s="2" t="s">
        <v>38</v>
      </c>
      <c r="X284" s="1">
        <v>45658</v>
      </c>
      <c r="Y284" s="2">
        <v>60500</v>
      </c>
      <c r="Z284" s="2">
        <v>0</v>
      </c>
      <c r="AA284" s="2">
        <v>60500</v>
      </c>
    </row>
    <row r="285" spans="1:27" x14ac:dyDescent="0.3">
      <c r="A285" s="4" t="s">
        <v>864</v>
      </c>
      <c r="B285" s="2" t="str">
        <f>"05108000200"</f>
        <v>05108000200</v>
      </c>
      <c r="C285" s="2" t="s">
        <v>1111</v>
      </c>
      <c r="D285" t="s">
        <v>866</v>
      </c>
      <c r="E285" s="2" t="s">
        <v>30</v>
      </c>
      <c r="F285" s="2">
        <v>37115</v>
      </c>
      <c r="G285" s="2" t="s">
        <v>64</v>
      </c>
      <c r="H285" t="s">
        <v>379</v>
      </c>
      <c r="I285" s="6">
        <v>42591</v>
      </c>
      <c r="J285" s="2" t="s">
        <v>1112</v>
      </c>
      <c r="K285" s="2">
        <v>0</v>
      </c>
      <c r="L285" t="s">
        <v>343</v>
      </c>
      <c r="M285" t="s">
        <v>29</v>
      </c>
      <c r="N285" t="s">
        <v>30</v>
      </c>
      <c r="O285">
        <v>37201</v>
      </c>
      <c r="P285" t="s">
        <v>1113</v>
      </c>
      <c r="Q285" s="2">
        <v>0.71</v>
      </c>
      <c r="R285" s="2">
        <v>100</v>
      </c>
      <c r="S285" s="2">
        <v>266</v>
      </c>
      <c r="T285" t="s">
        <v>1114</v>
      </c>
      <c r="U285" s="6">
        <v>19315</v>
      </c>
      <c r="V285" s="2">
        <v>47037010802</v>
      </c>
      <c r="W285" s="2" t="s">
        <v>837</v>
      </c>
      <c r="X285" s="1">
        <v>45658</v>
      </c>
      <c r="Y285" s="2">
        <v>102400</v>
      </c>
      <c r="Z285" s="2">
        <v>0</v>
      </c>
      <c r="AA285" s="2">
        <v>102400</v>
      </c>
    </row>
    <row r="286" spans="1:27" x14ac:dyDescent="0.3">
      <c r="A286" s="4" t="s">
        <v>1115</v>
      </c>
      <c r="B286" s="2" t="str">
        <f>"17200026800"</f>
        <v>17200026800</v>
      </c>
      <c r="C286" s="2" t="s">
        <v>1116</v>
      </c>
      <c r="D286" t="s">
        <v>1117</v>
      </c>
      <c r="E286" s="2" t="s">
        <v>30</v>
      </c>
      <c r="F286" s="2">
        <v>37027</v>
      </c>
      <c r="G286" s="2" t="s">
        <v>41</v>
      </c>
      <c r="H286" t="s">
        <v>32</v>
      </c>
      <c r="I286" s="6">
        <v>43678</v>
      </c>
      <c r="J286" s="2" t="s">
        <v>1118</v>
      </c>
      <c r="K286" s="2" t="s">
        <v>34</v>
      </c>
      <c r="L286" t="s">
        <v>1119</v>
      </c>
      <c r="M286" t="s">
        <v>29</v>
      </c>
      <c r="N286" t="s">
        <v>30</v>
      </c>
      <c r="O286">
        <v>37201</v>
      </c>
      <c r="P286" t="s">
        <v>1120</v>
      </c>
      <c r="Q286" s="2">
        <v>7.63</v>
      </c>
      <c r="R286" s="2">
        <v>474</v>
      </c>
      <c r="S286" s="2">
        <v>724</v>
      </c>
      <c r="T286" t="s">
        <v>1121</v>
      </c>
      <c r="U286" s="6">
        <v>43385</v>
      </c>
      <c r="V286" s="2">
        <v>47037018804</v>
      </c>
      <c r="W286" s="2" t="s">
        <v>68</v>
      </c>
      <c r="X286" s="1">
        <v>45658</v>
      </c>
      <c r="Y286" s="2">
        <v>1526000</v>
      </c>
      <c r="Z286" s="2">
        <v>0</v>
      </c>
      <c r="AA286" s="2">
        <v>1526000</v>
      </c>
    </row>
    <row r="287" spans="1:27" x14ac:dyDescent="0.3">
      <c r="A287" s="4" t="s">
        <v>1115</v>
      </c>
      <c r="B287" s="2" t="str">
        <f>"161100A00100CO"</f>
        <v>161100A00100CO</v>
      </c>
      <c r="C287" s="2" t="s">
        <v>1122</v>
      </c>
      <c r="D287" t="s">
        <v>29</v>
      </c>
      <c r="E287" s="2" t="s">
        <v>30</v>
      </c>
      <c r="F287" s="2">
        <v>37211</v>
      </c>
      <c r="G287" s="2" t="s">
        <v>64</v>
      </c>
      <c r="H287" t="s">
        <v>99</v>
      </c>
      <c r="I287" s="6">
        <v>41626</v>
      </c>
      <c r="J287" s="2" t="s">
        <v>1123</v>
      </c>
      <c r="K287" s="2">
        <v>558</v>
      </c>
      <c r="L287" t="s">
        <v>35</v>
      </c>
      <c r="M287" t="s">
        <v>29</v>
      </c>
      <c r="N287" t="s">
        <v>30</v>
      </c>
      <c r="O287">
        <v>37219</v>
      </c>
      <c r="P287" t="s">
        <v>1124</v>
      </c>
      <c r="Q287" s="2">
        <v>0.08</v>
      </c>
      <c r="R287" s="2">
        <v>20</v>
      </c>
      <c r="S287" s="2">
        <v>154</v>
      </c>
      <c r="T287" t="s">
        <v>1125</v>
      </c>
      <c r="U287" s="6">
        <v>30582</v>
      </c>
      <c r="V287" s="2">
        <v>47037019106</v>
      </c>
      <c r="W287" s="2" t="s">
        <v>68</v>
      </c>
      <c r="X287" s="1">
        <v>45658</v>
      </c>
      <c r="Y287" s="2">
        <v>100</v>
      </c>
      <c r="Z287" s="2">
        <v>0</v>
      </c>
      <c r="AA287" s="2">
        <v>100</v>
      </c>
    </row>
    <row r="288" spans="1:27" x14ac:dyDescent="0.3">
      <c r="A288" s="4" t="s">
        <v>1115</v>
      </c>
      <c r="B288" s="2" t="str">
        <f>"17200020100"</f>
        <v>17200020100</v>
      </c>
      <c r="C288" s="2" t="s">
        <v>1126</v>
      </c>
      <c r="D288" t="s">
        <v>1117</v>
      </c>
      <c r="E288" s="2" t="s">
        <v>30</v>
      </c>
      <c r="F288" s="2">
        <v>37027</v>
      </c>
      <c r="G288" s="2" t="s">
        <v>64</v>
      </c>
      <c r="H288" t="s">
        <v>99</v>
      </c>
      <c r="I288" s="6">
        <v>43865</v>
      </c>
      <c r="J288" s="2" t="s">
        <v>1127</v>
      </c>
      <c r="K288" s="2">
        <v>460</v>
      </c>
      <c r="L288" t="s">
        <v>893</v>
      </c>
      <c r="M288" t="s">
        <v>29</v>
      </c>
      <c r="N288" t="s">
        <v>30</v>
      </c>
      <c r="O288">
        <v>37219</v>
      </c>
      <c r="P288" t="s">
        <v>1128</v>
      </c>
      <c r="Q288" s="2">
        <v>0.23</v>
      </c>
      <c r="R288" s="2">
        <v>0</v>
      </c>
      <c r="S288" s="2">
        <v>178</v>
      </c>
      <c r="T288" t="s">
        <v>1129</v>
      </c>
      <c r="U288" s="6">
        <v>33126</v>
      </c>
      <c r="V288" s="2">
        <v>47037018804</v>
      </c>
      <c r="W288" s="2" t="s">
        <v>68</v>
      </c>
      <c r="X288" s="1">
        <v>45658</v>
      </c>
      <c r="Y288" s="2">
        <v>15300</v>
      </c>
      <c r="Z288" s="2">
        <v>0</v>
      </c>
      <c r="AA288" s="2">
        <v>15300</v>
      </c>
    </row>
    <row r="289" spans="1:27" x14ac:dyDescent="0.3">
      <c r="A289" s="4" t="s">
        <v>1115</v>
      </c>
      <c r="B289" s="2" t="str">
        <f>"16100026600"</f>
        <v>16100026600</v>
      </c>
      <c r="C289" s="2" t="s">
        <v>1130</v>
      </c>
      <c r="D289" t="s">
        <v>29</v>
      </c>
      <c r="E289" s="2" t="s">
        <v>30</v>
      </c>
      <c r="F289" s="2">
        <v>37211</v>
      </c>
      <c r="G289" s="2" t="s">
        <v>147</v>
      </c>
      <c r="H289" t="s">
        <v>1131</v>
      </c>
      <c r="I289" s="6">
        <v>33660</v>
      </c>
      <c r="J289" s="2" t="s">
        <v>1132</v>
      </c>
      <c r="K289" s="2">
        <v>200000</v>
      </c>
      <c r="L289" t="s">
        <v>35</v>
      </c>
      <c r="M289" t="s">
        <v>29</v>
      </c>
      <c r="N289" t="s">
        <v>30</v>
      </c>
      <c r="O289">
        <v>37219</v>
      </c>
      <c r="P289" t="s">
        <v>1133</v>
      </c>
      <c r="Q289" s="2">
        <v>1.25</v>
      </c>
      <c r="R289" s="2">
        <v>203</v>
      </c>
      <c r="S289" s="2">
        <v>210</v>
      </c>
      <c r="T289" t="s">
        <v>1134</v>
      </c>
      <c r="U289" s="6">
        <v>33434</v>
      </c>
      <c r="V289" s="2">
        <v>47037019106</v>
      </c>
      <c r="W289" s="2" t="s">
        <v>68</v>
      </c>
      <c r="X289" s="1">
        <v>45658</v>
      </c>
      <c r="Y289" s="2">
        <v>1633500</v>
      </c>
      <c r="Z289" s="2">
        <v>0</v>
      </c>
      <c r="AA289" s="2">
        <v>1633500</v>
      </c>
    </row>
    <row r="290" spans="1:27" x14ac:dyDescent="0.3">
      <c r="A290" s="4" t="s">
        <v>1115</v>
      </c>
      <c r="B290" s="2" t="str">
        <f>"17200009400"</f>
        <v>17200009400</v>
      </c>
      <c r="C290" s="2" t="s">
        <v>1135</v>
      </c>
      <c r="D290" t="s">
        <v>29</v>
      </c>
      <c r="E290" s="2" t="s">
        <v>30</v>
      </c>
      <c r="F290" s="2">
        <v>37211</v>
      </c>
      <c r="G290" s="2" t="s">
        <v>253</v>
      </c>
      <c r="H290" t="s">
        <v>1136</v>
      </c>
      <c r="I290" s="6">
        <v>37314</v>
      </c>
      <c r="J290" s="2" t="s">
        <v>1137</v>
      </c>
      <c r="K290" s="2">
        <v>1100000</v>
      </c>
      <c r="L290" t="s">
        <v>35</v>
      </c>
      <c r="M290" t="s">
        <v>29</v>
      </c>
      <c r="N290" t="s">
        <v>30</v>
      </c>
      <c r="O290">
        <v>37219</v>
      </c>
      <c r="P290" t="s">
        <v>1138</v>
      </c>
      <c r="Q290" s="2">
        <v>27.74</v>
      </c>
      <c r="R290" s="2">
        <v>920</v>
      </c>
      <c r="S290" s="2">
        <v>0</v>
      </c>
      <c r="T290" t="s">
        <v>1139</v>
      </c>
      <c r="U290" s="6">
        <v>42948</v>
      </c>
      <c r="V290" s="2">
        <v>47037019115</v>
      </c>
      <c r="W290" s="2" t="s">
        <v>38</v>
      </c>
      <c r="X290" s="1">
        <v>45658</v>
      </c>
      <c r="Y290" s="2">
        <v>1101700</v>
      </c>
      <c r="Z290" s="2">
        <v>0</v>
      </c>
      <c r="AA290" s="2">
        <v>1101700</v>
      </c>
    </row>
    <row r="291" spans="1:27" x14ac:dyDescent="0.3">
      <c r="A291" s="4" t="s">
        <v>1115</v>
      </c>
      <c r="B291" s="2" t="str">
        <f>"172080B10500CO"</f>
        <v>172080B10500CO</v>
      </c>
      <c r="C291" s="2" t="s">
        <v>1140</v>
      </c>
      <c r="D291" t="s">
        <v>29</v>
      </c>
      <c r="E291" s="2" t="s">
        <v>30</v>
      </c>
      <c r="F291" s="2">
        <v>37211</v>
      </c>
      <c r="G291" s="2" t="s">
        <v>64</v>
      </c>
      <c r="H291" t="s">
        <v>280</v>
      </c>
      <c r="I291" s="6">
        <v>34372</v>
      </c>
      <c r="J291" s="2" t="s">
        <v>1141</v>
      </c>
      <c r="K291" s="2" t="s">
        <v>34</v>
      </c>
      <c r="L291" t="s">
        <v>35</v>
      </c>
      <c r="M291" t="s">
        <v>29</v>
      </c>
      <c r="N291" t="s">
        <v>30</v>
      </c>
      <c r="O291">
        <v>37219</v>
      </c>
      <c r="P291" t="s">
        <v>1142</v>
      </c>
      <c r="Q291" s="2">
        <v>0.03</v>
      </c>
      <c r="R291" s="2">
        <v>45</v>
      </c>
      <c r="S291" s="2">
        <v>34</v>
      </c>
      <c r="T291" t="s">
        <v>1143</v>
      </c>
      <c r="U291" s="6">
        <v>32321</v>
      </c>
      <c r="V291" s="2">
        <v>47037019116</v>
      </c>
      <c r="W291" s="2" t="s">
        <v>68</v>
      </c>
      <c r="X291" s="1">
        <v>45658</v>
      </c>
      <c r="Y291" s="2">
        <v>500</v>
      </c>
      <c r="Z291" s="2">
        <v>0</v>
      </c>
      <c r="AA291" s="2">
        <v>500</v>
      </c>
    </row>
    <row r="292" spans="1:27" x14ac:dyDescent="0.3">
      <c r="A292" s="4" t="s">
        <v>1115</v>
      </c>
      <c r="B292" s="2" t="str">
        <f>"17200025800"</f>
        <v>17200025800</v>
      </c>
      <c r="C292" s="2" t="s">
        <v>1144</v>
      </c>
      <c r="D292" t="s">
        <v>29</v>
      </c>
      <c r="E292" s="2" t="s">
        <v>30</v>
      </c>
      <c r="F292" s="2">
        <v>37211</v>
      </c>
      <c r="G292" s="2" t="s">
        <v>64</v>
      </c>
      <c r="H292" t="s">
        <v>280</v>
      </c>
      <c r="I292" s="6">
        <v>37327</v>
      </c>
      <c r="J292" s="2" t="s">
        <v>1145</v>
      </c>
      <c r="K292" s="2">
        <v>363000</v>
      </c>
      <c r="L292" t="s">
        <v>35</v>
      </c>
      <c r="M292" t="s">
        <v>29</v>
      </c>
      <c r="N292" t="s">
        <v>30</v>
      </c>
      <c r="O292">
        <v>37219</v>
      </c>
      <c r="P292" t="s">
        <v>1146</v>
      </c>
      <c r="Q292" s="2">
        <v>6.93</v>
      </c>
      <c r="R292" s="2">
        <v>0</v>
      </c>
      <c r="S292" s="2">
        <v>0</v>
      </c>
      <c r="T292" t="s">
        <v>1147</v>
      </c>
      <c r="U292" s="6">
        <v>37327</v>
      </c>
      <c r="V292" s="2">
        <v>47037019116</v>
      </c>
      <c r="W292" s="2" t="s">
        <v>68</v>
      </c>
      <c r="X292" s="1">
        <v>45658</v>
      </c>
      <c r="Y292" s="2">
        <v>221800</v>
      </c>
      <c r="Z292" s="2">
        <v>0</v>
      </c>
      <c r="AA292" s="2">
        <v>221800</v>
      </c>
    </row>
    <row r="293" spans="1:27" x14ac:dyDescent="0.3">
      <c r="A293" s="4" t="s">
        <v>1115</v>
      </c>
      <c r="B293" s="2" t="str">
        <f>"18100000600"</f>
        <v>18100000600</v>
      </c>
      <c r="C293" s="2" t="s">
        <v>1148</v>
      </c>
      <c r="D293" t="s">
        <v>1117</v>
      </c>
      <c r="E293" s="2" t="s">
        <v>30</v>
      </c>
      <c r="F293" s="2">
        <v>37027</v>
      </c>
      <c r="G293" s="2" t="s">
        <v>31</v>
      </c>
      <c r="H293" t="s">
        <v>379</v>
      </c>
      <c r="I293" s="6">
        <v>43794</v>
      </c>
      <c r="J293" s="2" t="s">
        <v>1149</v>
      </c>
      <c r="K293" s="2" t="s">
        <v>34</v>
      </c>
      <c r="L293" t="s">
        <v>315</v>
      </c>
      <c r="M293" t="s">
        <v>29</v>
      </c>
      <c r="N293" t="s">
        <v>30</v>
      </c>
      <c r="O293">
        <v>37208</v>
      </c>
      <c r="P293" t="s">
        <v>1150</v>
      </c>
      <c r="Q293" s="2">
        <v>1.93</v>
      </c>
      <c r="R293" s="2">
        <v>210</v>
      </c>
      <c r="S293" s="2">
        <v>446</v>
      </c>
      <c r="T293" t="s">
        <v>1151</v>
      </c>
      <c r="U293" s="6">
        <v>45065</v>
      </c>
      <c r="V293" s="2">
        <v>47037019115</v>
      </c>
      <c r="W293" s="2" t="s">
        <v>38</v>
      </c>
      <c r="X293" s="1">
        <v>45658</v>
      </c>
      <c r="Y293" s="2">
        <v>290100</v>
      </c>
      <c r="Z293" s="2">
        <v>0</v>
      </c>
      <c r="AA293" s="2">
        <v>290100</v>
      </c>
    </row>
    <row r="294" spans="1:27" x14ac:dyDescent="0.3">
      <c r="A294" s="4" t="s">
        <v>1115</v>
      </c>
      <c r="B294" s="2" t="str">
        <f>"18100010200"</f>
        <v>18100010200</v>
      </c>
      <c r="C294" s="2" t="s">
        <v>1152</v>
      </c>
      <c r="D294" t="s">
        <v>1117</v>
      </c>
      <c r="E294" s="2" t="s">
        <v>30</v>
      </c>
      <c r="F294" s="2">
        <v>37027</v>
      </c>
      <c r="G294" s="2" t="s">
        <v>1153</v>
      </c>
      <c r="H294" t="s">
        <v>379</v>
      </c>
      <c r="I294" s="6">
        <v>43691</v>
      </c>
      <c r="J294" s="2" t="s">
        <v>1154</v>
      </c>
      <c r="K294" s="2" t="s">
        <v>34</v>
      </c>
      <c r="L294" t="s">
        <v>315</v>
      </c>
      <c r="M294" t="s">
        <v>29</v>
      </c>
      <c r="N294" t="s">
        <v>30</v>
      </c>
      <c r="O294">
        <v>37208</v>
      </c>
      <c r="P294" t="s">
        <v>1155</v>
      </c>
      <c r="Q294" s="2">
        <v>3.23</v>
      </c>
      <c r="R294" s="2">
        <v>117</v>
      </c>
      <c r="S294" s="2">
        <v>0</v>
      </c>
      <c r="T294" t="s">
        <v>1156</v>
      </c>
      <c r="U294" s="6">
        <v>45065</v>
      </c>
      <c r="V294" s="2">
        <v>47037019115</v>
      </c>
      <c r="W294" s="2" t="s">
        <v>38</v>
      </c>
      <c r="X294" s="1">
        <v>45658</v>
      </c>
      <c r="Y294" s="2">
        <v>319800</v>
      </c>
      <c r="Z294" s="2">
        <v>0</v>
      </c>
      <c r="AA294" s="2">
        <v>319800</v>
      </c>
    </row>
    <row r="295" spans="1:27" x14ac:dyDescent="0.3">
      <c r="A295" s="4" t="s">
        <v>1157</v>
      </c>
      <c r="B295" s="2" t="str">
        <f>"08204023000"</f>
        <v>08204023000</v>
      </c>
      <c r="C295" s="2" t="s">
        <v>1158</v>
      </c>
      <c r="D295" t="s">
        <v>29</v>
      </c>
      <c r="E295" s="2" t="s">
        <v>30</v>
      </c>
      <c r="F295" s="2">
        <v>37206</v>
      </c>
      <c r="G295" s="2" t="s">
        <v>64</v>
      </c>
      <c r="H295" t="s">
        <v>32</v>
      </c>
      <c r="I295" s="6">
        <v>42299</v>
      </c>
      <c r="J295" s="2" t="s">
        <v>1159</v>
      </c>
      <c r="K295" s="2" t="s">
        <v>34</v>
      </c>
      <c r="L295" t="s">
        <v>893</v>
      </c>
      <c r="M295" t="s">
        <v>29</v>
      </c>
      <c r="N295" t="s">
        <v>30</v>
      </c>
      <c r="O295">
        <v>37219</v>
      </c>
      <c r="P295" t="s">
        <v>1160</v>
      </c>
      <c r="Q295" s="2">
        <v>0.14000000000000001</v>
      </c>
      <c r="R295" s="2">
        <v>50</v>
      </c>
      <c r="S295" s="2">
        <v>133</v>
      </c>
      <c r="T295" t="s">
        <v>1161</v>
      </c>
      <c r="U295" s="6">
        <v>27039</v>
      </c>
      <c r="V295" s="2">
        <v>47037011700</v>
      </c>
      <c r="W295" s="2" t="s">
        <v>68</v>
      </c>
      <c r="X295" s="1">
        <v>45658</v>
      </c>
      <c r="Y295" s="2">
        <v>135000</v>
      </c>
      <c r="Z295" s="2">
        <v>0</v>
      </c>
      <c r="AA295" s="2">
        <v>135000</v>
      </c>
    </row>
    <row r="296" spans="1:27" x14ac:dyDescent="0.3">
      <c r="A296" s="4" t="s">
        <v>1157</v>
      </c>
      <c r="B296" s="2" t="str">
        <f>"08204027600"</f>
        <v>08204027600</v>
      </c>
      <c r="C296" s="2" t="s">
        <v>1162</v>
      </c>
      <c r="D296" t="s">
        <v>29</v>
      </c>
      <c r="E296" s="2" t="s">
        <v>30</v>
      </c>
      <c r="F296" s="2">
        <v>37206</v>
      </c>
      <c r="G296" s="2" t="s">
        <v>64</v>
      </c>
      <c r="H296" t="s">
        <v>32</v>
      </c>
      <c r="I296" s="6">
        <v>41722</v>
      </c>
      <c r="J296" s="2" t="s">
        <v>1163</v>
      </c>
      <c r="K296" s="2" t="s">
        <v>34</v>
      </c>
      <c r="L296" t="s">
        <v>35</v>
      </c>
      <c r="M296" t="s">
        <v>29</v>
      </c>
      <c r="N296" t="s">
        <v>30</v>
      </c>
      <c r="O296">
        <v>37219</v>
      </c>
      <c r="P296" t="s">
        <v>1164</v>
      </c>
      <c r="Q296" s="2">
        <v>0.02</v>
      </c>
      <c r="R296" s="2">
        <v>49</v>
      </c>
      <c r="S296" s="2">
        <v>56</v>
      </c>
      <c r="T296" t="s">
        <v>1165</v>
      </c>
      <c r="U296" s="6">
        <v>17429</v>
      </c>
      <c r="V296" s="2">
        <v>47037011700</v>
      </c>
      <c r="W296" s="2" t="s">
        <v>68</v>
      </c>
      <c r="X296" s="1">
        <v>45658</v>
      </c>
      <c r="Y296" s="2">
        <v>4000</v>
      </c>
      <c r="Z296" s="2">
        <v>0</v>
      </c>
      <c r="AA296" s="2">
        <v>4000</v>
      </c>
    </row>
    <row r="297" spans="1:27" x14ac:dyDescent="0.3">
      <c r="A297" s="4" t="s">
        <v>1157</v>
      </c>
      <c r="B297" s="2" t="str">
        <f>"08204036000"</f>
        <v>08204036000</v>
      </c>
      <c r="C297" s="2" t="s">
        <v>1166</v>
      </c>
      <c r="D297" t="s">
        <v>29</v>
      </c>
      <c r="E297" s="2" t="s">
        <v>30</v>
      </c>
      <c r="F297" s="2">
        <v>37206</v>
      </c>
      <c r="G297" s="2" t="s">
        <v>64</v>
      </c>
      <c r="H297" t="s">
        <v>99</v>
      </c>
      <c r="I297" s="6">
        <v>27991</v>
      </c>
      <c r="J297" s="2" t="s">
        <v>1167</v>
      </c>
      <c r="K297" s="2">
        <v>313</v>
      </c>
      <c r="L297" t="s">
        <v>35</v>
      </c>
      <c r="M297" t="s">
        <v>29</v>
      </c>
      <c r="N297" t="s">
        <v>30</v>
      </c>
      <c r="O297">
        <v>37219</v>
      </c>
      <c r="P297" t="s">
        <v>1168</v>
      </c>
      <c r="Q297" s="2">
        <v>0.01</v>
      </c>
      <c r="R297" s="2">
        <v>47</v>
      </c>
      <c r="S297" s="2">
        <v>43</v>
      </c>
      <c r="T297" t="s">
        <v>1169</v>
      </c>
      <c r="U297" s="6">
        <v>8105</v>
      </c>
      <c r="V297" s="2">
        <v>47037011700</v>
      </c>
      <c r="W297" s="2" t="s">
        <v>68</v>
      </c>
      <c r="X297" s="1">
        <v>45658</v>
      </c>
      <c r="Y297" s="2">
        <v>2800</v>
      </c>
      <c r="Z297" s="2">
        <v>0</v>
      </c>
      <c r="AA297" s="2">
        <v>2800</v>
      </c>
    </row>
    <row r="298" spans="1:27" x14ac:dyDescent="0.3">
      <c r="A298" s="4" t="s">
        <v>1157</v>
      </c>
      <c r="B298" s="2" t="str">
        <f>"06016012000"</f>
        <v>06016012000</v>
      </c>
      <c r="C298" s="2" t="s">
        <v>1170</v>
      </c>
      <c r="D298" t="s">
        <v>29</v>
      </c>
      <c r="E298" s="2" t="s">
        <v>30</v>
      </c>
      <c r="F298" s="2">
        <v>37207</v>
      </c>
      <c r="G298" s="2" t="s">
        <v>64</v>
      </c>
      <c r="H298" t="s">
        <v>99</v>
      </c>
      <c r="I298" s="6">
        <v>29050</v>
      </c>
      <c r="J298" s="2" t="s">
        <v>1171</v>
      </c>
      <c r="K298" s="2">
        <v>135</v>
      </c>
      <c r="L298" t="s">
        <v>35</v>
      </c>
      <c r="M298" t="s">
        <v>29</v>
      </c>
      <c r="N298" t="s">
        <v>30</v>
      </c>
      <c r="O298">
        <v>37219</v>
      </c>
      <c r="P298" t="s">
        <v>1172</v>
      </c>
      <c r="Q298" s="2">
        <v>0.01</v>
      </c>
      <c r="R298" s="2">
        <v>2</v>
      </c>
      <c r="S298" s="2">
        <v>217</v>
      </c>
      <c r="T298" t="s">
        <v>278</v>
      </c>
      <c r="U298" s="6">
        <v>35797</v>
      </c>
      <c r="V298" s="2">
        <v>47037011001</v>
      </c>
      <c r="W298" s="2" t="s">
        <v>68</v>
      </c>
      <c r="X298" s="1">
        <v>45658</v>
      </c>
      <c r="Y298" s="2">
        <v>100</v>
      </c>
      <c r="Z298" s="2">
        <v>0</v>
      </c>
      <c r="AA298" s="2">
        <v>100</v>
      </c>
    </row>
    <row r="299" spans="1:27" x14ac:dyDescent="0.3">
      <c r="A299" s="4" t="s">
        <v>1157</v>
      </c>
      <c r="B299" s="2" t="str">
        <f>"07213043700"</f>
        <v>07213043700</v>
      </c>
      <c r="C299" s="2" t="s">
        <v>1173</v>
      </c>
      <c r="D299" t="s">
        <v>29</v>
      </c>
      <c r="E299" s="2" t="s">
        <v>30</v>
      </c>
      <c r="F299" s="2">
        <v>37207</v>
      </c>
      <c r="G299" s="2" t="s">
        <v>64</v>
      </c>
      <c r="H299" t="s">
        <v>99</v>
      </c>
      <c r="I299" s="6">
        <v>28068</v>
      </c>
      <c r="J299" s="2" t="s">
        <v>1174</v>
      </c>
      <c r="K299" s="2">
        <v>220</v>
      </c>
      <c r="L299" t="s">
        <v>35</v>
      </c>
      <c r="M299" t="s">
        <v>29</v>
      </c>
      <c r="N299" t="s">
        <v>30</v>
      </c>
      <c r="O299">
        <v>37219</v>
      </c>
      <c r="P299" t="s">
        <v>1175</v>
      </c>
      <c r="Q299" s="2">
        <v>0.05</v>
      </c>
      <c r="R299" s="2">
        <v>55</v>
      </c>
      <c r="S299" s="2">
        <v>31</v>
      </c>
      <c r="T299" t="s">
        <v>1176</v>
      </c>
      <c r="U299" s="6">
        <v>18067</v>
      </c>
      <c r="V299" s="2">
        <v>47037011300</v>
      </c>
      <c r="W299" s="2" t="s">
        <v>68</v>
      </c>
      <c r="X299" s="1">
        <v>45658</v>
      </c>
      <c r="Y299" s="2">
        <v>300</v>
      </c>
      <c r="Z299" s="2">
        <v>0</v>
      </c>
      <c r="AA299" s="2">
        <v>300</v>
      </c>
    </row>
    <row r="300" spans="1:27" x14ac:dyDescent="0.3">
      <c r="A300" s="4" t="s">
        <v>1157</v>
      </c>
      <c r="B300" s="2" t="str">
        <f>"07116040200"</f>
        <v>07116040200</v>
      </c>
      <c r="C300" s="2" t="s">
        <v>1177</v>
      </c>
      <c r="D300" t="s">
        <v>29</v>
      </c>
      <c r="E300" s="2" t="s">
        <v>30</v>
      </c>
      <c r="F300" s="2">
        <v>37207</v>
      </c>
      <c r="G300" s="2" t="s">
        <v>64</v>
      </c>
      <c r="H300" t="s">
        <v>99</v>
      </c>
      <c r="I300" s="6">
        <v>28068</v>
      </c>
      <c r="J300" s="2" t="s">
        <v>1178</v>
      </c>
      <c r="K300" s="2">
        <v>212</v>
      </c>
      <c r="L300" t="s">
        <v>35</v>
      </c>
      <c r="M300" t="s">
        <v>29</v>
      </c>
      <c r="N300" t="s">
        <v>30</v>
      </c>
      <c r="O300">
        <v>37219</v>
      </c>
      <c r="P300" t="s">
        <v>1179</v>
      </c>
      <c r="Q300" s="2">
        <v>0.01</v>
      </c>
      <c r="R300" s="2">
        <v>22</v>
      </c>
      <c r="S300" s="2">
        <v>67</v>
      </c>
      <c r="T300" t="s">
        <v>1180</v>
      </c>
      <c r="U300" s="6">
        <v>22185</v>
      </c>
      <c r="V300" s="2">
        <v>47037011300</v>
      </c>
      <c r="W300" s="2" t="s">
        <v>68</v>
      </c>
      <c r="X300" s="1">
        <v>45658</v>
      </c>
      <c r="Y300" s="2">
        <v>200</v>
      </c>
      <c r="Z300" s="2">
        <v>0</v>
      </c>
      <c r="AA300" s="2">
        <v>200</v>
      </c>
    </row>
    <row r="301" spans="1:27" x14ac:dyDescent="0.3">
      <c r="A301" s="4" t="s">
        <v>1157</v>
      </c>
      <c r="B301" s="2" t="str">
        <f>"07213000100"</f>
        <v>07213000100</v>
      </c>
      <c r="C301" s="2" t="s">
        <v>1181</v>
      </c>
      <c r="D301" t="s">
        <v>29</v>
      </c>
      <c r="E301" s="2" t="s">
        <v>30</v>
      </c>
      <c r="F301" s="2">
        <v>37207</v>
      </c>
      <c r="G301" s="2" t="s">
        <v>64</v>
      </c>
      <c r="H301" t="s">
        <v>99</v>
      </c>
      <c r="I301" s="6">
        <v>28068</v>
      </c>
      <c r="J301" s="2" t="s">
        <v>1182</v>
      </c>
      <c r="K301" s="2">
        <v>205</v>
      </c>
      <c r="L301" t="s">
        <v>35</v>
      </c>
      <c r="M301" t="s">
        <v>29</v>
      </c>
      <c r="N301" t="s">
        <v>30</v>
      </c>
      <c r="O301">
        <v>37219</v>
      </c>
      <c r="P301" t="s">
        <v>1183</v>
      </c>
      <c r="Q301" s="2">
        <v>0.02</v>
      </c>
      <c r="R301" s="2">
        <v>45</v>
      </c>
      <c r="S301" s="2">
        <v>22</v>
      </c>
      <c r="T301" t="s">
        <v>1184</v>
      </c>
      <c r="U301" s="6">
        <v>21289</v>
      </c>
      <c r="V301" s="2">
        <v>47037011300</v>
      </c>
      <c r="W301" s="2" t="s">
        <v>68</v>
      </c>
      <c r="X301" s="1">
        <v>45658</v>
      </c>
      <c r="Y301" s="2">
        <v>300</v>
      </c>
      <c r="Z301" s="2">
        <v>0</v>
      </c>
      <c r="AA301" s="2">
        <v>300</v>
      </c>
    </row>
    <row r="302" spans="1:27" x14ac:dyDescent="0.3">
      <c r="A302" s="4" t="s">
        <v>1157</v>
      </c>
      <c r="B302" s="2" t="str">
        <f>"07213043400"</f>
        <v>07213043400</v>
      </c>
      <c r="C302" s="2" t="s">
        <v>1185</v>
      </c>
      <c r="D302" t="s">
        <v>29</v>
      </c>
      <c r="E302" s="2" t="s">
        <v>30</v>
      </c>
      <c r="F302" s="2">
        <v>37207</v>
      </c>
      <c r="G302" s="2" t="s">
        <v>64</v>
      </c>
      <c r="H302" t="s">
        <v>99</v>
      </c>
      <c r="I302" s="6">
        <v>28733</v>
      </c>
      <c r="J302" s="2" t="s">
        <v>1186</v>
      </c>
      <c r="K302" s="2">
        <v>213</v>
      </c>
      <c r="L302" t="s">
        <v>35</v>
      </c>
      <c r="M302" t="s">
        <v>29</v>
      </c>
      <c r="N302" t="s">
        <v>30</v>
      </c>
      <c r="O302">
        <v>37219</v>
      </c>
      <c r="P302" t="s">
        <v>1187</v>
      </c>
      <c r="Q302" s="2">
        <v>0.11</v>
      </c>
      <c r="R302" s="2">
        <v>108</v>
      </c>
      <c r="S302" s="2">
        <v>57</v>
      </c>
      <c r="T302" t="s">
        <v>1188</v>
      </c>
      <c r="U302" s="6">
        <v>17836</v>
      </c>
      <c r="V302" s="2">
        <v>47037011300</v>
      </c>
      <c r="W302" s="2" t="s">
        <v>68</v>
      </c>
      <c r="X302" s="1">
        <v>45658</v>
      </c>
      <c r="Y302" s="2">
        <v>300</v>
      </c>
      <c r="Z302" s="2">
        <v>0</v>
      </c>
      <c r="AA302" s="2">
        <v>300</v>
      </c>
    </row>
    <row r="303" spans="1:27" x14ac:dyDescent="0.3">
      <c r="A303" s="4" t="s">
        <v>1157</v>
      </c>
      <c r="B303" s="2" t="str">
        <f>"07213043600"</f>
        <v>07213043600</v>
      </c>
      <c r="C303" s="2" t="s">
        <v>1189</v>
      </c>
      <c r="D303" t="s">
        <v>29</v>
      </c>
      <c r="E303" s="2" t="s">
        <v>30</v>
      </c>
      <c r="F303" s="2">
        <v>37207</v>
      </c>
      <c r="G303" s="2" t="s">
        <v>64</v>
      </c>
      <c r="H303" t="s">
        <v>99</v>
      </c>
      <c r="I303" s="6">
        <v>28145</v>
      </c>
      <c r="J303" s="2" t="s">
        <v>1190</v>
      </c>
      <c r="K303" s="2">
        <v>328</v>
      </c>
      <c r="L303" t="s">
        <v>35</v>
      </c>
      <c r="M303" t="s">
        <v>29</v>
      </c>
      <c r="N303" t="s">
        <v>30</v>
      </c>
      <c r="O303">
        <v>37219</v>
      </c>
      <c r="P303" t="s">
        <v>1191</v>
      </c>
      <c r="Q303" s="2">
        <v>0.08</v>
      </c>
      <c r="R303" s="2">
        <v>55</v>
      </c>
      <c r="S303" s="2">
        <v>81</v>
      </c>
      <c r="T303" t="s">
        <v>1192</v>
      </c>
      <c r="U303" s="6">
        <v>17840</v>
      </c>
      <c r="V303" s="2">
        <v>47037011300</v>
      </c>
      <c r="W303" s="2" t="s">
        <v>68</v>
      </c>
      <c r="X303" s="1">
        <v>45658</v>
      </c>
      <c r="Y303" s="2">
        <v>300</v>
      </c>
      <c r="Z303" s="2">
        <v>0</v>
      </c>
      <c r="AA303" s="2">
        <v>300</v>
      </c>
    </row>
    <row r="304" spans="1:27" x14ac:dyDescent="0.3">
      <c r="A304" s="4" t="s">
        <v>1157</v>
      </c>
      <c r="B304" s="2" t="str">
        <f>"07213043500"</f>
        <v>07213043500</v>
      </c>
      <c r="C304" s="2" t="s">
        <v>1189</v>
      </c>
      <c r="D304" t="s">
        <v>29</v>
      </c>
      <c r="E304" s="2" t="s">
        <v>30</v>
      </c>
      <c r="F304" s="2">
        <v>37207</v>
      </c>
      <c r="G304" s="2" t="s">
        <v>64</v>
      </c>
      <c r="H304" t="s">
        <v>99</v>
      </c>
      <c r="I304" s="6">
        <v>28460</v>
      </c>
      <c r="J304" s="2" t="s">
        <v>1193</v>
      </c>
      <c r="K304" s="2">
        <v>308</v>
      </c>
      <c r="L304" t="s">
        <v>35</v>
      </c>
      <c r="M304" t="s">
        <v>29</v>
      </c>
      <c r="N304" t="s">
        <v>30</v>
      </c>
      <c r="O304">
        <v>37219</v>
      </c>
      <c r="P304" t="s">
        <v>1194</v>
      </c>
      <c r="Q304" s="2">
        <v>0.03</v>
      </c>
      <c r="R304" s="2">
        <v>0</v>
      </c>
      <c r="S304" s="2">
        <v>58</v>
      </c>
      <c r="T304" t="s">
        <v>1195</v>
      </c>
      <c r="U304" s="6">
        <v>21361</v>
      </c>
      <c r="V304" s="2">
        <v>47037011300</v>
      </c>
      <c r="W304" s="2" t="s">
        <v>68</v>
      </c>
      <c r="X304" s="1">
        <v>45658</v>
      </c>
      <c r="Y304" s="2">
        <v>300</v>
      </c>
      <c r="Z304" s="2">
        <v>0</v>
      </c>
      <c r="AA304" s="2">
        <v>300</v>
      </c>
    </row>
    <row r="305" spans="1:27" x14ac:dyDescent="0.3">
      <c r="A305" s="4" t="s">
        <v>1157</v>
      </c>
      <c r="B305" s="2" t="str">
        <f>"07213043800"</f>
        <v>07213043800</v>
      </c>
      <c r="C305" s="2" t="s">
        <v>1189</v>
      </c>
      <c r="D305" t="s">
        <v>29</v>
      </c>
      <c r="E305" s="2" t="s">
        <v>30</v>
      </c>
      <c r="F305" s="2">
        <v>37207</v>
      </c>
      <c r="G305" s="2" t="s">
        <v>64</v>
      </c>
      <c r="H305" t="s">
        <v>99</v>
      </c>
      <c r="I305" s="6">
        <v>28446</v>
      </c>
      <c r="J305" s="2" t="s">
        <v>1196</v>
      </c>
      <c r="K305" s="2">
        <v>197</v>
      </c>
      <c r="L305" t="s">
        <v>35</v>
      </c>
      <c r="M305" t="s">
        <v>29</v>
      </c>
      <c r="N305" t="s">
        <v>30</v>
      </c>
      <c r="O305">
        <v>37219</v>
      </c>
      <c r="P305" t="s">
        <v>1197</v>
      </c>
      <c r="Q305" s="2">
        <v>0.01</v>
      </c>
      <c r="R305" s="2">
        <v>26</v>
      </c>
      <c r="S305" s="2">
        <v>22</v>
      </c>
      <c r="T305" t="s">
        <v>1198</v>
      </c>
      <c r="U305" s="6">
        <v>18116</v>
      </c>
      <c r="V305" s="2">
        <v>47037011300</v>
      </c>
      <c r="W305" s="2" t="s">
        <v>68</v>
      </c>
      <c r="X305" s="1">
        <v>45658</v>
      </c>
      <c r="Y305" s="2">
        <v>300</v>
      </c>
      <c r="Z305" s="2">
        <v>0</v>
      </c>
      <c r="AA305" s="2">
        <v>300</v>
      </c>
    </row>
    <row r="306" spans="1:27" x14ac:dyDescent="0.3">
      <c r="A306" s="4" t="s">
        <v>1157</v>
      </c>
      <c r="B306" s="2" t="str">
        <f>"08204035800"</f>
        <v>08204035800</v>
      </c>
      <c r="C306" s="2" t="s">
        <v>1199</v>
      </c>
      <c r="D306" t="s">
        <v>29</v>
      </c>
      <c r="E306" s="2" t="s">
        <v>30</v>
      </c>
      <c r="F306" s="2">
        <v>37206</v>
      </c>
      <c r="G306" s="2" t="s">
        <v>64</v>
      </c>
      <c r="H306" t="s">
        <v>99</v>
      </c>
      <c r="I306" s="6">
        <v>27984</v>
      </c>
      <c r="J306" s="2" t="s">
        <v>1200</v>
      </c>
      <c r="K306" s="2">
        <v>292</v>
      </c>
      <c r="L306" t="s">
        <v>35</v>
      </c>
      <c r="M306" t="s">
        <v>29</v>
      </c>
      <c r="N306" t="s">
        <v>30</v>
      </c>
      <c r="O306">
        <v>37219</v>
      </c>
      <c r="P306" t="s">
        <v>1201</v>
      </c>
      <c r="Q306" s="2">
        <v>0.12</v>
      </c>
      <c r="R306" s="2">
        <v>38</v>
      </c>
      <c r="S306" s="2">
        <v>158</v>
      </c>
      <c r="T306" t="s">
        <v>1202</v>
      </c>
      <c r="U306" s="6">
        <v>23984</v>
      </c>
      <c r="V306" s="2">
        <v>47037011700</v>
      </c>
      <c r="W306" s="2" t="s">
        <v>68</v>
      </c>
      <c r="X306" s="1">
        <v>45658</v>
      </c>
      <c r="Y306" s="2">
        <v>13800</v>
      </c>
      <c r="Z306" s="2">
        <v>0</v>
      </c>
      <c r="AA306" s="2">
        <v>13800</v>
      </c>
    </row>
    <row r="307" spans="1:27" x14ac:dyDescent="0.3">
      <c r="A307" s="4" t="s">
        <v>1157</v>
      </c>
      <c r="B307" s="2" t="str">
        <f>"08204037100"</f>
        <v>08204037100</v>
      </c>
      <c r="C307" s="2" t="s">
        <v>1203</v>
      </c>
      <c r="D307" t="s">
        <v>29</v>
      </c>
      <c r="E307" s="2" t="s">
        <v>30</v>
      </c>
      <c r="F307" s="2">
        <v>37206</v>
      </c>
      <c r="G307" s="2" t="s">
        <v>64</v>
      </c>
      <c r="H307" t="s">
        <v>99</v>
      </c>
      <c r="I307" s="6">
        <v>32926</v>
      </c>
      <c r="J307" s="2" t="s">
        <v>1204</v>
      </c>
      <c r="K307" s="2">
        <v>244</v>
      </c>
      <c r="L307" t="s">
        <v>35</v>
      </c>
      <c r="M307" t="s">
        <v>29</v>
      </c>
      <c r="N307" t="s">
        <v>30</v>
      </c>
      <c r="O307">
        <v>37219</v>
      </c>
      <c r="P307" t="s">
        <v>1205</v>
      </c>
      <c r="Q307" s="2">
        <v>0.11</v>
      </c>
      <c r="R307" s="2">
        <v>32</v>
      </c>
      <c r="S307" s="2">
        <v>150</v>
      </c>
      <c r="T307" t="s">
        <v>1206</v>
      </c>
      <c r="U307" s="6">
        <v>25658</v>
      </c>
      <c r="V307" s="2">
        <v>47037011700</v>
      </c>
      <c r="W307" s="2" t="s">
        <v>68</v>
      </c>
      <c r="X307" s="1">
        <v>45658</v>
      </c>
      <c r="Y307" s="2">
        <v>248000</v>
      </c>
      <c r="Z307" s="2">
        <v>0</v>
      </c>
      <c r="AA307" s="2">
        <v>248000</v>
      </c>
    </row>
    <row r="308" spans="1:27" x14ac:dyDescent="0.3">
      <c r="A308" s="4" t="s">
        <v>1157</v>
      </c>
      <c r="B308" s="2" t="str">
        <f>"08212019300"</f>
        <v>08212019300</v>
      </c>
      <c r="C308" s="2" t="s">
        <v>1207</v>
      </c>
      <c r="D308" t="s">
        <v>29</v>
      </c>
      <c r="E308" s="2" t="s">
        <v>30</v>
      </c>
      <c r="F308" s="2">
        <v>37206</v>
      </c>
      <c r="G308" s="2" t="s">
        <v>64</v>
      </c>
      <c r="H308" t="s">
        <v>99</v>
      </c>
      <c r="I308" s="6">
        <v>43665</v>
      </c>
      <c r="J308" s="2" t="s">
        <v>1208</v>
      </c>
      <c r="K308" s="2">
        <v>455</v>
      </c>
      <c r="L308" t="s">
        <v>893</v>
      </c>
      <c r="M308" t="s">
        <v>29</v>
      </c>
      <c r="N308" t="s">
        <v>30</v>
      </c>
      <c r="O308">
        <v>37219</v>
      </c>
      <c r="P308" t="s">
        <v>1209</v>
      </c>
      <c r="Q308" s="2">
        <v>0.01</v>
      </c>
      <c r="R308" s="2">
        <v>48</v>
      </c>
      <c r="S308" s="2">
        <v>25</v>
      </c>
      <c r="T308" t="s">
        <v>1210</v>
      </c>
      <c r="U308" s="6">
        <v>27016</v>
      </c>
      <c r="V308" s="2">
        <v>47037011900</v>
      </c>
      <c r="W308" s="2" t="s">
        <v>68</v>
      </c>
      <c r="X308" s="1">
        <v>45658</v>
      </c>
      <c r="Y308" s="2">
        <v>3700</v>
      </c>
      <c r="Z308" s="2">
        <v>0</v>
      </c>
      <c r="AA308" s="2">
        <v>3700</v>
      </c>
    </row>
    <row r="309" spans="1:27" x14ac:dyDescent="0.3">
      <c r="A309" s="4" t="s">
        <v>1157</v>
      </c>
      <c r="B309" s="2" t="str">
        <f>"07213028200"</f>
        <v>07213028200</v>
      </c>
      <c r="C309" s="2" t="s">
        <v>1211</v>
      </c>
      <c r="D309" t="s">
        <v>29</v>
      </c>
      <c r="E309" s="2" t="s">
        <v>30</v>
      </c>
      <c r="F309" s="2">
        <v>37206</v>
      </c>
      <c r="G309" s="2" t="s">
        <v>64</v>
      </c>
      <c r="H309" t="s">
        <v>99</v>
      </c>
      <c r="I309" s="6">
        <v>29062</v>
      </c>
      <c r="J309" s="2" t="s">
        <v>1212</v>
      </c>
      <c r="K309" s="2">
        <v>255</v>
      </c>
      <c r="L309" t="s">
        <v>35</v>
      </c>
      <c r="M309" t="s">
        <v>29</v>
      </c>
      <c r="N309" t="s">
        <v>30</v>
      </c>
      <c r="O309">
        <v>37219</v>
      </c>
      <c r="P309" t="s">
        <v>1213</v>
      </c>
      <c r="Q309" s="2">
        <v>0.1</v>
      </c>
      <c r="R309" s="2">
        <v>20</v>
      </c>
      <c r="S309" s="2">
        <v>130</v>
      </c>
      <c r="T309" t="s">
        <v>1214</v>
      </c>
      <c r="U309" s="6">
        <v>17787</v>
      </c>
      <c r="V309" s="2">
        <v>47037011700</v>
      </c>
      <c r="W309" s="2" t="s">
        <v>68</v>
      </c>
      <c r="X309" s="1">
        <v>45658</v>
      </c>
      <c r="Y309" s="2">
        <v>12800</v>
      </c>
      <c r="Z309" s="2">
        <v>0</v>
      </c>
      <c r="AA309" s="2">
        <v>12800</v>
      </c>
    </row>
    <row r="310" spans="1:27" x14ac:dyDescent="0.3">
      <c r="A310" s="4" t="s">
        <v>1157</v>
      </c>
      <c r="B310" s="2" t="str">
        <f>"07213034500"</f>
        <v>07213034500</v>
      </c>
      <c r="C310" s="2" t="s">
        <v>1215</v>
      </c>
      <c r="D310" t="s">
        <v>29</v>
      </c>
      <c r="E310" s="2" t="s">
        <v>30</v>
      </c>
      <c r="F310" s="2">
        <v>37206</v>
      </c>
      <c r="G310" s="2" t="s">
        <v>64</v>
      </c>
      <c r="H310" t="s">
        <v>99</v>
      </c>
      <c r="I310" s="6">
        <v>40198</v>
      </c>
      <c r="J310" s="2" t="s">
        <v>1216</v>
      </c>
      <c r="K310" s="2">
        <v>541</v>
      </c>
      <c r="L310" t="s">
        <v>35</v>
      </c>
      <c r="M310" t="s">
        <v>29</v>
      </c>
      <c r="N310" t="s">
        <v>30</v>
      </c>
      <c r="O310">
        <v>37219</v>
      </c>
      <c r="P310" t="s">
        <v>1217</v>
      </c>
      <c r="Q310" s="2">
        <v>0.03</v>
      </c>
      <c r="R310" s="2">
        <v>66</v>
      </c>
      <c r="S310" s="2">
        <v>47</v>
      </c>
      <c r="T310" t="s">
        <v>1218</v>
      </c>
      <c r="U310" s="6">
        <v>16931</v>
      </c>
      <c r="V310" s="2">
        <v>47037011700</v>
      </c>
      <c r="W310" s="2" t="s">
        <v>68</v>
      </c>
      <c r="X310" s="1">
        <v>45658</v>
      </c>
      <c r="Y310" s="2">
        <v>2800</v>
      </c>
      <c r="Z310" s="2">
        <v>0</v>
      </c>
      <c r="AA310" s="2">
        <v>2800</v>
      </c>
    </row>
    <row r="311" spans="1:27" x14ac:dyDescent="0.3">
      <c r="A311" s="4" t="s">
        <v>1157</v>
      </c>
      <c r="B311" s="2" t="str">
        <f>"08204025000"</f>
        <v>08204025000</v>
      </c>
      <c r="C311" s="2" t="s">
        <v>1219</v>
      </c>
      <c r="D311" t="s">
        <v>29</v>
      </c>
      <c r="E311" s="2" t="s">
        <v>30</v>
      </c>
      <c r="F311" s="2">
        <v>37206</v>
      </c>
      <c r="G311" s="2" t="s">
        <v>64</v>
      </c>
      <c r="H311" t="s">
        <v>99</v>
      </c>
      <c r="I311" s="6">
        <v>29566</v>
      </c>
      <c r="J311" s="2" t="s">
        <v>1220</v>
      </c>
      <c r="K311" s="2" t="s">
        <v>34</v>
      </c>
      <c r="L311" t="s">
        <v>35</v>
      </c>
      <c r="M311" t="s">
        <v>29</v>
      </c>
      <c r="N311" t="s">
        <v>30</v>
      </c>
      <c r="O311">
        <v>37219</v>
      </c>
      <c r="P311" t="s">
        <v>1221</v>
      </c>
      <c r="Q311" s="2">
        <v>0.01</v>
      </c>
      <c r="R311" s="2">
        <v>49</v>
      </c>
      <c r="S311" s="2">
        <v>46</v>
      </c>
      <c r="T311" t="s">
        <v>1222</v>
      </c>
      <c r="U311" s="6">
        <v>23728</v>
      </c>
      <c r="V311" s="2">
        <v>47037011700</v>
      </c>
      <c r="W311" s="2" t="s">
        <v>68</v>
      </c>
      <c r="X311" s="1">
        <v>45658</v>
      </c>
      <c r="Y311" s="2">
        <v>1400</v>
      </c>
      <c r="Z311" s="2">
        <v>0</v>
      </c>
      <c r="AA311" s="2">
        <v>1400</v>
      </c>
    </row>
    <row r="312" spans="1:27" x14ac:dyDescent="0.3">
      <c r="A312" s="4" t="s">
        <v>1157</v>
      </c>
      <c r="B312" s="2" t="str">
        <f>"05100002200"</f>
        <v>05100002200</v>
      </c>
      <c r="C312" s="2" t="s">
        <v>1223</v>
      </c>
      <c r="D312" t="s">
        <v>866</v>
      </c>
      <c r="E312" s="2" t="s">
        <v>30</v>
      </c>
      <c r="F312" s="2">
        <v>37115</v>
      </c>
      <c r="G312" s="2" t="s">
        <v>152</v>
      </c>
      <c r="H312" t="s">
        <v>1224</v>
      </c>
      <c r="I312" s="6">
        <v>23439</v>
      </c>
      <c r="J312" s="2" t="s">
        <v>1225</v>
      </c>
      <c r="K312" s="2">
        <v>0</v>
      </c>
      <c r="L312" t="s">
        <v>35</v>
      </c>
      <c r="M312" t="s">
        <v>29</v>
      </c>
      <c r="N312" t="s">
        <v>30</v>
      </c>
      <c r="O312">
        <v>37219</v>
      </c>
      <c r="P312" t="s">
        <v>1226</v>
      </c>
      <c r="Q312" s="2">
        <v>29.79</v>
      </c>
      <c r="R312" s="2">
        <v>0</v>
      </c>
      <c r="S312" s="2">
        <v>0</v>
      </c>
      <c r="T312" t="s">
        <v>1227</v>
      </c>
      <c r="U312" s="6">
        <v>43411</v>
      </c>
      <c r="V312" s="2">
        <v>47037010903</v>
      </c>
      <c r="W312" s="2" t="s">
        <v>837</v>
      </c>
      <c r="X312" s="1">
        <v>45658</v>
      </c>
      <c r="Y312" s="2">
        <v>863900</v>
      </c>
      <c r="Z312" s="2">
        <v>0</v>
      </c>
      <c r="AA312" s="2">
        <v>863900</v>
      </c>
    </row>
    <row r="313" spans="1:27" x14ac:dyDescent="0.3">
      <c r="A313" s="4" t="s">
        <v>1157</v>
      </c>
      <c r="B313" s="2" t="str">
        <f>"08203022600"</f>
        <v>08203022600</v>
      </c>
      <c r="C313" s="2" t="s">
        <v>1228</v>
      </c>
      <c r="D313" t="s">
        <v>29</v>
      </c>
      <c r="E313" s="2" t="s">
        <v>30</v>
      </c>
      <c r="F313" s="2">
        <v>37207</v>
      </c>
      <c r="G313" s="2" t="s">
        <v>147</v>
      </c>
      <c r="H313" t="s">
        <v>1229</v>
      </c>
      <c r="I313" s="6">
        <v>22587</v>
      </c>
      <c r="J313" s="2" t="s">
        <v>1230</v>
      </c>
      <c r="K313" s="2" t="s">
        <v>34</v>
      </c>
      <c r="L313" t="s">
        <v>35</v>
      </c>
      <c r="M313" t="s">
        <v>29</v>
      </c>
      <c r="N313" t="s">
        <v>30</v>
      </c>
      <c r="O313">
        <v>37219</v>
      </c>
      <c r="P313" t="s">
        <v>1231</v>
      </c>
      <c r="Q313" s="2">
        <v>0.8</v>
      </c>
      <c r="R313" s="2">
        <v>169</v>
      </c>
      <c r="S313" s="2">
        <v>174</v>
      </c>
      <c r="T313" t="s">
        <v>1230</v>
      </c>
      <c r="U313" s="6">
        <v>22587</v>
      </c>
      <c r="V313" s="2">
        <v>47037012600</v>
      </c>
      <c r="W313" s="2" t="s">
        <v>68</v>
      </c>
      <c r="X313" s="1">
        <v>45658</v>
      </c>
      <c r="Y313" s="2">
        <v>1872000</v>
      </c>
      <c r="Z313" s="2">
        <v>0</v>
      </c>
      <c r="AA313" s="2">
        <v>1872000</v>
      </c>
    </row>
    <row r="314" spans="1:27" x14ac:dyDescent="0.3">
      <c r="A314" s="4" t="s">
        <v>1157</v>
      </c>
      <c r="B314" s="2" t="str">
        <f>"06008007100"</f>
        <v>06008007100</v>
      </c>
      <c r="C314" s="2" t="s">
        <v>1232</v>
      </c>
      <c r="D314" t="s">
        <v>29</v>
      </c>
      <c r="E314" s="2" t="s">
        <v>30</v>
      </c>
      <c r="F314" s="2">
        <v>37207</v>
      </c>
      <c r="G314" s="2" t="s">
        <v>147</v>
      </c>
      <c r="H314" t="s">
        <v>1233</v>
      </c>
      <c r="I314" s="6">
        <v>28297</v>
      </c>
      <c r="J314" s="2" t="s">
        <v>1234</v>
      </c>
      <c r="K314" s="2" t="s">
        <v>34</v>
      </c>
      <c r="L314" t="s">
        <v>35</v>
      </c>
      <c r="M314" t="s">
        <v>29</v>
      </c>
      <c r="N314" t="s">
        <v>30</v>
      </c>
      <c r="O314">
        <v>37219</v>
      </c>
      <c r="P314" t="s">
        <v>1235</v>
      </c>
      <c r="Q314" s="2">
        <v>1.59</v>
      </c>
      <c r="R314" s="2">
        <v>0</v>
      </c>
      <c r="S314" s="2">
        <v>0</v>
      </c>
      <c r="T314" t="s">
        <v>1236</v>
      </c>
      <c r="U314" s="6">
        <v>28894</v>
      </c>
      <c r="V314" s="2">
        <v>47037011001</v>
      </c>
      <c r="W314" s="2" t="s">
        <v>68</v>
      </c>
      <c r="X314" s="1">
        <v>45658</v>
      </c>
      <c r="Y314" s="2">
        <v>556900</v>
      </c>
      <c r="Z314" s="2">
        <v>0</v>
      </c>
      <c r="AA314" s="2">
        <v>556900</v>
      </c>
    </row>
    <row r="315" spans="1:27" x14ac:dyDescent="0.3">
      <c r="A315" s="4" t="s">
        <v>1157</v>
      </c>
      <c r="B315" s="2" t="str">
        <f>"07205007300"</f>
        <v>07205007300</v>
      </c>
      <c r="C315" s="2" t="s">
        <v>1237</v>
      </c>
      <c r="D315" t="s">
        <v>29</v>
      </c>
      <c r="E315" s="2" t="s">
        <v>30</v>
      </c>
      <c r="F315" s="2">
        <v>37216</v>
      </c>
      <c r="G315" s="2" t="s">
        <v>166</v>
      </c>
      <c r="H315" t="s">
        <v>1238</v>
      </c>
      <c r="I315" s="6">
        <v>24854</v>
      </c>
      <c r="J315" s="2" t="s">
        <v>1239</v>
      </c>
      <c r="K315" s="2" t="s">
        <v>34</v>
      </c>
      <c r="L315" t="s">
        <v>35</v>
      </c>
      <c r="M315" t="s">
        <v>29</v>
      </c>
      <c r="N315" t="s">
        <v>30</v>
      </c>
      <c r="O315">
        <v>37219</v>
      </c>
      <c r="P315" t="s">
        <v>1240</v>
      </c>
      <c r="Q315" s="2">
        <v>5.1100000000000003</v>
      </c>
      <c r="R315" s="2">
        <v>0</v>
      </c>
      <c r="S315" s="2">
        <v>0</v>
      </c>
      <c r="T315" t="s">
        <v>1241</v>
      </c>
      <c r="U315" s="6">
        <v>33302</v>
      </c>
      <c r="V315" s="2">
        <v>47037011200</v>
      </c>
      <c r="W315" s="2" t="s">
        <v>68</v>
      </c>
      <c r="X315" s="1">
        <v>45658</v>
      </c>
      <c r="Y315" s="2">
        <v>827800</v>
      </c>
      <c r="Z315" s="2">
        <v>0</v>
      </c>
      <c r="AA315" s="2">
        <v>827800</v>
      </c>
    </row>
    <row r="316" spans="1:27" x14ac:dyDescent="0.3">
      <c r="A316" s="4" t="s">
        <v>1157</v>
      </c>
      <c r="B316" s="2" t="str">
        <f>"07108031100"</f>
        <v>07108031100</v>
      </c>
      <c r="C316" s="2" t="s">
        <v>1242</v>
      </c>
      <c r="D316" t="s">
        <v>29</v>
      </c>
      <c r="E316" s="2" t="s">
        <v>30</v>
      </c>
      <c r="F316" s="2">
        <v>37207</v>
      </c>
      <c r="G316" s="2" t="s">
        <v>253</v>
      </c>
      <c r="H316" t="s">
        <v>1243</v>
      </c>
      <c r="I316" s="6">
        <v>33525</v>
      </c>
      <c r="J316" s="2" t="s">
        <v>1244</v>
      </c>
      <c r="K316" s="2" t="s">
        <v>34</v>
      </c>
      <c r="L316" t="s">
        <v>1245</v>
      </c>
      <c r="M316" t="s">
        <v>29</v>
      </c>
      <c r="N316" t="s">
        <v>30</v>
      </c>
      <c r="O316">
        <v>37208</v>
      </c>
      <c r="P316" t="s">
        <v>1246</v>
      </c>
      <c r="Q316" s="2">
        <v>6.82</v>
      </c>
      <c r="R316" s="2">
        <v>0</v>
      </c>
      <c r="S316" s="2">
        <v>0</v>
      </c>
      <c r="T316" t="s">
        <v>1247</v>
      </c>
      <c r="U316" s="6">
        <v>13489</v>
      </c>
      <c r="V316" s="2">
        <v>47037011300</v>
      </c>
      <c r="W316" s="2" t="s">
        <v>68</v>
      </c>
      <c r="X316" s="1">
        <v>45658</v>
      </c>
      <c r="Y316" s="2">
        <v>1063900</v>
      </c>
      <c r="Z316" s="2">
        <v>0</v>
      </c>
      <c r="AA316" s="2">
        <v>1063900</v>
      </c>
    </row>
    <row r="317" spans="1:27" x14ac:dyDescent="0.3">
      <c r="A317" s="4" t="s">
        <v>1157</v>
      </c>
      <c r="B317" s="2" t="str">
        <f>"07108006800"</f>
        <v>07108006800</v>
      </c>
      <c r="C317" s="2" t="s">
        <v>1248</v>
      </c>
      <c r="D317" t="s">
        <v>29</v>
      </c>
      <c r="E317" s="2" t="s">
        <v>30</v>
      </c>
      <c r="F317" s="2">
        <v>37207</v>
      </c>
      <c r="G317" s="2" t="s">
        <v>64</v>
      </c>
      <c r="H317" t="s">
        <v>171</v>
      </c>
      <c r="I317" s="6">
        <v>32703</v>
      </c>
      <c r="J317" s="2" t="s">
        <v>1249</v>
      </c>
      <c r="K317" s="2" t="s">
        <v>34</v>
      </c>
      <c r="L317" t="s">
        <v>35</v>
      </c>
      <c r="M317" t="s">
        <v>29</v>
      </c>
      <c r="N317" t="s">
        <v>30</v>
      </c>
      <c r="O317">
        <v>37219</v>
      </c>
      <c r="P317" t="s">
        <v>1250</v>
      </c>
      <c r="Q317" s="2">
        <v>0.13</v>
      </c>
      <c r="R317" s="2">
        <v>40</v>
      </c>
      <c r="S317" s="2">
        <v>140</v>
      </c>
      <c r="T317" t="s">
        <v>1251</v>
      </c>
      <c r="U317" s="6">
        <v>13554</v>
      </c>
      <c r="V317" s="2">
        <v>47037011300</v>
      </c>
      <c r="W317" s="2" t="s">
        <v>68</v>
      </c>
      <c r="X317" s="1">
        <v>45658</v>
      </c>
      <c r="Y317" s="2">
        <v>170000</v>
      </c>
      <c r="Z317" s="2">
        <v>0</v>
      </c>
      <c r="AA317" s="2">
        <v>170000</v>
      </c>
    </row>
    <row r="318" spans="1:27" x14ac:dyDescent="0.3">
      <c r="A318" s="4" t="s">
        <v>1157</v>
      </c>
      <c r="B318" s="2" t="str">
        <f>"07205006000"</f>
        <v>07205006000</v>
      </c>
      <c r="C318" s="2" t="s">
        <v>1252</v>
      </c>
      <c r="D318" t="s">
        <v>29</v>
      </c>
      <c r="E318" s="2" t="s">
        <v>30</v>
      </c>
      <c r="F318" s="2">
        <v>37207</v>
      </c>
      <c r="G318" s="2" t="s">
        <v>1253</v>
      </c>
      <c r="H318" t="s">
        <v>1254</v>
      </c>
      <c r="I318" s="6">
        <v>35738</v>
      </c>
      <c r="J318" s="2" t="s">
        <v>1255</v>
      </c>
      <c r="K318" s="2">
        <v>1200000</v>
      </c>
      <c r="L318" t="s">
        <v>35</v>
      </c>
      <c r="M318" t="s">
        <v>29</v>
      </c>
      <c r="N318" t="s">
        <v>30</v>
      </c>
      <c r="O318">
        <v>37219</v>
      </c>
      <c r="P318" t="s">
        <v>1256</v>
      </c>
      <c r="Q318" s="2">
        <v>12.61</v>
      </c>
      <c r="R318" s="2">
        <v>0</v>
      </c>
      <c r="S318" s="2">
        <v>0</v>
      </c>
      <c r="T318" t="s">
        <v>1257</v>
      </c>
      <c r="U318" s="6">
        <v>31414</v>
      </c>
      <c r="V318" s="2">
        <v>47037011300</v>
      </c>
      <c r="W318" s="2" t="s">
        <v>68</v>
      </c>
      <c r="X318" s="1">
        <v>45658</v>
      </c>
      <c r="Y318" s="2">
        <v>13298500</v>
      </c>
      <c r="Z318" s="2">
        <v>8758900</v>
      </c>
      <c r="AA318" s="2">
        <v>4539600</v>
      </c>
    </row>
    <row r="319" spans="1:27" x14ac:dyDescent="0.3">
      <c r="A319" s="4" t="s">
        <v>1157</v>
      </c>
      <c r="B319" s="2" t="str">
        <f>"06012010300"</f>
        <v>06012010300</v>
      </c>
      <c r="C319" s="2" t="s">
        <v>1258</v>
      </c>
      <c r="D319" t="s">
        <v>29</v>
      </c>
      <c r="E319" s="2" t="s">
        <v>30</v>
      </c>
      <c r="F319" s="2">
        <v>37207</v>
      </c>
      <c r="G319" s="2" t="s">
        <v>64</v>
      </c>
      <c r="H319" t="s">
        <v>911</v>
      </c>
      <c r="I319" s="6">
        <v>27135</v>
      </c>
      <c r="J319" s="2" t="s">
        <v>1259</v>
      </c>
      <c r="K319" s="2" t="s">
        <v>34</v>
      </c>
      <c r="L319" t="s">
        <v>35</v>
      </c>
      <c r="M319" t="s">
        <v>29</v>
      </c>
      <c r="N319" t="s">
        <v>30</v>
      </c>
      <c r="O319">
        <v>37219</v>
      </c>
      <c r="P319" t="s">
        <v>1260</v>
      </c>
      <c r="Q319" s="2">
        <v>0.01</v>
      </c>
      <c r="R319" s="2">
        <v>3</v>
      </c>
      <c r="S319" s="2">
        <v>200</v>
      </c>
      <c r="T319" t="s">
        <v>1259</v>
      </c>
      <c r="U319" s="6">
        <v>27135</v>
      </c>
      <c r="V319" s="2">
        <v>47037011001</v>
      </c>
      <c r="W319" s="2" t="s">
        <v>68</v>
      </c>
      <c r="X319" s="1">
        <v>45658</v>
      </c>
      <c r="Y319" s="2">
        <v>1000</v>
      </c>
      <c r="Z319" s="2">
        <v>0</v>
      </c>
      <c r="AA319" s="2">
        <v>1000</v>
      </c>
    </row>
    <row r="320" spans="1:27" x14ac:dyDescent="0.3">
      <c r="A320" s="4" t="s">
        <v>1157</v>
      </c>
      <c r="B320" s="2" t="str">
        <f>"06016013700"</f>
        <v>06016013700</v>
      </c>
      <c r="C320" s="2" t="s">
        <v>1258</v>
      </c>
      <c r="D320" t="s">
        <v>29</v>
      </c>
      <c r="E320" s="2" t="s">
        <v>30</v>
      </c>
      <c r="F320" s="2">
        <v>37207</v>
      </c>
      <c r="G320" s="2" t="s">
        <v>64</v>
      </c>
      <c r="H320" t="s">
        <v>911</v>
      </c>
      <c r="I320" s="6">
        <v>26373</v>
      </c>
      <c r="J320" s="2" t="s">
        <v>1261</v>
      </c>
      <c r="K320" s="2" t="s">
        <v>34</v>
      </c>
      <c r="L320" t="s">
        <v>35</v>
      </c>
      <c r="M320" t="s">
        <v>29</v>
      </c>
      <c r="N320" t="s">
        <v>30</v>
      </c>
      <c r="O320">
        <v>37219</v>
      </c>
      <c r="P320" t="s">
        <v>1262</v>
      </c>
      <c r="Q320" s="2">
        <v>0.01</v>
      </c>
      <c r="R320" s="2">
        <v>3</v>
      </c>
      <c r="S320" s="2">
        <v>330</v>
      </c>
      <c r="T320" t="s">
        <v>1261</v>
      </c>
      <c r="U320" s="6">
        <v>26373</v>
      </c>
      <c r="V320" s="2">
        <v>47037011001</v>
      </c>
      <c r="W320" s="2" t="s">
        <v>68</v>
      </c>
      <c r="X320" s="1">
        <v>45658</v>
      </c>
      <c r="Y320" s="2">
        <v>100</v>
      </c>
      <c r="Z320" s="2">
        <v>0</v>
      </c>
      <c r="AA320" s="2">
        <v>100</v>
      </c>
    </row>
    <row r="321" spans="1:27" x14ac:dyDescent="0.3">
      <c r="A321" s="4" t="s">
        <v>1157</v>
      </c>
      <c r="B321" s="2" t="str">
        <f>"07116013000"</f>
        <v>07116013000</v>
      </c>
      <c r="C321" s="2" t="s">
        <v>1263</v>
      </c>
      <c r="D321" t="s">
        <v>29</v>
      </c>
      <c r="E321" s="2" t="s">
        <v>30</v>
      </c>
      <c r="F321" s="2">
        <v>37207</v>
      </c>
      <c r="G321" s="2" t="s">
        <v>64</v>
      </c>
      <c r="H321" t="s">
        <v>176</v>
      </c>
      <c r="I321" s="6">
        <v>19171</v>
      </c>
      <c r="J321" s="2" t="s">
        <v>1264</v>
      </c>
      <c r="K321" s="2" t="s">
        <v>34</v>
      </c>
      <c r="L321" t="s">
        <v>178</v>
      </c>
      <c r="M321" t="s">
        <v>29</v>
      </c>
      <c r="N321" t="s">
        <v>30</v>
      </c>
      <c r="O321">
        <v>37246</v>
      </c>
      <c r="P321" t="s">
        <v>1265</v>
      </c>
      <c r="Q321" s="2">
        <v>0.28000000000000003</v>
      </c>
      <c r="R321" s="2">
        <v>132</v>
      </c>
      <c r="S321" s="2">
        <v>180</v>
      </c>
      <c r="T321" t="s">
        <v>1264</v>
      </c>
      <c r="U321" s="6">
        <v>19171</v>
      </c>
      <c r="V321" s="2">
        <v>47037011300</v>
      </c>
      <c r="W321" s="2" t="s">
        <v>68</v>
      </c>
      <c r="X321" s="1">
        <v>45658</v>
      </c>
      <c r="Y321" s="2">
        <v>330000</v>
      </c>
      <c r="Z321" s="2">
        <v>0</v>
      </c>
      <c r="AA321" s="2">
        <v>330000</v>
      </c>
    </row>
    <row r="322" spans="1:27" x14ac:dyDescent="0.3">
      <c r="A322" s="4" t="s">
        <v>1157</v>
      </c>
      <c r="B322" s="2" t="str">
        <f>"07115036400"</f>
        <v>07115036400</v>
      </c>
      <c r="C322" s="2" t="s">
        <v>1266</v>
      </c>
      <c r="D322" t="s">
        <v>29</v>
      </c>
      <c r="E322" s="2" t="s">
        <v>30</v>
      </c>
      <c r="F322" s="2">
        <v>37207</v>
      </c>
      <c r="G322" s="2" t="s">
        <v>152</v>
      </c>
      <c r="H322" t="s">
        <v>176</v>
      </c>
      <c r="I322" s="6">
        <v>14472</v>
      </c>
      <c r="J322" s="2" t="s">
        <v>1267</v>
      </c>
      <c r="K322" s="2" t="s">
        <v>34</v>
      </c>
      <c r="L322" t="s">
        <v>178</v>
      </c>
      <c r="M322" t="s">
        <v>29</v>
      </c>
      <c r="N322" t="s">
        <v>30</v>
      </c>
      <c r="O322">
        <v>37246</v>
      </c>
      <c r="P322" t="s">
        <v>1268</v>
      </c>
      <c r="Q322" s="2">
        <v>0.2</v>
      </c>
      <c r="R322" s="2">
        <v>50</v>
      </c>
      <c r="S322" s="2">
        <v>170</v>
      </c>
      <c r="T322" t="s">
        <v>1267</v>
      </c>
      <c r="U322" s="6">
        <v>14472</v>
      </c>
      <c r="V322" s="2">
        <v>47037012600</v>
      </c>
      <c r="W322" s="2" t="s">
        <v>68</v>
      </c>
      <c r="X322" s="1">
        <v>45658</v>
      </c>
      <c r="Y322" s="2">
        <v>350000</v>
      </c>
      <c r="Z322" s="2">
        <v>0</v>
      </c>
      <c r="AA322" s="2">
        <v>350000</v>
      </c>
    </row>
    <row r="323" spans="1:27" x14ac:dyDescent="0.3">
      <c r="A323" s="4" t="s">
        <v>1157</v>
      </c>
      <c r="B323" s="2" t="str">
        <f>"08212028700"</f>
        <v>08212028700</v>
      </c>
      <c r="C323" s="2" t="s">
        <v>1269</v>
      </c>
      <c r="D323" t="s">
        <v>29</v>
      </c>
      <c r="E323" s="2" t="s">
        <v>30</v>
      </c>
      <c r="F323" s="2">
        <v>37206</v>
      </c>
      <c r="G323" s="2" t="s">
        <v>152</v>
      </c>
      <c r="H323" t="s">
        <v>176</v>
      </c>
      <c r="I323" s="6">
        <v>14474</v>
      </c>
      <c r="J323" s="2" t="s">
        <v>1270</v>
      </c>
      <c r="K323" s="2" t="s">
        <v>34</v>
      </c>
      <c r="L323" t="s">
        <v>178</v>
      </c>
      <c r="M323" t="s">
        <v>29</v>
      </c>
      <c r="N323" t="s">
        <v>30</v>
      </c>
      <c r="O323">
        <v>37246</v>
      </c>
      <c r="P323" t="s">
        <v>1271</v>
      </c>
      <c r="Q323" s="2">
        <v>0.42</v>
      </c>
      <c r="R323" s="2">
        <v>166</v>
      </c>
      <c r="S323" s="2">
        <v>196</v>
      </c>
      <c r="T323" t="s">
        <v>1272</v>
      </c>
      <c r="U323" s="6">
        <v>42676</v>
      </c>
      <c r="V323" s="2">
        <v>47037011900</v>
      </c>
      <c r="W323" s="2" t="s">
        <v>68</v>
      </c>
      <c r="X323" s="1">
        <v>45658</v>
      </c>
      <c r="Y323" s="2">
        <v>173900</v>
      </c>
      <c r="Z323" s="2">
        <v>0</v>
      </c>
      <c r="AA323" s="2">
        <v>173900</v>
      </c>
    </row>
    <row r="324" spans="1:27" x14ac:dyDescent="0.3">
      <c r="A324" s="4" t="s">
        <v>1157</v>
      </c>
      <c r="B324" s="2" t="str">
        <f>"08212028900"</f>
        <v>08212028900</v>
      </c>
      <c r="C324" s="2" t="s">
        <v>1273</v>
      </c>
      <c r="D324" t="s">
        <v>29</v>
      </c>
      <c r="E324" s="2" t="s">
        <v>30</v>
      </c>
      <c r="F324" s="2">
        <v>37206</v>
      </c>
      <c r="G324" s="2" t="s">
        <v>152</v>
      </c>
      <c r="H324" t="s">
        <v>176</v>
      </c>
      <c r="I324" s="6">
        <v>21662</v>
      </c>
      <c r="J324" s="2" t="s">
        <v>1274</v>
      </c>
      <c r="K324" s="2" t="s">
        <v>34</v>
      </c>
      <c r="L324" t="s">
        <v>178</v>
      </c>
      <c r="M324" t="s">
        <v>29</v>
      </c>
      <c r="N324" t="s">
        <v>30</v>
      </c>
      <c r="O324">
        <v>37246</v>
      </c>
      <c r="P324" t="s">
        <v>1275</v>
      </c>
      <c r="Q324" s="2">
        <v>0.56000000000000005</v>
      </c>
      <c r="R324" s="2">
        <v>103</v>
      </c>
      <c r="S324" s="2">
        <v>192</v>
      </c>
      <c r="T324" t="s">
        <v>1272</v>
      </c>
      <c r="U324" s="6">
        <v>42676</v>
      </c>
      <c r="V324" s="2">
        <v>47037011900</v>
      </c>
      <c r="W324" s="2" t="s">
        <v>68</v>
      </c>
      <c r="X324" s="1">
        <v>45658</v>
      </c>
      <c r="Y324" s="2">
        <v>190400</v>
      </c>
      <c r="Z324" s="2">
        <v>0</v>
      </c>
      <c r="AA324" s="2">
        <v>190400</v>
      </c>
    </row>
    <row r="325" spans="1:27" x14ac:dyDescent="0.3">
      <c r="A325" s="4" t="s">
        <v>1157</v>
      </c>
      <c r="B325" s="2" t="str">
        <f>"08212028600"</f>
        <v>08212028600</v>
      </c>
      <c r="C325" s="2" t="s">
        <v>1276</v>
      </c>
      <c r="D325" t="s">
        <v>29</v>
      </c>
      <c r="E325" s="2" t="s">
        <v>30</v>
      </c>
      <c r="F325" s="2">
        <v>37206</v>
      </c>
      <c r="G325" s="2" t="s">
        <v>152</v>
      </c>
      <c r="H325" t="s">
        <v>176</v>
      </c>
      <c r="I325" s="6">
        <v>21653</v>
      </c>
      <c r="J325" s="2" t="s">
        <v>1277</v>
      </c>
      <c r="K325" s="2" t="s">
        <v>34</v>
      </c>
      <c r="L325" t="s">
        <v>178</v>
      </c>
      <c r="M325" t="s">
        <v>29</v>
      </c>
      <c r="N325" t="s">
        <v>30</v>
      </c>
      <c r="O325">
        <v>37246</v>
      </c>
      <c r="P325" t="s">
        <v>1278</v>
      </c>
      <c r="Q325" s="2">
        <v>0.18</v>
      </c>
      <c r="R325" s="2">
        <v>50</v>
      </c>
      <c r="S325" s="2">
        <v>160</v>
      </c>
      <c r="T325" t="s">
        <v>1272</v>
      </c>
      <c r="U325" s="6">
        <v>42676</v>
      </c>
      <c r="V325" s="2">
        <v>47037011900</v>
      </c>
      <c r="W325" s="2" t="s">
        <v>68</v>
      </c>
      <c r="X325" s="1">
        <v>45658</v>
      </c>
      <c r="Y325" s="2">
        <v>165600</v>
      </c>
      <c r="Z325" s="2">
        <v>0</v>
      </c>
      <c r="AA325" s="2">
        <v>165600</v>
      </c>
    </row>
    <row r="326" spans="1:27" x14ac:dyDescent="0.3">
      <c r="A326" s="4" t="s">
        <v>1157</v>
      </c>
      <c r="B326" s="2" t="str">
        <f>"08212028500"</f>
        <v>08212028500</v>
      </c>
      <c r="C326" s="2" t="s">
        <v>1279</v>
      </c>
      <c r="D326" t="s">
        <v>29</v>
      </c>
      <c r="E326" s="2" t="s">
        <v>30</v>
      </c>
      <c r="F326" s="2">
        <v>37206</v>
      </c>
      <c r="G326" s="2" t="s">
        <v>152</v>
      </c>
      <c r="H326" t="s">
        <v>176</v>
      </c>
      <c r="I326" s="6">
        <v>21657</v>
      </c>
      <c r="J326" s="2" t="s">
        <v>1280</v>
      </c>
      <c r="K326" s="2" t="s">
        <v>34</v>
      </c>
      <c r="L326" t="s">
        <v>178</v>
      </c>
      <c r="M326" t="s">
        <v>29</v>
      </c>
      <c r="N326" t="s">
        <v>30</v>
      </c>
      <c r="O326">
        <v>37246</v>
      </c>
      <c r="P326" t="s">
        <v>1281</v>
      </c>
      <c r="Q326" s="2">
        <v>0.19</v>
      </c>
      <c r="R326" s="2">
        <v>50</v>
      </c>
      <c r="S326" s="2">
        <v>159</v>
      </c>
      <c r="T326" t="s">
        <v>1272</v>
      </c>
      <c r="U326" s="6">
        <v>42676</v>
      </c>
      <c r="V326" s="2">
        <v>47037011900</v>
      </c>
      <c r="W326" s="2" t="s">
        <v>68</v>
      </c>
      <c r="X326" s="1">
        <v>45658</v>
      </c>
      <c r="Y326" s="2">
        <v>165600</v>
      </c>
      <c r="Z326" s="2">
        <v>0</v>
      </c>
      <c r="AA326" s="2">
        <v>165600</v>
      </c>
    </row>
    <row r="327" spans="1:27" x14ac:dyDescent="0.3">
      <c r="A327" s="4" t="s">
        <v>1157</v>
      </c>
      <c r="B327" s="2" t="str">
        <f>"08212028400"</f>
        <v>08212028400</v>
      </c>
      <c r="C327" s="2" t="s">
        <v>1282</v>
      </c>
      <c r="D327" t="s">
        <v>29</v>
      </c>
      <c r="E327" s="2" t="s">
        <v>30</v>
      </c>
      <c r="F327" s="2">
        <v>37206</v>
      </c>
      <c r="G327" s="2" t="s">
        <v>152</v>
      </c>
      <c r="H327" t="s">
        <v>176</v>
      </c>
      <c r="I327" s="6">
        <v>21657</v>
      </c>
      <c r="J327" s="2" t="s">
        <v>1280</v>
      </c>
      <c r="K327" s="2" t="s">
        <v>34</v>
      </c>
      <c r="L327" t="s">
        <v>178</v>
      </c>
      <c r="M327" t="s">
        <v>29</v>
      </c>
      <c r="N327" t="s">
        <v>30</v>
      </c>
      <c r="O327">
        <v>37246</v>
      </c>
      <c r="P327" t="s">
        <v>1283</v>
      </c>
      <c r="Q327" s="2">
        <v>0.17</v>
      </c>
      <c r="R327" s="2">
        <v>50</v>
      </c>
      <c r="S327" s="2">
        <v>159</v>
      </c>
      <c r="T327" t="s">
        <v>1272</v>
      </c>
      <c r="U327" s="6">
        <v>42676</v>
      </c>
      <c r="V327" s="2">
        <v>47037011900</v>
      </c>
      <c r="W327" s="2" t="s">
        <v>68</v>
      </c>
      <c r="X327" s="1">
        <v>45658</v>
      </c>
      <c r="Y327" s="2">
        <v>165600</v>
      </c>
      <c r="Z327" s="2">
        <v>0</v>
      </c>
      <c r="AA327" s="2">
        <v>165600</v>
      </c>
    </row>
    <row r="328" spans="1:27" x14ac:dyDescent="0.3">
      <c r="A328" s="4" t="s">
        <v>1157</v>
      </c>
      <c r="B328" s="2" t="str">
        <f>"08212029100"</f>
        <v>08212029100</v>
      </c>
      <c r="C328" s="2" t="s">
        <v>1284</v>
      </c>
      <c r="D328" t="s">
        <v>29</v>
      </c>
      <c r="E328" s="2" t="s">
        <v>30</v>
      </c>
      <c r="F328" s="2">
        <v>37206</v>
      </c>
      <c r="G328" s="2" t="s">
        <v>152</v>
      </c>
      <c r="H328" t="s">
        <v>176</v>
      </c>
      <c r="I328" s="6">
        <v>21660</v>
      </c>
      <c r="J328" s="2" t="s">
        <v>1285</v>
      </c>
      <c r="K328" s="2" t="s">
        <v>34</v>
      </c>
      <c r="L328" t="s">
        <v>178</v>
      </c>
      <c r="M328" t="s">
        <v>29</v>
      </c>
      <c r="N328" t="s">
        <v>30</v>
      </c>
      <c r="O328">
        <v>37246</v>
      </c>
      <c r="P328" t="s">
        <v>1286</v>
      </c>
      <c r="Q328" s="2">
        <v>0.17</v>
      </c>
      <c r="R328" s="2">
        <v>50</v>
      </c>
      <c r="S328" s="2">
        <v>158</v>
      </c>
      <c r="T328" t="s">
        <v>1272</v>
      </c>
      <c r="U328" s="6">
        <v>42676</v>
      </c>
      <c r="V328" s="2">
        <v>47037011900</v>
      </c>
      <c r="W328" s="2" t="s">
        <v>68</v>
      </c>
      <c r="X328" s="1">
        <v>45658</v>
      </c>
      <c r="Y328" s="2">
        <v>165600</v>
      </c>
      <c r="Z328" s="2">
        <v>0</v>
      </c>
      <c r="AA328" s="2">
        <v>165600</v>
      </c>
    </row>
    <row r="329" spans="1:27" x14ac:dyDescent="0.3">
      <c r="A329" s="4" t="s">
        <v>1157</v>
      </c>
      <c r="B329" s="2" t="str">
        <f>"08212028300"</f>
        <v>08212028300</v>
      </c>
      <c r="C329" s="2" t="s">
        <v>1287</v>
      </c>
      <c r="D329" t="s">
        <v>29</v>
      </c>
      <c r="E329" s="2" t="s">
        <v>30</v>
      </c>
      <c r="F329" s="2">
        <v>37206</v>
      </c>
      <c r="G329" s="2" t="s">
        <v>152</v>
      </c>
      <c r="H329" t="s">
        <v>176</v>
      </c>
      <c r="I329" s="6">
        <v>22320</v>
      </c>
      <c r="J329" s="2" t="s">
        <v>1288</v>
      </c>
      <c r="K329" s="2" t="s">
        <v>34</v>
      </c>
      <c r="L329" t="s">
        <v>178</v>
      </c>
      <c r="M329" t="s">
        <v>29</v>
      </c>
      <c r="N329" t="s">
        <v>30</v>
      </c>
      <c r="O329">
        <v>37246</v>
      </c>
      <c r="P329" t="s">
        <v>1289</v>
      </c>
      <c r="Q329" s="2">
        <v>0.19</v>
      </c>
      <c r="R329" s="2">
        <v>50</v>
      </c>
      <c r="S329" s="2">
        <v>159</v>
      </c>
      <c r="T329" t="s">
        <v>1272</v>
      </c>
      <c r="U329" s="6">
        <v>42676</v>
      </c>
      <c r="V329" s="2">
        <v>47037011900</v>
      </c>
      <c r="W329" s="2" t="s">
        <v>68</v>
      </c>
      <c r="X329" s="1">
        <v>45658</v>
      </c>
      <c r="Y329" s="2">
        <v>165600</v>
      </c>
      <c r="Z329" s="2">
        <v>0</v>
      </c>
      <c r="AA329" s="2">
        <v>165600</v>
      </c>
    </row>
    <row r="330" spans="1:27" x14ac:dyDescent="0.3">
      <c r="A330" s="4" t="s">
        <v>1157</v>
      </c>
      <c r="B330" s="2" t="str">
        <f>"08212028200"</f>
        <v>08212028200</v>
      </c>
      <c r="C330" s="2" t="s">
        <v>1290</v>
      </c>
      <c r="D330" t="s">
        <v>29</v>
      </c>
      <c r="E330" s="2" t="s">
        <v>30</v>
      </c>
      <c r="F330" s="2">
        <v>37206</v>
      </c>
      <c r="G330" s="2" t="s">
        <v>152</v>
      </c>
      <c r="H330" t="s">
        <v>176</v>
      </c>
      <c r="I330" s="6">
        <v>22320</v>
      </c>
      <c r="J330" s="2" t="s">
        <v>1288</v>
      </c>
      <c r="K330" s="2" t="s">
        <v>34</v>
      </c>
      <c r="L330" t="s">
        <v>178</v>
      </c>
      <c r="M330" t="s">
        <v>29</v>
      </c>
      <c r="N330" t="s">
        <v>30</v>
      </c>
      <c r="O330">
        <v>37246</v>
      </c>
      <c r="P330" t="s">
        <v>1291</v>
      </c>
      <c r="Q330" s="2">
        <v>0.18</v>
      </c>
      <c r="R330" s="2">
        <v>50</v>
      </c>
      <c r="S330" s="2">
        <v>159</v>
      </c>
      <c r="T330" t="s">
        <v>1272</v>
      </c>
      <c r="U330" s="6">
        <v>42676</v>
      </c>
      <c r="V330" s="2">
        <v>47037011900</v>
      </c>
      <c r="W330" s="2" t="s">
        <v>68</v>
      </c>
      <c r="X330" s="1">
        <v>45658</v>
      </c>
      <c r="Y330" s="2">
        <v>165600</v>
      </c>
      <c r="Z330" s="2">
        <v>0</v>
      </c>
      <c r="AA330" s="2">
        <v>165600</v>
      </c>
    </row>
    <row r="331" spans="1:27" x14ac:dyDescent="0.3">
      <c r="A331" s="4" t="s">
        <v>1157</v>
      </c>
      <c r="B331" s="2" t="str">
        <f>"08212029200"</f>
        <v>08212029200</v>
      </c>
      <c r="C331" s="2" t="s">
        <v>1292</v>
      </c>
      <c r="D331" t="s">
        <v>29</v>
      </c>
      <c r="E331" s="2" t="s">
        <v>30</v>
      </c>
      <c r="F331" s="2">
        <v>37206</v>
      </c>
      <c r="G331" s="2" t="s">
        <v>152</v>
      </c>
      <c r="H331" t="s">
        <v>176</v>
      </c>
      <c r="I331" s="6">
        <v>21660</v>
      </c>
      <c r="J331" s="2" t="s">
        <v>1293</v>
      </c>
      <c r="K331" s="2" t="s">
        <v>34</v>
      </c>
      <c r="L331" t="s">
        <v>178</v>
      </c>
      <c r="M331" t="s">
        <v>29</v>
      </c>
      <c r="N331" t="s">
        <v>30</v>
      </c>
      <c r="O331">
        <v>37246</v>
      </c>
      <c r="P331" t="s">
        <v>1294</v>
      </c>
      <c r="Q331" s="2">
        <v>0.08</v>
      </c>
      <c r="R331" s="2">
        <v>25</v>
      </c>
      <c r="S331" s="2">
        <v>159</v>
      </c>
      <c r="T331" t="s">
        <v>1295</v>
      </c>
      <c r="U331" s="6">
        <v>42782</v>
      </c>
      <c r="V331" s="2">
        <v>47037011900</v>
      </c>
      <c r="W331" s="2" t="s">
        <v>68</v>
      </c>
      <c r="X331" s="1">
        <v>45658</v>
      </c>
      <c r="Y331" s="2">
        <v>392100</v>
      </c>
      <c r="Z331" s="2">
        <v>0</v>
      </c>
      <c r="AA331" s="2">
        <v>392100</v>
      </c>
    </row>
    <row r="332" spans="1:27" x14ac:dyDescent="0.3">
      <c r="A332" s="4" t="s">
        <v>1157</v>
      </c>
      <c r="B332" s="2" t="str">
        <f>"07103007900"</f>
        <v>07103007900</v>
      </c>
      <c r="C332" s="2" t="s">
        <v>1296</v>
      </c>
      <c r="D332" t="s">
        <v>29</v>
      </c>
      <c r="E332" s="2" t="s">
        <v>30</v>
      </c>
      <c r="F332" s="2">
        <v>37207</v>
      </c>
      <c r="G332" s="2" t="s">
        <v>152</v>
      </c>
      <c r="H332" t="s">
        <v>176</v>
      </c>
      <c r="I332" s="6">
        <v>18533</v>
      </c>
      <c r="J332" s="2" t="s">
        <v>1297</v>
      </c>
      <c r="K332" s="2" t="s">
        <v>34</v>
      </c>
      <c r="L332" t="s">
        <v>178</v>
      </c>
      <c r="M332" t="s">
        <v>29</v>
      </c>
      <c r="N332" t="s">
        <v>30</v>
      </c>
      <c r="O332">
        <v>37246</v>
      </c>
      <c r="P332" t="s">
        <v>1298</v>
      </c>
      <c r="Q332" s="2">
        <v>0.28000000000000003</v>
      </c>
      <c r="R332" s="2">
        <v>66</v>
      </c>
      <c r="S332" s="2">
        <v>180</v>
      </c>
      <c r="T332" t="s">
        <v>1297</v>
      </c>
      <c r="U332" s="6">
        <v>18533</v>
      </c>
      <c r="V332" s="2">
        <v>47037011001</v>
      </c>
      <c r="W332" s="2" t="s">
        <v>68</v>
      </c>
      <c r="X332" s="1">
        <v>45658</v>
      </c>
      <c r="Y332" s="2">
        <v>128700</v>
      </c>
      <c r="Z332" s="2">
        <v>0</v>
      </c>
      <c r="AA332" s="2">
        <v>128700</v>
      </c>
    </row>
    <row r="333" spans="1:27" x14ac:dyDescent="0.3">
      <c r="A333" s="4" t="s">
        <v>1157</v>
      </c>
      <c r="B333" s="2" t="str">
        <f>"07205001401"</f>
        <v>07205001401</v>
      </c>
      <c r="C333" s="2" t="s">
        <v>1299</v>
      </c>
      <c r="D333" t="s">
        <v>29</v>
      </c>
      <c r="E333" s="2" t="s">
        <v>30</v>
      </c>
      <c r="F333" s="2">
        <v>37207</v>
      </c>
      <c r="G333" s="2" t="s">
        <v>152</v>
      </c>
      <c r="H333" t="s">
        <v>176</v>
      </c>
      <c r="I333" s="6">
        <v>27395</v>
      </c>
      <c r="J333" s="2" t="s">
        <v>1300</v>
      </c>
      <c r="K333" s="2" t="s">
        <v>34</v>
      </c>
      <c r="L333" t="s">
        <v>178</v>
      </c>
      <c r="M333" t="s">
        <v>29</v>
      </c>
      <c r="N333" t="s">
        <v>30</v>
      </c>
      <c r="O333">
        <v>37246</v>
      </c>
      <c r="P333" t="s">
        <v>1301</v>
      </c>
      <c r="Q333" s="2">
        <v>0.22</v>
      </c>
      <c r="R333" s="2">
        <v>55</v>
      </c>
      <c r="S333" s="2">
        <v>213</v>
      </c>
      <c r="T333" t="s">
        <v>1302</v>
      </c>
      <c r="U333" s="6">
        <v>22866</v>
      </c>
      <c r="V333" s="2">
        <v>47037011300</v>
      </c>
      <c r="W333" s="2" t="s">
        <v>68</v>
      </c>
      <c r="X333" s="1">
        <v>45658</v>
      </c>
      <c r="Y333" s="2">
        <v>315500</v>
      </c>
      <c r="Z333" s="2">
        <v>0</v>
      </c>
      <c r="AA333" s="2">
        <v>315500</v>
      </c>
    </row>
    <row r="334" spans="1:27" x14ac:dyDescent="0.3">
      <c r="A334" s="4" t="s">
        <v>1157</v>
      </c>
      <c r="B334" s="2" t="str">
        <f>"08212029000"</f>
        <v>08212029000</v>
      </c>
      <c r="C334" s="2" t="s">
        <v>1303</v>
      </c>
      <c r="D334" t="s">
        <v>29</v>
      </c>
      <c r="E334" s="2" t="s">
        <v>30</v>
      </c>
      <c r="F334" s="2">
        <v>37206</v>
      </c>
      <c r="G334" s="2" t="s">
        <v>152</v>
      </c>
      <c r="H334" t="s">
        <v>1304</v>
      </c>
      <c r="I334" s="6">
        <v>21660</v>
      </c>
      <c r="J334" s="2" t="s">
        <v>1305</v>
      </c>
      <c r="K334" s="2">
        <v>0</v>
      </c>
      <c r="L334" t="s">
        <v>178</v>
      </c>
      <c r="M334" t="s">
        <v>29</v>
      </c>
      <c r="N334" t="s">
        <v>30</v>
      </c>
      <c r="O334">
        <v>37246</v>
      </c>
      <c r="P334" t="s">
        <v>1306</v>
      </c>
      <c r="Q334" s="2">
        <v>0.19</v>
      </c>
      <c r="R334" s="2">
        <v>50</v>
      </c>
      <c r="S334" s="2">
        <v>159</v>
      </c>
      <c r="T334" t="s">
        <v>1272</v>
      </c>
      <c r="U334" s="6">
        <v>42676</v>
      </c>
      <c r="V334" s="2">
        <v>47037011900</v>
      </c>
      <c r="W334" s="2" t="s">
        <v>68</v>
      </c>
      <c r="X334" s="1">
        <v>45658</v>
      </c>
      <c r="Y334" s="2">
        <v>165600</v>
      </c>
      <c r="Z334" s="2">
        <v>0</v>
      </c>
      <c r="AA334" s="2">
        <v>165600</v>
      </c>
    </row>
    <row r="335" spans="1:27" x14ac:dyDescent="0.3">
      <c r="A335" s="4" t="s">
        <v>1157</v>
      </c>
      <c r="B335" s="2" t="str">
        <f>"08204013700"</f>
        <v>08204013700</v>
      </c>
      <c r="C335" s="2" t="s">
        <v>1307</v>
      </c>
      <c r="D335" t="s">
        <v>29</v>
      </c>
      <c r="E335" s="2" t="s">
        <v>30</v>
      </c>
      <c r="F335" s="2">
        <v>37207</v>
      </c>
      <c r="G335" s="2" t="s">
        <v>200</v>
      </c>
      <c r="H335" t="s">
        <v>1308</v>
      </c>
      <c r="I335" s="6">
        <v>23097</v>
      </c>
      <c r="J335" s="2" t="s">
        <v>1309</v>
      </c>
      <c r="K335" s="2" t="s">
        <v>34</v>
      </c>
      <c r="L335" t="s">
        <v>35</v>
      </c>
      <c r="M335" t="s">
        <v>29</v>
      </c>
      <c r="N335" t="s">
        <v>30</v>
      </c>
      <c r="O335">
        <v>37219</v>
      </c>
      <c r="P335" t="s">
        <v>1310</v>
      </c>
      <c r="Q335" s="2">
        <v>18.399999999999999</v>
      </c>
      <c r="R335" s="2">
        <v>0</v>
      </c>
      <c r="S335" s="2">
        <v>0</v>
      </c>
      <c r="T335" t="s">
        <v>278</v>
      </c>
      <c r="U335" s="6">
        <v>36578</v>
      </c>
      <c r="V335" s="2">
        <v>47037011800</v>
      </c>
      <c r="W335" s="2" t="s">
        <v>68</v>
      </c>
      <c r="X335" s="1">
        <v>45658</v>
      </c>
      <c r="Y335" s="2">
        <v>1840000</v>
      </c>
      <c r="Z335" s="2">
        <v>0</v>
      </c>
      <c r="AA335" s="2">
        <v>1840000</v>
      </c>
    </row>
    <row r="336" spans="1:27" x14ac:dyDescent="0.3">
      <c r="A336" s="4" t="s">
        <v>1157</v>
      </c>
      <c r="B336" s="2" t="str">
        <f>"08211010300"</f>
        <v>08211010300</v>
      </c>
      <c r="C336" s="2" t="s">
        <v>1311</v>
      </c>
      <c r="D336" t="s">
        <v>29</v>
      </c>
      <c r="E336" s="2" t="s">
        <v>30</v>
      </c>
      <c r="F336" s="2">
        <v>37206</v>
      </c>
      <c r="G336" s="2" t="s">
        <v>152</v>
      </c>
      <c r="H336" t="s">
        <v>1312</v>
      </c>
      <c r="I336" s="6">
        <v>26210</v>
      </c>
      <c r="J336" s="2" t="s">
        <v>1313</v>
      </c>
      <c r="K336" s="2" t="s">
        <v>34</v>
      </c>
      <c r="L336" t="s">
        <v>35</v>
      </c>
      <c r="M336" t="s">
        <v>29</v>
      </c>
      <c r="N336" t="s">
        <v>30</v>
      </c>
      <c r="O336">
        <v>37219</v>
      </c>
      <c r="P336" t="s">
        <v>1314</v>
      </c>
      <c r="Q336" s="2">
        <v>20.350000000000001</v>
      </c>
      <c r="R336" s="2">
        <v>1113</v>
      </c>
      <c r="S336" s="2">
        <v>0</v>
      </c>
      <c r="T336" t="s">
        <v>1315</v>
      </c>
      <c r="U336" s="6">
        <v>39507</v>
      </c>
      <c r="V336" s="2">
        <v>47037011900</v>
      </c>
      <c r="W336" s="2" t="s">
        <v>68</v>
      </c>
      <c r="X336" s="1">
        <v>45658</v>
      </c>
      <c r="Y336" s="2">
        <v>6227100</v>
      </c>
      <c r="Z336" s="2">
        <v>0</v>
      </c>
      <c r="AA336" s="2">
        <v>6227100</v>
      </c>
    </row>
    <row r="337" spans="1:27" x14ac:dyDescent="0.3">
      <c r="A337" s="4" t="s">
        <v>1157</v>
      </c>
      <c r="B337" s="2" t="str">
        <f>"08211017800"</f>
        <v>08211017800</v>
      </c>
      <c r="C337" s="2" t="s">
        <v>1316</v>
      </c>
      <c r="D337" t="s">
        <v>29</v>
      </c>
      <c r="E337" s="2" t="s">
        <v>30</v>
      </c>
      <c r="F337" s="2">
        <v>37206</v>
      </c>
      <c r="G337" s="2" t="s">
        <v>152</v>
      </c>
      <c r="H337" t="s">
        <v>1312</v>
      </c>
      <c r="I337" s="6">
        <v>26210</v>
      </c>
      <c r="J337" s="2" t="s">
        <v>1313</v>
      </c>
      <c r="K337" s="2">
        <v>0</v>
      </c>
      <c r="L337" t="s">
        <v>35</v>
      </c>
      <c r="M337" t="s">
        <v>29</v>
      </c>
      <c r="N337" t="s">
        <v>30</v>
      </c>
      <c r="O337">
        <v>37219</v>
      </c>
      <c r="P337" t="s">
        <v>1317</v>
      </c>
      <c r="Q337" s="2">
        <v>3.41</v>
      </c>
      <c r="R337" s="2">
        <v>206</v>
      </c>
      <c r="S337" s="2">
        <v>0</v>
      </c>
      <c r="T337" t="s">
        <v>1315</v>
      </c>
      <c r="U337" s="6">
        <v>39507</v>
      </c>
      <c r="V337" s="2">
        <v>47037011900</v>
      </c>
      <c r="W337" s="2" t="s">
        <v>68</v>
      </c>
      <c r="X337" s="1">
        <v>45658</v>
      </c>
      <c r="Y337" s="2">
        <v>2692800</v>
      </c>
      <c r="Z337" s="2">
        <v>0</v>
      </c>
      <c r="AA337" s="2">
        <v>2692800</v>
      </c>
    </row>
    <row r="338" spans="1:27" x14ac:dyDescent="0.3">
      <c r="A338" s="4" t="s">
        <v>1157</v>
      </c>
      <c r="B338" s="2" t="str">
        <f>"08211017700"</f>
        <v>08211017700</v>
      </c>
      <c r="C338" s="2" t="s">
        <v>1318</v>
      </c>
      <c r="D338" t="s">
        <v>29</v>
      </c>
      <c r="E338" s="2" t="s">
        <v>30</v>
      </c>
      <c r="F338" s="2">
        <v>37206</v>
      </c>
      <c r="G338" s="2" t="s">
        <v>152</v>
      </c>
      <c r="H338" t="s">
        <v>1312</v>
      </c>
      <c r="I338" s="6">
        <v>39532</v>
      </c>
      <c r="J338" s="2" t="s">
        <v>1319</v>
      </c>
      <c r="K338" s="2">
        <v>0</v>
      </c>
      <c r="L338" t="s">
        <v>35</v>
      </c>
      <c r="M338" t="s">
        <v>29</v>
      </c>
      <c r="N338" t="s">
        <v>30</v>
      </c>
      <c r="O338">
        <v>37219</v>
      </c>
      <c r="P338" t="s">
        <v>1320</v>
      </c>
      <c r="Q338" s="2">
        <v>7.63</v>
      </c>
      <c r="R338" s="2">
        <v>200</v>
      </c>
      <c r="S338" s="2">
        <v>457</v>
      </c>
      <c r="T338" t="s">
        <v>1315</v>
      </c>
      <c r="U338" s="6">
        <v>39507</v>
      </c>
      <c r="V338" s="2">
        <v>47037011900</v>
      </c>
      <c r="W338" s="2" t="s">
        <v>68</v>
      </c>
      <c r="X338" s="1">
        <v>45658</v>
      </c>
      <c r="Y338" s="2">
        <v>4104000</v>
      </c>
      <c r="Z338" s="2">
        <v>0</v>
      </c>
      <c r="AA338" s="2">
        <v>4104000</v>
      </c>
    </row>
    <row r="339" spans="1:27" x14ac:dyDescent="0.3">
      <c r="A339" s="4" t="s">
        <v>1157</v>
      </c>
      <c r="B339" s="2" t="str">
        <f>"08207035200"</f>
        <v>08207035200</v>
      </c>
      <c r="C339" s="2" t="s">
        <v>1321</v>
      </c>
      <c r="D339" t="s">
        <v>29</v>
      </c>
      <c r="E339" s="2" t="s">
        <v>30</v>
      </c>
      <c r="F339" s="2">
        <v>37207</v>
      </c>
      <c r="G339" s="2" t="s">
        <v>200</v>
      </c>
      <c r="H339" t="s">
        <v>1322</v>
      </c>
      <c r="I339" s="6">
        <v>28282</v>
      </c>
      <c r="J339" s="2" t="s">
        <v>1323</v>
      </c>
      <c r="K339" s="2" t="s">
        <v>34</v>
      </c>
      <c r="L339" t="s">
        <v>35</v>
      </c>
      <c r="M339" t="s">
        <v>29</v>
      </c>
      <c r="N339" t="s">
        <v>30</v>
      </c>
      <c r="O339">
        <v>37219</v>
      </c>
      <c r="P339" t="s">
        <v>1324</v>
      </c>
      <c r="Q339" s="2">
        <v>11.52</v>
      </c>
      <c r="R339" s="2">
        <v>0</v>
      </c>
      <c r="S339" s="2">
        <v>0</v>
      </c>
      <c r="T339" t="s">
        <v>1325</v>
      </c>
      <c r="U339" s="6">
        <v>38512</v>
      </c>
      <c r="V339" s="2">
        <v>47037011800</v>
      </c>
      <c r="W339" s="2" t="s">
        <v>68</v>
      </c>
      <c r="X339" s="1">
        <v>45658</v>
      </c>
      <c r="Y339" s="2">
        <v>1152000</v>
      </c>
      <c r="Z339" s="2">
        <v>0</v>
      </c>
      <c r="AA339" s="2">
        <v>1152000</v>
      </c>
    </row>
    <row r="340" spans="1:27" x14ac:dyDescent="0.3">
      <c r="A340" s="4" t="s">
        <v>1157</v>
      </c>
      <c r="B340" s="2" t="str">
        <f>"06100004700"</f>
        <v>06100004700</v>
      </c>
      <c r="C340" s="2" t="s">
        <v>1326</v>
      </c>
      <c r="D340" t="s">
        <v>29</v>
      </c>
      <c r="E340" s="2" t="s">
        <v>30</v>
      </c>
      <c r="F340" s="2">
        <v>37207</v>
      </c>
      <c r="G340" s="2" t="s">
        <v>64</v>
      </c>
      <c r="H340" t="s">
        <v>1327</v>
      </c>
      <c r="I340" s="6">
        <v>28488</v>
      </c>
      <c r="J340" s="2" t="s">
        <v>1328</v>
      </c>
      <c r="K340" s="2" t="s">
        <v>34</v>
      </c>
      <c r="L340" t="s">
        <v>35</v>
      </c>
      <c r="M340" t="s">
        <v>29</v>
      </c>
      <c r="N340" t="s">
        <v>30</v>
      </c>
      <c r="O340">
        <v>37219</v>
      </c>
      <c r="P340" t="s">
        <v>1329</v>
      </c>
      <c r="Q340" s="2">
        <v>26.55</v>
      </c>
      <c r="R340" s="2">
        <v>0</v>
      </c>
      <c r="S340" s="2">
        <v>0</v>
      </c>
      <c r="T340" t="s">
        <v>1330</v>
      </c>
      <c r="U340" s="6">
        <v>28488</v>
      </c>
      <c r="V340" s="2">
        <v>47037011001</v>
      </c>
      <c r="W340" s="2" t="s">
        <v>68</v>
      </c>
      <c r="X340" s="1">
        <v>45658</v>
      </c>
      <c r="Y340" s="2">
        <v>1034300</v>
      </c>
      <c r="Z340" s="2">
        <v>0</v>
      </c>
      <c r="AA340" s="2">
        <v>1034300</v>
      </c>
    </row>
    <row r="341" spans="1:27" x14ac:dyDescent="0.3">
      <c r="A341" s="4" t="s">
        <v>1157</v>
      </c>
      <c r="B341" s="2" t="str">
        <f>"07205016100"</f>
        <v>07205016100</v>
      </c>
      <c r="C341" s="2" t="s">
        <v>1331</v>
      </c>
      <c r="D341" t="s">
        <v>29</v>
      </c>
      <c r="E341" s="2" t="s">
        <v>30</v>
      </c>
      <c r="F341" s="2">
        <v>37207</v>
      </c>
      <c r="G341" s="2" t="s">
        <v>152</v>
      </c>
      <c r="H341" t="s">
        <v>1332</v>
      </c>
      <c r="I341" s="6">
        <v>31604</v>
      </c>
      <c r="J341" s="2" t="s">
        <v>1333</v>
      </c>
      <c r="K341" s="2" t="s">
        <v>34</v>
      </c>
      <c r="L341" t="s">
        <v>35</v>
      </c>
      <c r="M341" t="s">
        <v>29</v>
      </c>
      <c r="N341" t="s">
        <v>30</v>
      </c>
      <c r="O341">
        <v>37219</v>
      </c>
      <c r="P341" t="s">
        <v>1334</v>
      </c>
      <c r="Q341" s="2">
        <v>4.17</v>
      </c>
      <c r="R341" s="2">
        <v>80</v>
      </c>
      <c r="S341" s="2">
        <v>300</v>
      </c>
      <c r="T341" t="s">
        <v>1335</v>
      </c>
      <c r="U341" s="6">
        <v>36762</v>
      </c>
      <c r="V341" s="2">
        <v>47037011300</v>
      </c>
      <c r="W341" s="2" t="s">
        <v>68</v>
      </c>
      <c r="X341" s="1">
        <v>45658</v>
      </c>
      <c r="Y341" s="2">
        <v>1000800</v>
      </c>
      <c r="Z341" s="2">
        <v>0</v>
      </c>
      <c r="AA341" s="2">
        <v>1000800</v>
      </c>
    </row>
    <row r="342" spans="1:27" x14ac:dyDescent="0.3">
      <c r="A342" s="4" t="s">
        <v>1157</v>
      </c>
      <c r="B342" s="2" t="str">
        <f>"07205017700"</f>
        <v>07205017700</v>
      </c>
      <c r="C342" s="2" t="s">
        <v>1336</v>
      </c>
      <c r="D342" t="s">
        <v>29</v>
      </c>
      <c r="E342" s="2" t="s">
        <v>30</v>
      </c>
      <c r="F342" s="2">
        <v>37207</v>
      </c>
      <c r="G342" s="2" t="s">
        <v>152</v>
      </c>
      <c r="H342" t="s">
        <v>1332</v>
      </c>
      <c r="I342" s="6">
        <v>31604</v>
      </c>
      <c r="J342" s="2" t="s">
        <v>1333</v>
      </c>
      <c r="K342" s="2" t="s">
        <v>34</v>
      </c>
      <c r="L342" t="s">
        <v>35</v>
      </c>
      <c r="M342" t="s">
        <v>29</v>
      </c>
      <c r="N342" t="s">
        <v>30</v>
      </c>
      <c r="O342">
        <v>37219</v>
      </c>
      <c r="P342" t="s">
        <v>1337</v>
      </c>
      <c r="Q342" s="2">
        <v>0.34</v>
      </c>
      <c r="R342" s="2">
        <v>70</v>
      </c>
      <c r="S342" s="2">
        <v>213</v>
      </c>
      <c r="T342" t="s">
        <v>1335</v>
      </c>
      <c r="U342" s="6">
        <v>36762</v>
      </c>
      <c r="V342" s="2">
        <v>47037011300</v>
      </c>
      <c r="W342" s="2" t="s">
        <v>68</v>
      </c>
      <c r="X342" s="1">
        <v>45658</v>
      </c>
      <c r="Y342" s="2">
        <v>529200</v>
      </c>
      <c r="Z342" s="2">
        <v>84900</v>
      </c>
      <c r="AA342" s="2">
        <v>444300</v>
      </c>
    </row>
    <row r="343" spans="1:27" x14ac:dyDescent="0.3">
      <c r="A343" s="4" t="s">
        <v>1157</v>
      </c>
      <c r="B343" s="2" t="str">
        <f>"05100016600"</f>
        <v>05100016600</v>
      </c>
      <c r="C343" s="2" t="s">
        <v>1338</v>
      </c>
      <c r="D343" t="s">
        <v>866</v>
      </c>
      <c r="E343" s="2" t="s">
        <v>30</v>
      </c>
      <c r="F343" s="2">
        <v>37115</v>
      </c>
      <c r="G343" s="2" t="s">
        <v>64</v>
      </c>
      <c r="H343" t="s">
        <v>1332</v>
      </c>
      <c r="I343" s="6">
        <v>19345</v>
      </c>
      <c r="J343" s="2" t="s">
        <v>1339</v>
      </c>
      <c r="K343" s="2" t="s">
        <v>34</v>
      </c>
      <c r="L343" t="s">
        <v>35</v>
      </c>
      <c r="M343" t="s">
        <v>29</v>
      </c>
      <c r="N343" t="s">
        <v>30</v>
      </c>
      <c r="O343">
        <v>37219</v>
      </c>
      <c r="P343" t="s">
        <v>1340</v>
      </c>
      <c r="Q343" s="2">
        <v>0.78</v>
      </c>
      <c r="R343" s="2">
        <v>220</v>
      </c>
      <c r="S343" s="2">
        <v>350</v>
      </c>
      <c r="T343" t="s">
        <v>1341</v>
      </c>
      <c r="U343" s="6">
        <v>37095</v>
      </c>
      <c r="V343" s="2">
        <v>47037010802</v>
      </c>
      <c r="W343" s="2" t="s">
        <v>837</v>
      </c>
      <c r="X343" s="1">
        <v>45658</v>
      </c>
      <c r="Y343" s="2">
        <v>27300</v>
      </c>
      <c r="Z343" s="2">
        <v>0</v>
      </c>
      <c r="AA343" s="2">
        <v>27300</v>
      </c>
    </row>
    <row r="344" spans="1:27" x14ac:dyDescent="0.3">
      <c r="A344" s="4" t="s">
        <v>1157</v>
      </c>
      <c r="B344" s="2" t="str">
        <f>"07205005300"</f>
        <v>07205005300</v>
      </c>
      <c r="C344" s="2" t="s">
        <v>1342</v>
      </c>
      <c r="D344" t="s">
        <v>29</v>
      </c>
      <c r="E344" s="2" t="s">
        <v>30</v>
      </c>
      <c r="F344" s="2">
        <v>37207</v>
      </c>
      <c r="G344" s="2" t="s">
        <v>1343</v>
      </c>
      <c r="H344" t="s">
        <v>1344</v>
      </c>
      <c r="I344" s="6">
        <v>22951</v>
      </c>
      <c r="J344" s="2" t="s">
        <v>1345</v>
      </c>
      <c r="K344" s="2" t="s">
        <v>34</v>
      </c>
      <c r="L344" t="s">
        <v>35</v>
      </c>
      <c r="M344" t="s">
        <v>29</v>
      </c>
      <c r="N344" t="s">
        <v>30</v>
      </c>
      <c r="O344">
        <v>37219</v>
      </c>
      <c r="P344" t="s">
        <v>1346</v>
      </c>
      <c r="Q344" s="2">
        <v>13.26</v>
      </c>
      <c r="R344" s="2">
        <v>0</v>
      </c>
      <c r="S344" s="2">
        <v>0</v>
      </c>
      <c r="T344" t="s">
        <v>278</v>
      </c>
      <c r="U344" s="6">
        <v>30057</v>
      </c>
      <c r="V344" s="2">
        <v>47037011300</v>
      </c>
      <c r="W344" s="2" t="s">
        <v>68</v>
      </c>
      <c r="X344" s="1">
        <v>45658</v>
      </c>
      <c r="Y344" s="2">
        <v>3182400</v>
      </c>
      <c r="Z344" s="2">
        <v>0</v>
      </c>
      <c r="AA344" s="2">
        <v>3182400</v>
      </c>
    </row>
    <row r="345" spans="1:27" x14ac:dyDescent="0.3">
      <c r="A345" s="4" t="s">
        <v>1157</v>
      </c>
      <c r="B345" s="2" t="str">
        <f>"08211007100"</f>
        <v>08211007100</v>
      </c>
      <c r="C345" s="2" t="s">
        <v>1347</v>
      </c>
      <c r="D345" t="s">
        <v>29</v>
      </c>
      <c r="E345" s="2" t="s">
        <v>30</v>
      </c>
      <c r="F345" s="2">
        <v>37207</v>
      </c>
      <c r="G345" s="2" t="s">
        <v>253</v>
      </c>
      <c r="H345" t="s">
        <v>1348</v>
      </c>
      <c r="I345" s="6">
        <v>26224</v>
      </c>
      <c r="J345" s="2" t="s">
        <v>1349</v>
      </c>
      <c r="K345" s="2" t="s">
        <v>34</v>
      </c>
      <c r="L345" t="s">
        <v>35</v>
      </c>
      <c r="M345" t="s">
        <v>29</v>
      </c>
      <c r="N345" t="s">
        <v>30</v>
      </c>
      <c r="O345">
        <v>37219</v>
      </c>
      <c r="P345" t="s">
        <v>1350</v>
      </c>
      <c r="Q345" s="2">
        <v>3.7</v>
      </c>
      <c r="R345" s="2">
        <v>0</v>
      </c>
      <c r="S345" s="2">
        <v>0</v>
      </c>
      <c r="T345" t="s">
        <v>278</v>
      </c>
      <c r="U345" s="6">
        <v>30211</v>
      </c>
      <c r="V345" s="2">
        <v>47037011800</v>
      </c>
      <c r="W345" s="2" t="s">
        <v>68</v>
      </c>
      <c r="X345" s="1">
        <v>45658</v>
      </c>
      <c r="Y345" s="2">
        <v>425500</v>
      </c>
      <c r="Z345" s="2">
        <v>0</v>
      </c>
      <c r="AA345" s="2">
        <v>425500</v>
      </c>
    </row>
    <row r="346" spans="1:27" x14ac:dyDescent="0.3">
      <c r="A346" s="4" t="s">
        <v>1157</v>
      </c>
      <c r="B346" s="2" t="str">
        <f>"08309000200"</f>
        <v>08309000200</v>
      </c>
      <c r="C346" s="2" t="s">
        <v>1351</v>
      </c>
      <c r="D346" t="s">
        <v>29</v>
      </c>
      <c r="E346" s="2" t="s">
        <v>30</v>
      </c>
      <c r="F346" s="2">
        <v>37206</v>
      </c>
      <c r="G346" s="2" t="s">
        <v>253</v>
      </c>
      <c r="H346" t="s">
        <v>1352</v>
      </c>
      <c r="I346" s="6">
        <v>13121</v>
      </c>
      <c r="J346" s="2" t="s">
        <v>1353</v>
      </c>
      <c r="K346" s="2">
        <v>0</v>
      </c>
      <c r="L346" t="s">
        <v>35</v>
      </c>
      <c r="M346" t="s">
        <v>29</v>
      </c>
      <c r="N346" t="s">
        <v>30</v>
      </c>
      <c r="O346">
        <v>37219</v>
      </c>
      <c r="P346" t="s">
        <v>1354</v>
      </c>
      <c r="Q346" s="2">
        <v>24.92</v>
      </c>
      <c r="R346" s="2">
        <v>0</v>
      </c>
      <c r="S346" s="2">
        <v>0</v>
      </c>
      <c r="T346" t="s">
        <v>278</v>
      </c>
      <c r="U346" s="6">
        <v>36581</v>
      </c>
      <c r="V346" s="2">
        <v>47037011900</v>
      </c>
      <c r="W346" s="2" t="s">
        <v>68</v>
      </c>
      <c r="X346" s="1">
        <v>45658</v>
      </c>
      <c r="Y346" s="2">
        <v>2529000</v>
      </c>
      <c r="Z346" s="2">
        <v>0</v>
      </c>
      <c r="AA346" s="2">
        <v>2529000</v>
      </c>
    </row>
    <row r="347" spans="1:27" x14ac:dyDescent="0.3">
      <c r="A347" s="4" t="s">
        <v>1157</v>
      </c>
      <c r="B347" s="2" t="str">
        <f>"08203043400"</f>
        <v>08203043400</v>
      </c>
      <c r="C347" s="2" t="s">
        <v>1355</v>
      </c>
      <c r="D347" t="s">
        <v>29</v>
      </c>
      <c r="E347" s="2" t="s">
        <v>30</v>
      </c>
      <c r="F347" s="2">
        <v>37207</v>
      </c>
      <c r="G347" s="2" t="s">
        <v>253</v>
      </c>
      <c r="H347" t="s">
        <v>1356</v>
      </c>
      <c r="I347" s="6">
        <v>23964</v>
      </c>
      <c r="J347" s="2" t="s">
        <v>1357</v>
      </c>
      <c r="K347" s="2" t="s">
        <v>34</v>
      </c>
      <c r="L347" t="s">
        <v>35</v>
      </c>
      <c r="M347" t="s">
        <v>29</v>
      </c>
      <c r="N347" t="s">
        <v>30</v>
      </c>
      <c r="O347">
        <v>37219</v>
      </c>
      <c r="P347" t="s">
        <v>1358</v>
      </c>
      <c r="Q347" s="2">
        <v>7.08</v>
      </c>
      <c r="R347" s="2">
        <v>0</v>
      </c>
      <c r="S347" s="2">
        <v>0</v>
      </c>
      <c r="T347" t="s">
        <v>278</v>
      </c>
      <c r="U347" s="6">
        <v>36581</v>
      </c>
      <c r="V347" s="2">
        <v>47037011800</v>
      </c>
      <c r="W347" s="2" t="s">
        <v>68</v>
      </c>
      <c r="X347" s="1">
        <v>45658</v>
      </c>
      <c r="Y347" s="2">
        <v>814200</v>
      </c>
      <c r="Z347" s="2">
        <v>0</v>
      </c>
      <c r="AA347" s="2">
        <v>814200</v>
      </c>
    </row>
    <row r="348" spans="1:27" x14ac:dyDescent="0.3">
      <c r="A348" s="4" t="s">
        <v>1157</v>
      </c>
      <c r="B348" s="2" t="str">
        <f>"08301003200"</f>
        <v>08301003200</v>
      </c>
      <c r="C348" s="2" t="s">
        <v>1359</v>
      </c>
      <c r="D348" t="s">
        <v>29</v>
      </c>
      <c r="E348" s="2" t="s">
        <v>30</v>
      </c>
      <c r="F348" s="2">
        <v>37206</v>
      </c>
      <c r="G348" s="2" t="s">
        <v>64</v>
      </c>
      <c r="H348" t="s">
        <v>1360</v>
      </c>
      <c r="I348" s="6">
        <v>17820</v>
      </c>
      <c r="J348" s="2" t="s">
        <v>1361</v>
      </c>
      <c r="K348" s="2" t="s">
        <v>34</v>
      </c>
      <c r="L348" t="s">
        <v>35</v>
      </c>
      <c r="M348" t="s">
        <v>29</v>
      </c>
      <c r="N348" t="s">
        <v>30</v>
      </c>
      <c r="O348">
        <v>37219</v>
      </c>
      <c r="P348" t="s">
        <v>1362</v>
      </c>
      <c r="Q348" s="2">
        <v>5.7</v>
      </c>
      <c r="R348" s="2">
        <v>0</v>
      </c>
      <c r="S348" s="2">
        <v>0</v>
      </c>
      <c r="T348" t="s">
        <v>1363</v>
      </c>
      <c r="U348" s="6">
        <v>17806</v>
      </c>
      <c r="V348" s="2">
        <v>47037011700</v>
      </c>
      <c r="W348" s="2" t="s">
        <v>68</v>
      </c>
      <c r="X348" s="1">
        <v>45658</v>
      </c>
      <c r="Y348" s="2">
        <v>1115800</v>
      </c>
      <c r="Z348" s="2">
        <v>0</v>
      </c>
      <c r="AA348" s="2">
        <v>1115800</v>
      </c>
    </row>
    <row r="349" spans="1:27" x14ac:dyDescent="0.3">
      <c r="A349" s="4" t="s">
        <v>1157</v>
      </c>
      <c r="B349" s="2" t="str">
        <f>"07115011900"</f>
        <v>07115011900</v>
      </c>
      <c r="C349" s="2" t="s">
        <v>1364</v>
      </c>
      <c r="D349" t="s">
        <v>29</v>
      </c>
      <c r="E349" s="2" t="s">
        <v>30</v>
      </c>
      <c r="F349" s="2">
        <v>37207</v>
      </c>
      <c r="G349" s="2" t="s">
        <v>64</v>
      </c>
      <c r="H349" t="s">
        <v>1365</v>
      </c>
      <c r="I349" s="6">
        <v>22587</v>
      </c>
      <c r="J349" s="2" t="s">
        <v>1366</v>
      </c>
      <c r="K349" s="2" t="s">
        <v>34</v>
      </c>
      <c r="L349" t="s">
        <v>35</v>
      </c>
      <c r="M349" t="s">
        <v>29</v>
      </c>
      <c r="N349" t="s">
        <v>30</v>
      </c>
      <c r="O349">
        <v>37219</v>
      </c>
      <c r="P349" t="s">
        <v>1367</v>
      </c>
      <c r="Q349" s="2">
        <v>7.79</v>
      </c>
      <c r="R349" s="2">
        <v>933</v>
      </c>
      <c r="S349" s="2">
        <v>0</v>
      </c>
      <c r="T349" t="s">
        <v>1368</v>
      </c>
      <c r="U349" s="6">
        <v>41095</v>
      </c>
      <c r="V349" s="2">
        <v>47037011300</v>
      </c>
      <c r="W349" s="2" t="s">
        <v>68</v>
      </c>
      <c r="X349" s="1">
        <v>45658</v>
      </c>
      <c r="Y349" s="2">
        <v>1215200</v>
      </c>
      <c r="Z349" s="2">
        <v>0</v>
      </c>
      <c r="AA349" s="2">
        <v>1215200</v>
      </c>
    </row>
    <row r="350" spans="1:27" x14ac:dyDescent="0.3">
      <c r="A350" s="4" t="s">
        <v>1157</v>
      </c>
      <c r="B350" s="2" t="str">
        <f>"06100007200"</f>
        <v>06100007200</v>
      </c>
      <c r="C350" s="2" t="s">
        <v>1369</v>
      </c>
      <c r="D350" t="s">
        <v>29</v>
      </c>
      <c r="E350" s="2" t="s">
        <v>30</v>
      </c>
      <c r="F350" s="2">
        <v>37207</v>
      </c>
      <c r="G350" s="2" t="s">
        <v>253</v>
      </c>
      <c r="H350" t="s">
        <v>1370</v>
      </c>
      <c r="I350" s="6">
        <v>32443</v>
      </c>
      <c r="J350" s="2" t="s">
        <v>1371</v>
      </c>
      <c r="K350" s="2">
        <v>625000</v>
      </c>
      <c r="L350" t="s">
        <v>35</v>
      </c>
      <c r="M350" t="s">
        <v>29</v>
      </c>
      <c r="N350" t="s">
        <v>30</v>
      </c>
      <c r="O350">
        <v>37219</v>
      </c>
      <c r="P350" t="s">
        <v>1372</v>
      </c>
      <c r="Q350" s="2">
        <v>19.04</v>
      </c>
      <c r="R350" s="2">
        <v>0</v>
      </c>
      <c r="S350" s="2">
        <v>0</v>
      </c>
      <c r="T350" t="s">
        <v>1373</v>
      </c>
      <c r="U350" s="6">
        <v>31135</v>
      </c>
      <c r="V350" s="2">
        <v>47037011001</v>
      </c>
      <c r="W350" s="2" t="s">
        <v>68</v>
      </c>
      <c r="X350" s="1">
        <v>45658</v>
      </c>
      <c r="Y350" s="2">
        <v>771400</v>
      </c>
      <c r="Z350" s="2">
        <v>0</v>
      </c>
      <c r="AA350" s="2">
        <v>771400</v>
      </c>
    </row>
    <row r="351" spans="1:27" x14ac:dyDescent="0.3">
      <c r="A351" s="4" t="s">
        <v>1157</v>
      </c>
      <c r="B351" s="2" t="str">
        <f>"06101005400"</f>
        <v>06101005400</v>
      </c>
      <c r="C351" s="2" t="s">
        <v>1374</v>
      </c>
      <c r="D351" t="s">
        <v>29</v>
      </c>
      <c r="E351" s="2" t="s">
        <v>30</v>
      </c>
      <c r="F351" s="2">
        <v>37207</v>
      </c>
      <c r="G351" s="2" t="s">
        <v>64</v>
      </c>
      <c r="H351" t="s">
        <v>1375</v>
      </c>
      <c r="I351" s="6">
        <v>27606</v>
      </c>
      <c r="J351" s="2" t="s">
        <v>1376</v>
      </c>
      <c r="K351" s="2">
        <v>200000</v>
      </c>
      <c r="L351" t="s">
        <v>35</v>
      </c>
      <c r="M351" t="s">
        <v>29</v>
      </c>
      <c r="N351" t="s">
        <v>30</v>
      </c>
      <c r="O351">
        <v>37219</v>
      </c>
      <c r="P351" t="s">
        <v>1377</v>
      </c>
      <c r="Q351" s="2">
        <v>20.9</v>
      </c>
      <c r="R351" s="2">
        <v>0</v>
      </c>
      <c r="S351" s="2">
        <v>0</v>
      </c>
      <c r="T351" t="s">
        <v>278</v>
      </c>
      <c r="U351" s="6">
        <v>36581</v>
      </c>
      <c r="V351" s="2">
        <v>47037011001</v>
      </c>
      <c r="W351" s="2" t="s">
        <v>68</v>
      </c>
      <c r="X351" s="1">
        <v>45658</v>
      </c>
      <c r="Y351" s="2">
        <v>1003200</v>
      </c>
      <c r="Z351" s="2">
        <v>0</v>
      </c>
      <c r="AA351" s="2">
        <v>1003200</v>
      </c>
    </row>
    <row r="352" spans="1:27" x14ac:dyDescent="0.3">
      <c r="A352" s="4" t="s">
        <v>1157</v>
      </c>
      <c r="B352" s="2" t="str">
        <f>"06100000800"</f>
        <v>06100000800</v>
      </c>
      <c r="C352" s="2" t="s">
        <v>1378</v>
      </c>
      <c r="D352" t="s">
        <v>29</v>
      </c>
      <c r="E352" s="2" t="s">
        <v>30</v>
      </c>
      <c r="F352" s="2">
        <v>37216</v>
      </c>
      <c r="G352" s="2" t="s">
        <v>253</v>
      </c>
      <c r="H352" t="s">
        <v>1379</v>
      </c>
      <c r="I352" s="6">
        <v>22131</v>
      </c>
      <c r="J352" s="2" t="s">
        <v>1380</v>
      </c>
      <c r="K352" s="2" t="s">
        <v>34</v>
      </c>
      <c r="L352" t="s">
        <v>35</v>
      </c>
      <c r="M352" t="s">
        <v>29</v>
      </c>
      <c r="N352" t="s">
        <v>30</v>
      </c>
      <c r="O352">
        <v>37219</v>
      </c>
      <c r="P352" t="s">
        <v>1381</v>
      </c>
      <c r="Q352" s="2">
        <v>26.08</v>
      </c>
      <c r="R352" s="2">
        <v>0</v>
      </c>
      <c r="S352" s="2">
        <v>0</v>
      </c>
      <c r="T352" t="s">
        <v>1382</v>
      </c>
      <c r="U352" s="6">
        <v>27794</v>
      </c>
      <c r="V352" s="2">
        <v>47037011001</v>
      </c>
      <c r="W352" s="2" t="s">
        <v>68</v>
      </c>
      <c r="X352" s="1">
        <v>45658</v>
      </c>
      <c r="Y352" s="2">
        <v>1251800</v>
      </c>
      <c r="Z352" s="2">
        <v>0</v>
      </c>
      <c r="AA352" s="2">
        <v>1251800</v>
      </c>
    </row>
    <row r="353" spans="1:27" x14ac:dyDescent="0.3">
      <c r="A353" s="4" t="s">
        <v>1157</v>
      </c>
      <c r="B353" s="2" t="str">
        <f>"08212001200"</f>
        <v>08212001200</v>
      </c>
      <c r="C353" s="2" t="s">
        <v>1383</v>
      </c>
      <c r="D353" t="s">
        <v>29</v>
      </c>
      <c r="E353" s="2" t="s">
        <v>30</v>
      </c>
      <c r="F353" s="2">
        <v>37206</v>
      </c>
      <c r="G353" s="2" t="s">
        <v>253</v>
      </c>
      <c r="H353" t="s">
        <v>1384</v>
      </c>
      <c r="I353" s="6">
        <v>27395</v>
      </c>
      <c r="J353" s="2" t="s">
        <v>1385</v>
      </c>
      <c r="K353" s="2" t="s">
        <v>34</v>
      </c>
      <c r="L353" t="s">
        <v>35</v>
      </c>
      <c r="M353" t="s">
        <v>29</v>
      </c>
      <c r="N353" t="s">
        <v>30</v>
      </c>
      <c r="O353">
        <v>37219</v>
      </c>
      <c r="P353" t="s">
        <v>1386</v>
      </c>
      <c r="Q353" s="2">
        <v>2.5</v>
      </c>
      <c r="R353" s="2">
        <v>636</v>
      </c>
      <c r="S353" s="2">
        <v>180</v>
      </c>
      <c r="T353" t="s">
        <v>1387</v>
      </c>
      <c r="U353" s="2" t="s">
        <v>1388</v>
      </c>
      <c r="V353" s="2">
        <v>47037011900</v>
      </c>
      <c r="W353" s="2" t="s">
        <v>68</v>
      </c>
      <c r="X353" s="1">
        <v>45658</v>
      </c>
      <c r="Y353" s="2">
        <v>2520000</v>
      </c>
      <c r="Z353" s="2">
        <v>0</v>
      </c>
      <c r="AA353" s="2">
        <v>2520000</v>
      </c>
    </row>
    <row r="354" spans="1:27" x14ac:dyDescent="0.3">
      <c r="A354" s="4" t="s">
        <v>1157</v>
      </c>
      <c r="B354" s="2" t="str">
        <f>"07100000700"</f>
        <v>07100000700</v>
      </c>
      <c r="C354" s="2" t="s">
        <v>1389</v>
      </c>
      <c r="D354" t="s">
        <v>29</v>
      </c>
      <c r="E354" s="2" t="s">
        <v>30</v>
      </c>
      <c r="F354" s="2">
        <v>37207</v>
      </c>
      <c r="G354" s="2" t="s">
        <v>253</v>
      </c>
      <c r="H354" t="s">
        <v>996</v>
      </c>
      <c r="I354" s="6">
        <v>31947</v>
      </c>
      <c r="J354" s="2" t="s">
        <v>1390</v>
      </c>
      <c r="K354" s="2">
        <v>170000</v>
      </c>
      <c r="L354" t="s">
        <v>35</v>
      </c>
      <c r="M354" t="s">
        <v>29</v>
      </c>
      <c r="N354" t="s">
        <v>30</v>
      </c>
      <c r="O354">
        <v>37219</v>
      </c>
      <c r="P354" t="s">
        <v>1391</v>
      </c>
      <c r="Q354" s="2">
        <v>12.02</v>
      </c>
      <c r="R354" s="2">
        <v>0</v>
      </c>
      <c r="S354" s="2">
        <v>0</v>
      </c>
      <c r="T354" t="s">
        <v>278</v>
      </c>
      <c r="U354" s="6">
        <v>36592</v>
      </c>
      <c r="V354" s="2">
        <v>47037011300</v>
      </c>
      <c r="W354" s="2" t="s">
        <v>68</v>
      </c>
      <c r="X354" s="1">
        <v>45658</v>
      </c>
      <c r="Y354" s="2">
        <v>525700</v>
      </c>
      <c r="Z354" s="2">
        <v>0</v>
      </c>
      <c r="AA354" s="2">
        <v>525700</v>
      </c>
    </row>
    <row r="355" spans="1:27" x14ac:dyDescent="0.3">
      <c r="A355" s="4" t="s">
        <v>1157</v>
      </c>
      <c r="B355" s="2" t="str">
        <f>"06100005700"</f>
        <v>06100005700</v>
      </c>
      <c r="C355" s="2" t="s">
        <v>1392</v>
      </c>
      <c r="D355" t="s">
        <v>29</v>
      </c>
      <c r="E355" s="2" t="s">
        <v>30</v>
      </c>
      <c r="F355" s="2">
        <v>37216</v>
      </c>
      <c r="G355" s="2" t="s">
        <v>64</v>
      </c>
      <c r="H355" t="s">
        <v>280</v>
      </c>
      <c r="I355" s="6">
        <v>31709</v>
      </c>
      <c r="J355" s="2" t="s">
        <v>1393</v>
      </c>
      <c r="K355" s="2">
        <v>19000</v>
      </c>
      <c r="L355" t="s">
        <v>35</v>
      </c>
      <c r="M355" t="s">
        <v>29</v>
      </c>
      <c r="N355" t="s">
        <v>30</v>
      </c>
      <c r="O355">
        <v>37219</v>
      </c>
      <c r="P355" t="s">
        <v>1394</v>
      </c>
      <c r="Q355" s="2">
        <v>0.35</v>
      </c>
      <c r="R355" s="2">
        <v>100</v>
      </c>
      <c r="S355" s="2">
        <v>150</v>
      </c>
      <c r="T355" t="s">
        <v>1395</v>
      </c>
      <c r="U355" s="6">
        <v>36056</v>
      </c>
      <c r="V355" s="2">
        <v>47037011002</v>
      </c>
      <c r="W355" s="2" t="s">
        <v>68</v>
      </c>
      <c r="X355" s="1">
        <v>45658</v>
      </c>
      <c r="Y355" s="2">
        <v>52500</v>
      </c>
      <c r="Z355" s="2">
        <v>0</v>
      </c>
      <c r="AA355" s="2">
        <v>52500</v>
      </c>
    </row>
    <row r="356" spans="1:27" x14ac:dyDescent="0.3">
      <c r="A356" s="4" t="s">
        <v>1157</v>
      </c>
      <c r="B356" s="2" t="str">
        <f>"06016006200"</f>
        <v>06016006200</v>
      </c>
      <c r="C356" s="2" t="s">
        <v>1396</v>
      </c>
      <c r="D356" t="s">
        <v>29</v>
      </c>
      <c r="E356" s="2" t="s">
        <v>30</v>
      </c>
      <c r="F356" s="2">
        <v>37207</v>
      </c>
      <c r="G356" s="2" t="s">
        <v>64</v>
      </c>
      <c r="H356" t="s">
        <v>280</v>
      </c>
      <c r="I356" s="6">
        <v>36888</v>
      </c>
      <c r="J356" s="2" t="s">
        <v>1397</v>
      </c>
      <c r="K356" s="2">
        <v>28200</v>
      </c>
      <c r="L356" t="s">
        <v>35</v>
      </c>
      <c r="M356" t="s">
        <v>29</v>
      </c>
      <c r="N356" t="s">
        <v>30</v>
      </c>
      <c r="O356">
        <v>37219</v>
      </c>
      <c r="P356" t="s">
        <v>1398</v>
      </c>
      <c r="Q356" s="2">
        <v>0.46</v>
      </c>
      <c r="R356" s="2">
        <v>99</v>
      </c>
      <c r="S356" s="2">
        <v>160</v>
      </c>
      <c r="T356" t="s">
        <v>1399</v>
      </c>
      <c r="U356" s="6">
        <v>35948</v>
      </c>
      <c r="V356" s="2">
        <v>47037011001</v>
      </c>
      <c r="W356" s="2" t="s">
        <v>68</v>
      </c>
      <c r="X356" s="1">
        <v>45658</v>
      </c>
      <c r="Y356" s="2">
        <v>190000</v>
      </c>
      <c r="Z356" s="2">
        <v>0</v>
      </c>
      <c r="AA356" s="2">
        <v>190000</v>
      </c>
    </row>
    <row r="357" spans="1:27" x14ac:dyDescent="0.3">
      <c r="A357" s="4" t="s">
        <v>1157</v>
      </c>
      <c r="B357" s="2" t="str">
        <f>"06016006300"</f>
        <v>06016006300</v>
      </c>
      <c r="C357" s="2" t="s">
        <v>1400</v>
      </c>
      <c r="D357" t="s">
        <v>29</v>
      </c>
      <c r="E357" s="2" t="s">
        <v>30</v>
      </c>
      <c r="F357" s="2">
        <v>37207</v>
      </c>
      <c r="G357" s="2" t="s">
        <v>64</v>
      </c>
      <c r="H357" t="s">
        <v>280</v>
      </c>
      <c r="I357" s="6">
        <v>37049</v>
      </c>
      <c r="J357" s="2" t="s">
        <v>1401</v>
      </c>
      <c r="K357" s="2">
        <v>70000</v>
      </c>
      <c r="L357" t="s">
        <v>35</v>
      </c>
      <c r="M357" t="s">
        <v>29</v>
      </c>
      <c r="N357" t="s">
        <v>30</v>
      </c>
      <c r="O357">
        <v>37219</v>
      </c>
      <c r="P357" t="s">
        <v>1402</v>
      </c>
      <c r="Q357" s="2">
        <v>0.46</v>
      </c>
      <c r="R357" s="2">
        <v>100</v>
      </c>
      <c r="S357" s="2">
        <v>177</v>
      </c>
      <c r="T357" t="s">
        <v>1399</v>
      </c>
      <c r="U357" s="6">
        <v>35948</v>
      </c>
      <c r="V357" s="2">
        <v>47037011001</v>
      </c>
      <c r="W357" s="2" t="s">
        <v>68</v>
      </c>
      <c r="X357" s="1">
        <v>45658</v>
      </c>
      <c r="Y357" s="2">
        <v>142500</v>
      </c>
      <c r="Z357" s="2">
        <v>0</v>
      </c>
      <c r="AA357" s="2">
        <v>142500</v>
      </c>
    </row>
    <row r="358" spans="1:27" x14ac:dyDescent="0.3">
      <c r="A358" s="4" t="s">
        <v>1157</v>
      </c>
      <c r="B358" s="2" t="str">
        <f>"06016006400"</f>
        <v>06016006400</v>
      </c>
      <c r="C358" s="2" t="s">
        <v>1403</v>
      </c>
      <c r="D358" t="s">
        <v>29</v>
      </c>
      <c r="E358" s="2" t="s">
        <v>30</v>
      </c>
      <c r="F358" s="2">
        <v>37207</v>
      </c>
      <c r="G358" s="2" t="s">
        <v>64</v>
      </c>
      <c r="H358" t="s">
        <v>280</v>
      </c>
      <c r="I358" s="6">
        <v>39120</v>
      </c>
      <c r="J358" s="2" t="s">
        <v>1404</v>
      </c>
      <c r="K358" s="2">
        <v>0</v>
      </c>
      <c r="L358" t="s">
        <v>35</v>
      </c>
      <c r="M358" t="s">
        <v>29</v>
      </c>
      <c r="N358" t="s">
        <v>30</v>
      </c>
      <c r="O358">
        <v>37219</v>
      </c>
      <c r="P358" t="s">
        <v>1405</v>
      </c>
      <c r="Q358" s="2">
        <v>0.46</v>
      </c>
      <c r="R358" s="2">
        <v>100</v>
      </c>
      <c r="S358" s="2">
        <v>193</v>
      </c>
      <c r="T358" t="s">
        <v>1399</v>
      </c>
      <c r="U358" s="6">
        <v>35948</v>
      </c>
      <c r="V358" s="2">
        <v>47037011001</v>
      </c>
      <c r="W358" s="2" t="s">
        <v>68</v>
      </c>
      <c r="X358" s="1">
        <v>45658</v>
      </c>
      <c r="Y358" s="2">
        <v>142500</v>
      </c>
      <c r="Z358" s="2">
        <v>0</v>
      </c>
      <c r="AA358" s="2">
        <v>142500</v>
      </c>
    </row>
    <row r="359" spans="1:27" x14ac:dyDescent="0.3">
      <c r="A359" s="4" t="s">
        <v>1157</v>
      </c>
      <c r="B359" s="2" t="str">
        <f>"06016004400"</f>
        <v>06016004400</v>
      </c>
      <c r="C359" s="2" t="s">
        <v>1406</v>
      </c>
      <c r="D359" t="s">
        <v>29</v>
      </c>
      <c r="E359" s="2" t="s">
        <v>30</v>
      </c>
      <c r="F359" s="2">
        <v>37207</v>
      </c>
      <c r="G359" s="2" t="s">
        <v>64</v>
      </c>
      <c r="H359" t="s">
        <v>280</v>
      </c>
      <c r="I359" s="6">
        <v>40051</v>
      </c>
      <c r="J359" s="2" t="s">
        <v>1407</v>
      </c>
      <c r="K359" s="2">
        <v>26014</v>
      </c>
      <c r="L359" t="s">
        <v>35</v>
      </c>
      <c r="M359" t="s">
        <v>29</v>
      </c>
      <c r="N359" t="s">
        <v>30</v>
      </c>
      <c r="O359">
        <v>37219</v>
      </c>
      <c r="P359" t="s">
        <v>1408</v>
      </c>
      <c r="Q359" s="2">
        <v>0.32</v>
      </c>
      <c r="R359" s="2">
        <v>75</v>
      </c>
      <c r="S359" s="2">
        <v>185</v>
      </c>
      <c r="T359" t="s">
        <v>1409</v>
      </c>
      <c r="U359" s="6">
        <v>26817</v>
      </c>
      <c r="V359" s="2">
        <v>47037011001</v>
      </c>
      <c r="W359" s="2" t="s">
        <v>68</v>
      </c>
      <c r="X359" s="1">
        <v>45658</v>
      </c>
      <c r="Y359" s="2">
        <v>175800</v>
      </c>
      <c r="Z359" s="2">
        <v>0</v>
      </c>
      <c r="AA359" s="2">
        <v>175800</v>
      </c>
    </row>
    <row r="360" spans="1:27" x14ac:dyDescent="0.3">
      <c r="A360" s="4" t="s">
        <v>1157</v>
      </c>
      <c r="B360" s="2" t="str">
        <f>"06016004300"</f>
        <v>06016004300</v>
      </c>
      <c r="C360" s="2" t="s">
        <v>1410</v>
      </c>
      <c r="D360" t="s">
        <v>29</v>
      </c>
      <c r="E360" s="2" t="s">
        <v>30</v>
      </c>
      <c r="F360" s="2">
        <v>37207</v>
      </c>
      <c r="G360" s="2" t="s">
        <v>64</v>
      </c>
      <c r="H360" t="s">
        <v>280</v>
      </c>
      <c r="I360" s="6">
        <v>37027</v>
      </c>
      <c r="J360" s="2" t="s">
        <v>1411</v>
      </c>
      <c r="K360" s="2">
        <v>75000</v>
      </c>
      <c r="L360" t="s">
        <v>35</v>
      </c>
      <c r="M360" t="s">
        <v>29</v>
      </c>
      <c r="N360" t="s">
        <v>30</v>
      </c>
      <c r="O360">
        <v>37219</v>
      </c>
      <c r="P360" t="s">
        <v>1412</v>
      </c>
      <c r="Q360" s="2">
        <v>0.28999999999999998</v>
      </c>
      <c r="R360" s="2">
        <v>75</v>
      </c>
      <c r="S360" s="2">
        <v>177</v>
      </c>
      <c r="T360" t="s">
        <v>1413</v>
      </c>
      <c r="U360" s="6">
        <v>22607</v>
      </c>
      <c r="V360" s="2">
        <v>47037011001</v>
      </c>
      <c r="W360" s="2" t="s">
        <v>68</v>
      </c>
      <c r="X360" s="1">
        <v>45658</v>
      </c>
      <c r="Y360" s="2">
        <v>175800</v>
      </c>
      <c r="Z360" s="2">
        <v>0</v>
      </c>
      <c r="AA360" s="2">
        <v>175800</v>
      </c>
    </row>
    <row r="361" spans="1:27" x14ac:dyDescent="0.3">
      <c r="A361" s="4" t="s">
        <v>1157</v>
      </c>
      <c r="B361" s="2" t="str">
        <f>"08204026700"</f>
        <v>08204026700</v>
      </c>
      <c r="C361" s="2" t="s">
        <v>1414</v>
      </c>
      <c r="D361" t="s">
        <v>29</v>
      </c>
      <c r="E361" s="2" t="s">
        <v>30</v>
      </c>
      <c r="F361" s="2">
        <v>37206</v>
      </c>
      <c r="G361" s="2" t="s">
        <v>64</v>
      </c>
      <c r="H361" t="s">
        <v>280</v>
      </c>
      <c r="I361" s="6">
        <v>35345</v>
      </c>
      <c r="J361" s="2" t="s">
        <v>1415</v>
      </c>
      <c r="K361" s="2">
        <v>30000</v>
      </c>
      <c r="L361" t="s">
        <v>35</v>
      </c>
      <c r="M361" t="s">
        <v>29</v>
      </c>
      <c r="N361" t="s">
        <v>30</v>
      </c>
      <c r="O361">
        <v>37219</v>
      </c>
      <c r="P361" t="s">
        <v>1416</v>
      </c>
      <c r="Q361" s="2">
        <v>0.1</v>
      </c>
      <c r="R361" s="2">
        <v>38</v>
      </c>
      <c r="S361" s="2">
        <v>130</v>
      </c>
      <c r="T361" t="s">
        <v>1417</v>
      </c>
      <c r="U361" s="6">
        <v>16839</v>
      </c>
      <c r="V361" s="2">
        <v>47037011700</v>
      </c>
      <c r="W361" s="2" t="s">
        <v>68</v>
      </c>
      <c r="X361" s="1">
        <v>45658</v>
      </c>
      <c r="Y361" s="2">
        <v>97500</v>
      </c>
      <c r="Z361" s="2">
        <v>0</v>
      </c>
      <c r="AA361" s="2">
        <v>97500</v>
      </c>
    </row>
    <row r="362" spans="1:27" x14ac:dyDescent="0.3">
      <c r="A362" s="4" t="s">
        <v>1157</v>
      </c>
      <c r="B362" s="2" t="str">
        <f>"08204028600"</f>
        <v>08204028600</v>
      </c>
      <c r="C362" s="2" t="s">
        <v>1418</v>
      </c>
      <c r="D362" t="s">
        <v>29</v>
      </c>
      <c r="E362" s="2" t="s">
        <v>30</v>
      </c>
      <c r="F362" s="2">
        <v>37206</v>
      </c>
      <c r="G362" s="2" t="s">
        <v>64</v>
      </c>
      <c r="H362" t="s">
        <v>280</v>
      </c>
      <c r="I362" s="6">
        <v>35335</v>
      </c>
      <c r="J362" s="2" t="s">
        <v>1419</v>
      </c>
      <c r="K362" s="2">
        <v>40000</v>
      </c>
      <c r="L362" t="s">
        <v>35</v>
      </c>
      <c r="M362" t="s">
        <v>29</v>
      </c>
      <c r="N362" t="s">
        <v>30</v>
      </c>
      <c r="O362">
        <v>37219</v>
      </c>
      <c r="P362" t="s">
        <v>1420</v>
      </c>
      <c r="Q362" s="2">
        <v>0.2</v>
      </c>
      <c r="R362" s="2">
        <v>50</v>
      </c>
      <c r="S362" s="2">
        <v>198</v>
      </c>
      <c r="T362" t="s">
        <v>1421</v>
      </c>
      <c r="U362" s="6">
        <v>30223</v>
      </c>
      <c r="V362" s="2">
        <v>47037011700</v>
      </c>
      <c r="W362" s="2" t="s">
        <v>68</v>
      </c>
      <c r="X362" s="1">
        <v>45658</v>
      </c>
      <c r="Y362" s="2">
        <v>235000</v>
      </c>
      <c r="Z362" s="2">
        <v>0</v>
      </c>
      <c r="AA362" s="2">
        <v>235000</v>
      </c>
    </row>
    <row r="363" spans="1:27" x14ac:dyDescent="0.3">
      <c r="A363" s="4" t="s">
        <v>1157</v>
      </c>
      <c r="B363" s="2" t="str">
        <f>"08203053900"</f>
        <v>08203053900</v>
      </c>
      <c r="C363" s="2" t="s">
        <v>1422</v>
      </c>
      <c r="D363" t="s">
        <v>29</v>
      </c>
      <c r="E363" s="2" t="s">
        <v>30</v>
      </c>
      <c r="F363" s="2">
        <v>37207</v>
      </c>
      <c r="G363" s="2" t="s">
        <v>64</v>
      </c>
      <c r="H363" t="s">
        <v>280</v>
      </c>
      <c r="I363" s="6">
        <v>42906</v>
      </c>
      <c r="J363" s="2" t="s">
        <v>1423</v>
      </c>
      <c r="K363" s="2" t="s">
        <v>34</v>
      </c>
      <c r="L363" t="s">
        <v>343</v>
      </c>
      <c r="M363" t="s">
        <v>29</v>
      </c>
      <c r="N363" t="s">
        <v>30</v>
      </c>
      <c r="O363">
        <v>37201</v>
      </c>
      <c r="P363" t="s">
        <v>1424</v>
      </c>
      <c r="Q363" s="2">
        <v>0.2</v>
      </c>
      <c r="R363" s="2">
        <v>58</v>
      </c>
      <c r="S363" s="2">
        <v>144</v>
      </c>
      <c r="T363" t="s">
        <v>1425</v>
      </c>
      <c r="U363" s="6">
        <v>26266</v>
      </c>
      <c r="V363" s="2">
        <v>47037012600</v>
      </c>
      <c r="W363" s="2" t="s">
        <v>68</v>
      </c>
      <c r="X363" s="1">
        <v>45658</v>
      </c>
      <c r="Y363" s="2">
        <v>390000</v>
      </c>
      <c r="Z363" s="2">
        <v>0</v>
      </c>
      <c r="AA363" s="2">
        <v>390000</v>
      </c>
    </row>
    <row r="364" spans="1:27" x14ac:dyDescent="0.3">
      <c r="A364" s="4" t="s">
        <v>1157</v>
      </c>
      <c r="B364" s="2" t="str">
        <f>"08204029200"</f>
        <v>08204029200</v>
      </c>
      <c r="C364" s="2" t="s">
        <v>1426</v>
      </c>
      <c r="D364" t="s">
        <v>29</v>
      </c>
      <c r="E364" s="2" t="s">
        <v>30</v>
      </c>
      <c r="F364" s="2">
        <v>37206</v>
      </c>
      <c r="G364" s="2" t="s">
        <v>64</v>
      </c>
      <c r="H364" t="s">
        <v>280</v>
      </c>
      <c r="I364" s="6">
        <v>35283</v>
      </c>
      <c r="J364" s="2" t="s">
        <v>1427</v>
      </c>
      <c r="K364" s="2">
        <v>50200</v>
      </c>
      <c r="L364" t="s">
        <v>35</v>
      </c>
      <c r="M364" t="s">
        <v>29</v>
      </c>
      <c r="N364" t="s">
        <v>30</v>
      </c>
      <c r="O364">
        <v>37219</v>
      </c>
      <c r="P364" t="s">
        <v>1428</v>
      </c>
      <c r="Q364" s="2">
        <v>0.45</v>
      </c>
      <c r="R364" s="2">
        <v>16</v>
      </c>
      <c r="S364" s="2">
        <v>171</v>
      </c>
      <c r="T364" t="s">
        <v>1429</v>
      </c>
      <c r="U364" s="6">
        <v>13210</v>
      </c>
      <c r="V364" s="2">
        <v>47037011700</v>
      </c>
      <c r="W364" s="2" t="s">
        <v>68</v>
      </c>
      <c r="X364" s="1">
        <v>45658</v>
      </c>
      <c r="Y364" s="2">
        <v>17000</v>
      </c>
      <c r="Z364" s="2">
        <v>0</v>
      </c>
      <c r="AA364" s="2">
        <v>17000</v>
      </c>
    </row>
    <row r="365" spans="1:27" x14ac:dyDescent="0.3">
      <c r="A365" s="4" t="s">
        <v>1157</v>
      </c>
      <c r="B365" s="2" t="str">
        <f>"08204029300"</f>
        <v>08204029300</v>
      </c>
      <c r="C365" s="2" t="s">
        <v>1430</v>
      </c>
      <c r="D365" t="s">
        <v>29</v>
      </c>
      <c r="E365" s="2" t="s">
        <v>30</v>
      </c>
      <c r="F365" s="2">
        <v>37206</v>
      </c>
      <c r="G365" s="2" t="s">
        <v>64</v>
      </c>
      <c r="H365" t="s">
        <v>280</v>
      </c>
      <c r="I365" s="6">
        <v>35305</v>
      </c>
      <c r="J365" s="2" t="s">
        <v>1431</v>
      </c>
      <c r="K365" s="2">
        <v>35000</v>
      </c>
      <c r="L365" t="s">
        <v>35</v>
      </c>
      <c r="M365" t="s">
        <v>29</v>
      </c>
      <c r="N365" t="s">
        <v>30</v>
      </c>
      <c r="O365">
        <v>37219</v>
      </c>
      <c r="P365" t="s">
        <v>1432</v>
      </c>
      <c r="Q365" s="2">
        <v>0.19</v>
      </c>
      <c r="R365" s="2">
        <v>50</v>
      </c>
      <c r="S365" s="2">
        <v>172</v>
      </c>
      <c r="T365" t="s">
        <v>1433</v>
      </c>
      <c r="U365" s="6">
        <v>26081</v>
      </c>
      <c r="V365" s="2">
        <v>47037011700</v>
      </c>
      <c r="W365" s="2" t="s">
        <v>68</v>
      </c>
      <c r="X365" s="1">
        <v>45658</v>
      </c>
      <c r="Y365" s="2">
        <v>235000</v>
      </c>
      <c r="Z365" s="2">
        <v>0</v>
      </c>
      <c r="AA365" s="2">
        <v>235000</v>
      </c>
    </row>
    <row r="366" spans="1:27" x14ac:dyDescent="0.3">
      <c r="A366" s="4" t="s">
        <v>1157</v>
      </c>
      <c r="B366" s="2" t="str">
        <f>"08204029400"</f>
        <v>08204029400</v>
      </c>
      <c r="C366" s="2" t="s">
        <v>1434</v>
      </c>
      <c r="D366" t="s">
        <v>29</v>
      </c>
      <c r="E366" s="2" t="s">
        <v>30</v>
      </c>
      <c r="F366" s="2">
        <v>37206</v>
      </c>
      <c r="G366" s="2" t="s">
        <v>64</v>
      </c>
      <c r="H366" t="s">
        <v>280</v>
      </c>
      <c r="I366" s="6">
        <v>35272</v>
      </c>
      <c r="J366" s="2" t="s">
        <v>1435</v>
      </c>
      <c r="K366" s="2">
        <v>25300</v>
      </c>
      <c r="L366" t="s">
        <v>35</v>
      </c>
      <c r="M366" t="s">
        <v>29</v>
      </c>
      <c r="N366" t="s">
        <v>30</v>
      </c>
      <c r="O366">
        <v>37219</v>
      </c>
      <c r="P366" t="s">
        <v>1436</v>
      </c>
      <c r="Q366" s="2">
        <v>0.21</v>
      </c>
      <c r="R366" s="2">
        <v>50</v>
      </c>
      <c r="S366" s="2">
        <v>172</v>
      </c>
      <c r="T366" t="s">
        <v>1437</v>
      </c>
      <c r="U366" s="6">
        <v>25568</v>
      </c>
      <c r="V366" s="2">
        <v>47037011700</v>
      </c>
      <c r="W366" s="2" t="s">
        <v>68</v>
      </c>
      <c r="X366" s="1">
        <v>45658</v>
      </c>
      <c r="Y366" s="2">
        <v>235000</v>
      </c>
      <c r="Z366" s="2">
        <v>0</v>
      </c>
      <c r="AA366" s="2">
        <v>235000</v>
      </c>
    </row>
    <row r="367" spans="1:27" x14ac:dyDescent="0.3">
      <c r="A367" s="4" t="s">
        <v>1157</v>
      </c>
      <c r="B367" s="2" t="str">
        <f>"08204029500"</f>
        <v>08204029500</v>
      </c>
      <c r="C367" s="2" t="s">
        <v>1438</v>
      </c>
      <c r="D367" t="s">
        <v>29</v>
      </c>
      <c r="E367" s="2" t="s">
        <v>30</v>
      </c>
      <c r="F367" s="2">
        <v>37206</v>
      </c>
      <c r="G367" s="2" t="s">
        <v>64</v>
      </c>
      <c r="H367" t="s">
        <v>280</v>
      </c>
      <c r="I367" s="6">
        <v>35268</v>
      </c>
      <c r="J367" s="2" t="s">
        <v>1439</v>
      </c>
      <c r="K367" s="2">
        <v>27750</v>
      </c>
      <c r="L367" t="s">
        <v>35</v>
      </c>
      <c r="M367" t="s">
        <v>29</v>
      </c>
      <c r="N367" t="s">
        <v>30</v>
      </c>
      <c r="O367">
        <v>37219</v>
      </c>
      <c r="P367" t="s">
        <v>1440</v>
      </c>
      <c r="Q367" s="2">
        <v>0.19</v>
      </c>
      <c r="R367" s="2">
        <v>50</v>
      </c>
      <c r="S367" s="2">
        <v>173</v>
      </c>
      <c r="T367" t="s">
        <v>1441</v>
      </c>
      <c r="U367" s="6">
        <v>27228</v>
      </c>
      <c r="V367" s="2">
        <v>47037011700</v>
      </c>
      <c r="W367" s="2" t="s">
        <v>68</v>
      </c>
      <c r="X367" s="1">
        <v>45658</v>
      </c>
      <c r="Y367" s="2">
        <v>235000</v>
      </c>
      <c r="Z367" s="2">
        <v>0</v>
      </c>
      <c r="AA367" s="2">
        <v>235000</v>
      </c>
    </row>
    <row r="368" spans="1:27" x14ac:dyDescent="0.3">
      <c r="A368" s="4" t="s">
        <v>1157</v>
      </c>
      <c r="B368" s="2" t="str">
        <f>"08204027200"</f>
        <v>08204027200</v>
      </c>
      <c r="C368" s="2" t="s">
        <v>1442</v>
      </c>
      <c r="D368" t="s">
        <v>29</v>
      </c>
      <c r="E368" s="2" t="s">
        <v>30</v>
      </c>
      <c r="F368" s="2">
        <v>37206</v>
      </c>
      <c r="G368" s="2" t="s">
        <v>64</v>
      </c>
      <c r="H368" t="s">
        <v>280</v>
      </c>
      <c r="I368" s="6">
        <v>36234</v>
      </c>
      <c r="J368" s="2" t="s">
        <v>1443</v>
      </c>
      <c r="K368" s="2">
        <v>2000</v>
      </c>
      <c r="L368" t="s">
        <v>35</v>
      </c>
      <c r="M368" t="s">
        <v>29</v>
      </c>
      <c r="N368" t="s">
        <v>30</v>
      </c>
      <c r="O368">
        <v>37219</v>
      </c>
      <c r="P368" t="s">
        <v>1444</v>
      </c>
      <c r="Q368" s="2">
        <v>0.93</v>
      </c>
      <c r="R368" s="2">
        <v>333</v>
      </c>
      <c r="S368" s="2">
        <v>173</v>
      </c>
      <c r="T368" t="s">
        <v>1445</v>
      </c>
      <c r="U368" s="6">
        <v>36313</v>
      </c>
      <c r="V368" s="2">
        <v>47037011700</v>
      </c>
      <c r="W368" s="2" t="s">
        <v>68</v>
      </c>
      <c r="X368" s="1">
        <v>45658</v>
      </c>
      <c r="Y368" s="2">
        <v>1215300</v>
      </c>
      <c r="Z368" s="2">
        <v>0</v>
      </c>
      <c r="AA368" s="2">
        <v>1215300</v>
      </c>
    </row>
    <row r="369" spans="1:27" x14ac:dyDescent="0.3">
      <c r="A369" s="4" t="s">
        <v>1157</v>
      </c>
      <c r="B369" s="2" t="str">
        <f>"07205005700"</f>
        <v>07205005700</v>
      </c>
      <c r="C369" s="2" t="s">
        <v>1446</v>
      </c>
      <c r="D369" t="s">
        <v>29</v>
      </c>
      <c r="E369" s="2" t="s">
        <v>30</v>
      </c>
      <c r="F369" s="2">
        <v>37207</v>
      </c>
      <c r="G369" s="2" t="s">
        <v>64</v>
      </c>
      <c r="H369" t="s">
        <v>280</v>
      </c>
      <c r="I369" s="6">
        <v>22635</v>
      </c>
      <c r="J369" s="2" t="s">
        <v>1447</v>
      </c>
      <c r="K369" s="2" t="s">
        <v>34</v>
      </c>
      <c r="L369" t="s">
        <v>35</v>
      </c>
      <c r="M369" t="s">
        <v>29</v>
      </c>
      <c r="N369" t="s">
        <v>30</v>
      </c>
      <c r="O369">
        <v>37219</v>
      </c>
      <c r="P369" t="s">
        <v>1448</v>
      </c>
      <c r="Q369" s="2">
        <v>1.38</v>
      </c>
      <c r="R369" s="2">
        <v>158</v>
      </c>
      <c r="S369" s="2">
        <v>302</v>
      </c>
      <c r="T369" t="s">
        <v>1449</v>
      </c>
      <c r="U369" s="6">
        <v>44077</v>
      </c>
      <c r="V369" s="2">
        <v>47037011300</v>
      </c>
      <c r="W369" s="2" t="s">
        <v>68</v>
      </c>
      <c r="X369" s="1">
        <v>45658</v>
      </c>
      <c r="Y369" s="2">
        <v>475000</v>
      </c>
      <c r="Z369" s="2">
        <v>0</v>
      </c>
      <c r="AA369" s="2">
        <v>475000</v>
      </c>
    </row>
    <row r="370" spans="1:27" x14ac:dyDescent="0.3">
      <c r="A370" s="4" t="s">
        <v>1157</v>
      </c>
      <c r="B370" s="2" t="str">
        <f>"07209019700"</f>
        <v>07209019700</v>
      </c>
      <c r="C370" s="2" t="s">
        <v>1450</v>
      </c>
      <c r="D370" t="s">
        <v>29</v>
      </c>
      <c r="E370" s="2" t="s">
        <v>30</v>
      </c>
      <c r="F370" s="2">
        <v>37216</v>
      </c>
      <c r="G370" s="2" t="s">
        <v>64</v>
      </c>
      <c r="H370" t="s">
        <v>280</v>
      </c>
      <c r="I370" s="6">
        <v>40156</v>
      </c>
      <c r="J370" s="2" t="s">
        <v>1451</v>
      </c>
      <c r="K370" s="2">
        <v>0</v>
      </c>
      <c r="L370" t="s">
        <v>35</v>
      </c>
      <c r="M370" t="s">
        <v>29</v>
      </c>
      <c r="N370" t="s">
        <v>30</v>
      </c>
      <c r="O370">
        <v>37219</v>
      </c>
      <c r="P370" t="s">
        <v>1452</v>
      </c>
      <c r="Q370" s="2">
        <v>0.22</v>
      </c>
      <c r="R370" s="2">
        <v>50</v>
      </c>
      <c r="S370" s="2">
        <v>192</v>
      </c>
      <c r="T370" t="s">
        <v>1453</v>
      </c>
      <c r="U370" s="6">
        <v>24589</v>
      </c>
      <c r="V370" s="2">
        <v>47037011400</v>
      </c>
      <c r="W370" s="2" t="s">
        <v>68</v>
      </c>
      <c r="X370" s="1">
        <v>45658</v>
      </c>
      <c r="Y370" s="2">
        <v>15000</v>
      </c>
      <c r="Z370" s="2">
        <v>0</v>
      </c>
      <c r="AA370" s="2">
        <v>15000</v>
      </c>
    </row>
    <row r="371" spans="1:27" x14ac:dyDescent="0.3">
      <c r="A371" s="4" t="s">
        <v>1157</v>
      </c>
      <c r="B371" s="2" t="str">
        <f>"08204026600"</f>
        <v>08204026600</v>
      </c>
      <c r="C371" s="2" t="s">
        <v>1454</v>
      </c>
      <c r="D371" t="s">
        <v>29</v>
      </c>
      <c r="E371" s="2" t="s">
        <v>30</v>
      </c>
      <c r="F371" s="2">
        <v>37206</v>
      </c>
      <c r="G371" s="2" t="s">
        <v>64</v>
      </c>
      <c r="H371" t="s">
        <v>280</v>
      </c>
      <c r="I371" s="6">
        <v>35304</v>
      </c>
      <c r="J371" s="2" t="s">
        <v>1455</v>
      </c>
      <c r="K371" s="2">
        <v>27800</v>
      </c>
      <c r="L371" t="s">
        <v>35</v>
      </c>
      <c r="M371" t="s">
        <v>29</v>
      </c>
      <c r="N371" t="s">
        <v>30</v>
      </c>
      <c r="O371">
        <v>37219</v>
      </c>
      <c r="P371" t="s">
        <v>1456</v>
      </c>
      <c r="Q371" s="2">
        <v>0.16</v>
      </c>
      <c r="R371" s="2">
        <v>122</v>
      </c>
      <c r="S371" s="2">
        <v>60</v>
      </c>
      <c r="T371" t="s">
        <v>1457</v>
      </c>
      <c r="U371" s="6">
        <v>10407</v>
      </c>
      <c r="V371" s="2">
        <v>47037011700</v>
      </c>
      <c r="W371" s="2" t="s">
        <v>68</v>
      </c>
      <c r="X371" s="1">
        <v>45658</v>
      </c>
      <c r="Y371" s="2">
        <v>114800</v>
      </c>
      <c r="Z371" s="2">
        <v>0</v>
      </c>
      <c r="AA371" s="2">
        <v>114800</v>
      </c>
    </row>
    <row r="372" spans="1:27" x14ac:dyDescent="0.3">
      <c r="A372" s="4" t="s">
        <v>1157</v>
      </c>
      <c r="B372" s="2" t="str">
        <f>"07103007600"</f>
        <v>07103007600</v>
      </c>
      <c r="C372" s="2" t="s">
        <v>1458</v>
      </c>
      <c r="D372" t="s">
        <v>29</v>
      </c>
      <c r="E372" s="2" t="s">
        <v>30</v>
      </c>
      <c r="F372" s="2">
        <v>37207</v>
      </c>
      <c r="G372" s="2" t="s">
        <v>64</v>
      </c>
      <c r="H372" t="s">
        <v>280</v>
      </c>
      <c r="I372" s="6">
        <v>39535</v>
      </c>
      <c r="J372" s="2" t="s">
        <v>1459</v>
      </c>
      <c r="K372" s="2">
        <v>0</v>
      </c>
      <c r="L372" t="s">
        <v>35</v>
      </c>
      <c r="M372" t="s">
        <v>29</v>
      </c>
      <c r="N372" t="s">
        <v>30</v>
      </c>
      <c r="O372">
        <v>37219</v>
      </c>
      <c r="P372" t="s">
        <v>1460</v>
      </c>
      <c r="Q372" s="2">
        <v>0.44</v>
      </c>
      <c r="R372" s="2">
        <v>95</v>
      </c>
      <c r="S372" s="2">
        <v>235</v>
      </c>
      <c r="T372" t="s">
        <v>1461</v>
      </c>
      <c r="U372" s="6">
        <v>17838</v>
      </c>
      <c r="V372" s="2">
        <v>47037011001</v>
      </c>
      <c r="W372" s="2" t="s">
        <v>68</v>
      </c>
      <c r="X372" s="1">
        <v>45658</v>
      </c>
      <c r="Y372" s="2">
        <v>180500</v>
      </c>
      <c r="Z372" s="2">
        <v>0</v>
      </c>
      <c r="AA372" s="2">
        <v>180500</v>
      </c>
    </row>
    <row r="373" spans="1:27" x14ac:dyDescent="0.3">
      <c r="A373" s="4" t="s">
        <v>1157</v>
      </c>
      <c r="B373" s="2" t="str">
        <f>"06016004200"</f>
        <v>06016004200</v>
      </c>
      <c r="C373" s="2" t="s">
        <v>1462</v>
      </c>
      <c r="D373" t="s">
        <v>29</v>
      </c>
      <c r="E373" s="2" t="s">
        <v>30</v>
      </c>
      <c r="F373" s="2">
        <v>37207</v>
      </c>
      <c r="G373" s="2" t="s">
        <v>64</v>
      </c>
      <c r="H373" t="s">
        <v>280</v>
      </c>
      <c r="I373" s="6">
        <v>41292</v>
      </c>
      <c r="J373" s="2" t="s">
        <v>1463</v>
      </c>
      <c r="K373" s="2">
        <v>0</v>
      </c>
      <c r="L373" t="s">
        <v>35</v>
      </c>
      <c r="M373" t="s">
        <v>29</v>
      </c>
      <c r="N373" t="s">
        <v>30</v>
      </c>
      <c r="O373">
        <v>37219</v>
      </c>
      <c r="P373" t="s">
        <v>1464</v>
      </c>
      <c r="Q373" s="2">
        <v>0.25</v>
      </c>
      <c r="R373" s="2">
        <v>97</v>
      </c>
      <c r="S373" s="2">
        <v>170</v>
      </c>
      <c r="T373" t="s">
        <v>1465</v>
      </c>
      <c r="U373" s="6">
        <v>24857</v>
      </c>
      <c r="V373" s="2">
        <v>47037011001</v>
      </c>
      <c r="W373" s="2" t="s">
        <v>68</v>
      </c>
      <c r="X373" s="1">
        <v>45658</v>
      </c>
      <c r="Y373" s="2">
        <v>170000</v>
      </c>
      <c r="Z373" s="2">
        <v>0</v>
      </c>
      <c r="AA373" s="2">
        <v>170000</v>
      </c>
    </row>
    <row r="374" spans="1:27" x14ac:dyDescent="0.3">
      <c r="A374" s="4" t="s">
        <v>1157</v>
      </c>
      <c r="B374" s="2" t="str">
        <f>"08204026800"</f>
        <v>08204026800</v>
      </c>
      <c r="C374" s="2" t="s">
        <v>1466</v>
      </c>
      <c r="D374" t="s">
        <v>29</v>
      </c>
      <c r="E374" s="2" t="s">
        <v>30</v>
      </c>
      <c r="F374" s="2">
        <v>37206</v>
      </c>
      <c r="G374" s="2" t="s">
        <v>64</v>
      </c>
      <c r="H374" t="s">
        <v>379</v>
      </c>
      <c r="I374" s="6">
        <v>44636</v>
      </c>
      <c r="J374" s="2" t="s">
        <v>1467</v>
      </c>
      <c r="K374" s="2" t="s">
        <v>34</v>
      </c>
      <c r="L374" t="s">
        <v>315</v>
      </c>
      <c r="M374" t="s">
        <v>29</v>
      </c>
      <c r="N374" t="s">
        <v>30</v>
      </c>
      <c r="O374">
        <v>37208</v>
      </c>
      <c r="P374" t="s">
        <v>1468</v>
      </c>
      <c r="Q374" s="2">
        <v>0.11</v>
      </c>
      <c r="R374" s="2">
        <v>37</v>
      </c>
      <c r="S374" s="2">
        <v>131</v>
      </c>
      <c r="T374" t="s">
        <v>1469</v>
      </c>
      <c r="U374" s="6">
        <v>19362</v>
      </c>
      <c r="V374" s="2">
        <v>47037011700</v>
      </c>
      <c r="W374" s="2" t="s">
        <v>68</v>
      </c>
      <c r="X374" s="1">
        <v>45658</v>
      </c>
      <c r="Y374" s="2">
        <v>97500</v>
      </c>
      <c r="Z374" s="2">
        <v>0</v>
      </c>
      <c r="AA374" s="2">
        <v>97500</v>
      </c>
    </row>
    <row r="375" spans="1:27" x14ac:dyDescent="0.3">
      <c r="A375" s="4" t="s">
        <v>1157</v>
      </c>
      <c r="B375" s="2" t="str">
        <f>"07205018400"</f>
        <v>07205018400</v>
      </c>
      <c r="C375" s="2" t="s">
        <v>1470</v>
      </c>
      <c r="D375" t="s">
        <v>29</v>
      </c>
      <c r="E375" s="2" t="s">
        <v>30</v>
      </c>
      <c r="F375" s="2">
        <v>37207</v>
      </c>
      <c r="G375" s="2" t="s">
        <v>1471</v>
      </c>
      <c r="H375" t="s">
        <v>379</v>
      </c>
      <c r="I375" s="6">
        <v>43964</v>
      </c>
      <c r="J375" s="2" t="s">
        <v>1472</v>
      </c>
      <c r="K375" s="2" t="s">
        <v>34</v>
      </c>
      <c r="L375" t="s">
        <v>35</v>
      </c>
      <c r="M375" t="s">
        <v>29</v>
      </c>
      <c r="N375" t="s">
        <v>30</v>
      </c>
      <c r="O375">
        <v>37219</v>
      </c>
      <c r="P375" t="s">
        <v>1473</v>
      </c>
      <c r="Q375" s="2">
        <v>0.15</v>
      </c>
      <c r="R375" s="2">
        <v>66</v>
      </c>
      <c r="S375" s="2">
        <v>95</v>
      </c>
      <c r="T375" t="s">
        <v>1474</v>
      </c>
      <c r="U375" s="6">
        <v>43507</v>
      </c>
      <c r="V375" s="2">
        <v>47037011300</v>
      </c>
      <c r="W375" s="2" t="s">
        <v>68</v>
      </c>
      <c r="X375" s="1">
        <v>45658</v>
      </c>
      <c r="Y375" s="2">
        <v>240900</v>
      </c>
      <c r="Z375" s="2">
        <v>44900</v>
      </c>
      <c r="AA375" s="2">
        <v>196000</v>
      </c>
    </row>
    <row r="376" spans="1:27" x14ac:dyDescent="0.3">
      <c r="A376" s="4" t="s">
        <v>1475</v>
      </c>
      <c r="B376" s="2" t="str">
        <f>"07300001600"</f>
        <v>07300001600</v>
      </c>
      <c r="C376" s="2" t="s">
        <v>1476</v>
      </c>
      <c r="D376" t="s">
        <v>29</v>
      </c>
      <c r="E376" s="2" t="s">
        <v>30</v>
      </c>
      <c r="F376" s="2">
        <v>37206</v>
      </c>
      <c r="G376" s="2" t="s">
        <v>41</v>
      </c>
      <c r="H376" t="s">
        <v>32</v>
      </c>
      <c r="I376" s="6">
        <v>40681</v>
      </c>
      <c r="J376" s="2" t="s">
        <v>1477</v>
      </c>
      <c r="K376" s="2">
        <v>1215000</v>
      </c>
      <c r="L376" t="s">
        <v>35</v>
      </c>
      <c r="M376" t="s">
        <v>29</v>
      </c>
      <c r="N376" t="s">
        <v>30</v>
      </c>
      <c r="O376">
        <v>37219</v>
      </c>
      <c r="P376" t="s">
        <v>1478</v>
      </c>
      <c r="Q376" s="2">
        <v>1.64</v>
      </c>
      <c r="R376" s="2">
        <v>0</v>
      </c>
      <c r="S376" s="2">
        <v>0</v>
      </c>
      <c r="T376" t="s">
        <v>1479</v>
      </c>
      <c r="U376" s="6">
        <v>19245</v>
      </c>
      <c r="V376" s="2">
        <v>47037011600</v>
      </c>
      <c r="W376" s="2" t="s">
        <v>68</v>
      </c>
      <c r="X376" s="1">
        <v>45658</v>
      </c>
      <c r="Y376" s="2">
        <v>61500</v>
      </c>
      <c r="Z376" s="2">
        <v>0</v>
      </c>
      <c r="AA376" s="2">
        <v>61500</v>
      </c>
    </row>
    <row r="377" spans="1:27" x14ac:dyDescent="0.3">
      <c r="A377" s="4" t="s">
        <v>1475</v>
      </c>
      <c r="B377" s="2" t="str">
        <f>"08310047500"</f>
        <v>08310047500</v>
      </c>
      <c r="C377" s="2" t="s">
        <v>1480</v>
      </c>
      <c r="D377" t="s">
        <v>29</v>
      </c>
      <c r="E377" s="2" t="s">
        <v>30</v>
      </c>
      <c r="F377" s="2">
        <v>37206</v>
      </c>
      <c r="G377" s="2" t="s">
        <v>34</v>
      </c>
      <c r="H377" t="s">
        <v>32</v>
      </c>
      <c r="I377" s="6">
        <v>45161</v>
      </c>
      <c r="J377" s="2" t="s">
        <v>1481</v>
      </c>
      <c r="K377" s="2">
        <v>0</v>
      </c>
      <c r="L377" t="s">
        <v>893</v>
      </c>
      <c r="M377" t="s">
        <v>29</v>
      </c>
      <c r="N377" t="s">
        <v>30</v>
      </c>
      <c r="O377">
        <v>37219</v>
      </c>
      <c r="P377" t="s">
        <v>1482</v>
      </c>
      <c r="Q377" s="2">
        <v>3.95</v>
      </c>
      <c r="R377" s="2">
        <v>25</v>
      </c>
      <c r="S377" s="2">
        <v>200</v>
      </c>
      <c r="T377" t="s">
        <v>1483</v>
      </c>
      <c r="U377" s="6">
        <v>45141</v>
      </c>
      <c r="V377" s="2">
        <v>47037012100</v>
      </c>
      <c r="W377" s="2" t="s">
        <v>837</v>
      </c>
      <c r="X377" s="1">
        <v>45658</v>
      </c>
      <c r="Y377" s="2">
        <v>380600</v>
      </c>
      <c r="Z377" s="2">
        <v>0</v>
      </c>
      <c r="AA377" s="2">
        <v>380600</v>
      </c>
    </row>
    <row r="378" spans="1:27" x14ac:dyDescent="0.3">
      <c r="A378" s="4" t="s">
        <v>1475</v>
      </c>
      <c r="B378" s="2" t="str">
        <f>"08400001400"</f>
        <v>08400001400</v>
      </c>
      <c r="C378" s="2" t="s">
        <v>1484</v>
      </c>
      <c r="D378" t="s">
        <v>29</v>
      </c>
      <c r="E378" s="2" t="s">
        <v>30</v>
      </c>
      <c r="F378" s="2">
        <v>37206</v>
      </c>
      <c r="G378" s="2" t="s">
        <v>1485</v>
      </c>
      <c r="H378" t="s">
        <v>32</v>
      </c>
      <c r="I378" s="6">
        <v>40681</v>
      </c>
      <c r="J378" s="2" t="s">
        <v>1477</v>
      </c>
      <c r="K378" s="2">
        <v>1215000</v>
      </c>
      <c r="L378" t="s">
        <v>35</v>
      </c>
      <c r="M378" t="s">
        <v>29</v>
      </c>
      <c r="N378" t="s">
        <v>30</v>
      </c>
      <c r="O378">
        <v>37219</v>
      </c>
      <c r="P378" t="s">
        <v>1486</v>
      </c>
      <c r="Q378" s="2">
        <v>1.56</v>
      </c>
      <c r="R378" s="2">
        <v>0</v>
      </c>
      <c r="S378" s="2">
        <v>0</v>
      </c>
      <c r="T378" t="s">
        <v>1487</v>
      </c>
      <c r="U378" s="6">
        <v>23712</v>
      </c>
      <c r="V378" s="2">
        <v>47037011600</v>
      </c>
      <c r="W378" s="2" t="s">
        <v>68</v>
      </c>
      <c r="X378" s="1">
        <v>45658</v>
      </c>
      <c r="Y378" s="2">
        <v>29300</v>
      </c>
      <c r="Z378" s="2">
        <v>0</v>
      </c>
      <c r="AA378" s="2">
        <v>29300</v>
      </c>
    </row>
    <row r="379" spans="1:27" x14ac:dyDescent="0.3">
      <c r="A379" s="4" t="s">
        <v>1475</v>
      </c>
      <c r="B379" s="2" t="str">
        <f>"08400000200"</f>
        <v>08400000200</v>
      </c>
      <c r="C379" s="2" t="s">
        <v>1488</v>
      </c>
      <c r="D379" t="s">
        <v>29</v>
      </c>
      <c r="E379" s="2" t="s">
        <v>30</v>
      </c>
      <c r="F379" s="2">
        <v>37206</v>
      </c>
      <c r="G379" s="2" t="s">
        <v>41</v>
      </c>
      <c r="H379" t="s">
        <v>32</v>
      </c>
      <c r="I379" s="6">
        <v>40681</v>
      </c>
      <c r="J379" s="2" t="s">
        <v>1477</v>
      </c>
      <c r="K379" s="2">
        <v>1215000</v>
      </c>
      <c r="L379" t="s">
        <v>35</v>
      </c>
      <c r="M379" t="s">
        <v>29</v>
      </c>
      <c r="N379" t="s">
        <v>30</v>
      </c>
      <c r="O379">
        <v>37219</v>
      </c>
      <c r="P379" t="s">
        <v>1489</v>
      </c>
      <c r="Q379" s="2">
        <v>3.76</v>
      </c>
      <c r="R379" s="2">
        <v>0</v>
      </c>
      <c r="S379" s="2">
        <v>0</v>
      </c>
      <c r="T379" t="s">
        <v>198</v>
      </c>
      <c r="U379" s="6">
        <v>27760</v>
      </c>
      <c r="V379" s="2">
        <v>47037011600</v>
      </c>
      <c r="W379" s="2" t="s">
        <v>68</v>
      </c>
      <c r="X379" s="1">
        <v>45658</v>
      </c>
      <c r="Y379" s="2">
        <v>141000</v>
      </c>
      <c r="Z379" s="2">
        <v>0</v>
      </c>
      <c r="AA379" s="2">
        <v>141000</v>
      </c>
    </row>
    <row r="380" spans="1:27" x14ac:dyDescent="0.3">
      <c r="A380" s="4" t="s">
        <v>1475</v>
      </c>
      <c r="B380" s="2" t="str">
        <f>"08400001000"</f>
        <v>08400001000</v>
      </c>
      <c r="C380" s="2" t="s">
        <v>1490</v>
      </c>
      <c r="D380" t="s">
        <v>29</v>
      </c>
      <c r="E380" s="2" t="s">
        <v>30</v>
      </c>
      <c r="F380" s="2">
        <v>37206</v>
      </c>
      <c r="G380" s="2" t="s">
        <v>398</v>
      </c>
      <c r="H380" t="s">
        <v>32</v>
      </c>
      <c r="I380" s="6">
        <v>34268</v>
      </c>
      <c r="J380" s="2" t="s">
        <v>1491</v>
      </c>
      <c r="K380" s="2" t="s">
        <v>34</v>
      </c>
      <c r="L380" t="s">
        <v>35</v>
      </c>
      <c r="M380" t="s">
        <v>29</v>
      </c>
      <c r="N380" t="s">
        <v>30</v>
      </c>
      <c r="O380">
        <v>37219</v>
      </c>
      <c r="P380" t="s">
        <v>1492</v>
      </c>
      <c r="Q380" s="2">
        <v>935.5</v>
      </c>
      <c r="R380" s="2">
        <v>0</v>
      </c>
      <c r="S380" s="2">
        <v>0</v>
      </c>
      <c r="T380" t="s">
        <v>198</v>
      </c>
      <c r="U380" s="6">
        <v>40909</v>
      </c>
      <c r="V380" s="2">
        <v>47037011600</v>
      </c>
      <c r="W380" s="2" t="s">
        <v>68</v>
      </c>
      <c r="X380" s="1">
        <v>45658</v>
      </c>
      <c r="Y380" s="2">
        <v>18603900</v>
      </c>
      <c r="Z380" s="2">
        <v>3869800</v>
      </c>
      <c r="AA380" s="2">
        <v>14734100</v>
      </c>
    </row>
    <row r="381" spans="1:27" x14ac:dyDescent="0.3">
      <c r="A381" s="4" t="s">
        <v>1475</v>
      </c>
      <c r="B381" s="2" t="str">
        <f>"08310032701"</f>
        <v>08310032701</v>
      </c>
      <c r="C381" s="2" t="s">
        <v>1493</v>
      </c>
      <c r="D381" t="s">
        <v>29</v>
      </c>
      <c r="E381" s="2" t="s">
        <v>30</v>
      </c>
      <c r="F381" s="2">
        <v>37206</v>
      </c>
      <c r="G381" s="2" t="s">
        <v>64</v>
      </c>
      <c r="H381" t="s">
        <v>99</v>
      </c>
      <c r="I381" s="6">
        <v>38966</v>
      </c>
      <c r="J381" s="2" t="s">
        <v>1494</v>
      </c>
      <c r="K381" s="2">
        <v>7395</v>
      </c>
      <c r="L381" t="s">
        <v>35</v>
      </c>
      <c r="M381" t="s">
        <v>29</v>
      </c>
      <c r="N381" t="s">
        <v>30</v>
      </c>
      <c r="O381">
        <v>37219</v>
      </c>
      <c r="P381" t="s">
        <v>1495</v>
      </c>
      <c r="Q381" s="2">
        <v>0.27</v>
      </c>
      <c r="R381" s="2">
        <v>50</v>
      </c>
      <c r="S381" s="2">
        <v>221</v>
      </c>
      <c r="T381" t="s">
        <v>1496</v>
      </c>
      <c r="U381" s="6">
        <v>23651</v>
      </c>
      <c r="V381" s="2">
        <v>47037012100</v>
      </c>
      <c r="W381" s="2" t="s">
        <v>68</v>
      </c>
      <c r="X381" s="1">
        <v>45658</v>
      </c>
      <c r="Y381" s="2">
        <v>36200</v>
      </c>
      <c r="Z381" s="2">
        <v>0</v>
      </c>
      <c r="AA381" s="2">
        <v>36200</v>
      </c>
    </row>
    <row r="382" spans="1:27" x14ac:dyDescent="0.3">
      <c r="A382" s="4" t="s">
        <v>1475</v>
      </c>
      <c r="B382" s="2" t="str">
        <f>"08314002600"</f>
        <v>08314002600</v>
      </c>
      <c r="C382" s="2" t="s">
        <v>1497</v>
      </c>
      <c r="D382" t="s">
        <v>29</v>
      </c>
      <c r="E382" s="2" t="s">
        <v>30</v>
      </c>
      <c r="F382" s="2">
        <v>37206</v>
      </c>
      <c r="G382" s="2" t="s">
        <v>152</v>
      </c>
      <c r="H382" t="s">
        <v>1498</v>
      </c>
      <c r="I382" s="6">
        <v>5182</v>
      </c>
      <c r="J382" s="2" t="s">
        <v>1499</v>
      </c>
      <c r="K382" s="2" t="s">
        <v>34</v>
      </c>
      <c r="L382" t="s">
        <v>35</v>
      </c>
      <c r="M382" t="s">
        <v>29</v>
      </c>
      <c r="N382" t="s">
        <v>30</v>
      </c>
      <c r="O382">
        <v>37219</v>
      </c>
      <c r="P382" t="s">
        <v>1500</v>
      </c>
      <c r="Q382" s="2">
        <v>0.18</v>
      </c>
      <c r="R382" s="2">
        <v>50</v>
      </c>
      <c r="S382" s="2">
        <v>160</v>
      </c>
      <c r="T382" t="s">
        <v>1499</v>
      </c>
      <c r="U382" s="6">
        <v>5182</v>
      </c>
      <c r="V382" s="2">
        <v>47037012200</v>
      </c>
      <c r="W382" s="2" t="s">
        <v>68</v>
      </c>
      <c r="X382" s="1">
        <v>45658</v>
      </c>
      <c r="Y382" s="2">
        <v>399000</v>
      </c>
      <c r="Z382" s="2">
        <v>0</v>
      </c>
      <c r="AA382" s="2">
        <v>399000</v>
      </c>
    </row>
    <row r="383" spans="1:27" x14ac:dyDescent="0.3">
      <c r="A383" s="4" t="s">
        <v>1475</v>
      </c>
      <c r="B383" s="2" t="str">
        <f>"08215011200"</f>
        <v>08215011200</v>
      </c>
      <c r="C383" s="2" t="s">
        <v>1501</v>
      </c>
      <c r="D383" t="s">
        <v>29</v>
      </c>
      <c r="E383" s="2" t="s">
        <v>30</v>
      </c>
      <c r="F383" s="2">
        <v>37206</v>
      </c>
      <c r="G383" s="2" t="s">
        <v>147</v>
      </c>
      <c r="H383" t="s">
        <v>1502</v>
      </c>
      <c r="I383" s="6">
        <v>22734</v>
      </c>
      <c r="J383" s="2" t="s">
        <v>1503</v>
      </c>
      <c r="K383" s="2" t="s">
        <v>34</v>
      </c>
      <c r="L383" t="s">
        <v>35</v>
      </c>
      <c r="M383" t="s">
        <v>29</v>
      </c>
      <c r="N383" t="s">
        <v>30</v>
      </c>
      <c r="O383">
        <v>37219</v>
      </c>
      <c r="P383" t="s">
        <v>1504</v>
      </c>
      <c r="Q383" s="2">
        <v>1.95</v>
      </c>
      <c r="R383" s="2">
        <v>242</v>
      </c>
      <c r="S383" s="2">
        <v>352</v>
      </c>
      <c r="T383" t="s">
        <v>1505</v>
      </c>
      <c r="U383" s="6">
        <v>31376</v>
      </c>
      <c r="V383" s="2">
        <v>47037019300</v>
      </c>
      <c r="W383" s="2" t="s">
        <v>68</v>
      </c>
      <c r="X383" s="1">
        <v>45658</v>
      </c>
      <c r="Y383" s="2">
        <v>10222100</v>
      </c>
      <c r="Z383" s="2">
        <v>0</v>
      </c>
      <c r="AA383" s="2">
        <v>10222100</v>
      </c>
    </row>
    <row r="384" spans="1:27" x14ac:dyDescent="0.3">
      <c r="A384" s="4" t="s">
        <v>1475</v>
      </c>
      <c r="B384" s="2" t="str">
        <f>"07214002800"</f>
        <v>07214002800</v>
      </c>
      <c r="C384" s="2" t="s">
        <v>1506</v>
      </c>
      <c r="D384" t="s">
        <v>29</v>
      </c>
      <c r="E384" s="2" t="s">
        <v>30</v>
      </c>
      <c r="F384" s="2">
        <v>37206</v>
      </c>
      <c r="G384" s="2" t="s">
        <v>147</v>
      </c>
      <c r="H384" t="s">
        <v>1131</v>
      </c>
      <c r="I384" s="6">
        <v>32400</v>
      </c>
      <c r="J384" s="2" t="s">
        <v>1507</v>
      </c>
      <c r="K384" s="2">
        <v>44000</v>
      </c>
      <c r="L384" t="s">
        <v>35</v>
      </c>
      <c r="M384" t="s">
        <v>29</v>
      </c>
      <c r="N384" t="s">
        <v>30</v>
      </c>
      <c r="O384">
        <v>37219</v>
      </c>
      <c r="P384" t="s">
        <v>1508</v>
      </c>
      <c r="Q384" s="2">
        <v>0.95</v>
      </c>
      <c r="R384" s="2">
        <v>151</v>
      </c>
      <c r="S384" s="2">
        <v>274</v>
      </c>
      <c r="T384" t="s">
        <v>278</v>
      </c>
      <c r="U384" s="6">
        <v>32469</v>
      </c>
      <c r="V384" s="2">
        <v>47037011400</v>
      </c>
      <c r="W384" s="2" t="s">
        <v>68</v>
      </c>
      <c r="X384" s="1">
        <v>45658</v>
      </c>
      <c r="Y384" s="2">
        <v>603800</v>
      </c>
      <c r="Z384" s="2">
        <v>0</v>
      </c>
      <c r="AA384" s="2">
        <v>603800</v>
      </c>
    </row>
    <row r="385" spans="1:27" x14ac:dyDescent="0.3">
      <c r="A385" s="4" t="s">
        <v>1475</v>
      </c>
      <c r="B385" s="2" t="str">
        <f>"08309008500"</f>
        <v>08309008500</v>
      </c>
      <c r="C385" s="2" t="s">
        <v>1509</v>
      </c>
      <c r="D385" t="s">
        <v>29</v>
      </c>
      <c r="E385" s="2" t="s">
        <v>30</v>
      </c>
      <c r="F385" s="2">
        <v>37206</v>
      </c>
      <c r="G385" s="2" t="s">
        <v>1510</v>
      </c>
      <c r="H385" t="s">
        <v>1511</v>
      </c>
      <c r="I385" s="6">
        <v>21689</v>
      </c>
      <c r="J385" s="2" t="s">
        <v>1512</v>
      </c>
      <c r="K385" s="2" t="s">
        <v>34</v>
      </c>
      <c r="L385" t="s">
        <v>35</v>
      </c>
      <c r="M385" t="s">
        <v>29</v>
      </c>
      <c r="N385" t="s">
        <v>30</v>
      </c>
      <c r="O385">
        <v>37219</v>
      </c>
      <c r="P385" t="s">
        <v>1513</v>
      </c>
      <c r="Q385" s="2">
        <v>0.81</v>
      </c>
      <c r="R385" s="2">
        <v>371</v>
      </c>
      <c r="S385" s="2">
        <v>218</v>
      </c>
      <c r="T385" t="s">
        <v>1512</v>
      </c>
      <c r="U385" s="6">
        <v>21689</v>
      </c>
      <c r="V385" s="2">
        <v>47037019200</v>
      </c>
      <c r="W385" s="2" t="s">
        <v>68</v>
      </c>
      <c r="X385" s="1">
        <v>45658</v>
      </c>
      <c r="Y385" s="2">
        <v>5292600</v>
      </c>
      <c r="Z385" s="2">
        <v>0</v>
      </c>
      <c r="AA385" s="2">
        <v>5292600</v>
      </c>
    </row>
    <row r="386" spans="1:27" x14ac:dyDescent="0.3">
      <c r="A386" s="4" t="s">
        <v>1475</v>
      </c>
      <c r="B386" s="2" t="str">
        <f>"08313000300"</f>
        <v>08313000300</v>
      </c>
      <c r="C386" s="2" t="s">
        <v>1514</v>
      </c>
      <c r="D386" t="s">
        <v>29</v>
      </c>
      <c r="E386" s="2" t="s">
        <v>30</v>
      </c>
      <c r="F386" s="2">
        <v>37206</v>
      </c>
      <c r="G386" s="2" t="s">
        <v>253</v>
      </c>
      <c r="H386" t="s">
        <v>171</v>
      </c>
      <c r="I386" s="6">
        <v>110</v>
      </c>
      <c r="J386" s="2" t="s">
        <v>1515</v>
      </c>
      <c r="K386" s="2" t="s">
        <v>34</v>
      </c>
      <c r="L386" t="s">
        <v>35</v>
      </c>
      <c r="M386" t="s">
        <v>29</v>
      </c>
      <c r="N386" t="s">
        <v>30</v>
      </c>
      <c r="O386">
        <v>37219</v>
      </c>
      <c r="P386" t="s">
        <v>1516</v>
      </c>
      <c r="Q386" s="2">
        <v>0.66</v>
      </c>
      <c r="R386" s="2">
        <v>145</v>
      </c>
      <c r="S386" s="2">
        <v>210</v>
      </c>
      <c r="T386" t="s">
        <v>1515</v>
      </c>
      <c r="U386" s="6">
        <v>110</v>
      </c>
      <c r="V386" s="2">
        <v>47037019200</v>
      </c>
      <c r="W386" s="2" t="s">
        <v>68</v>
      </c>
      <c r="X386" s="1">
        <v>45658</v>
      </c>
      <c r="Y386" s="2">
        <v>4574000</v>
      </c>
      <c r="Z386" s="2">
        <v>818300</v>
      </c>
      <c r="AA386" s="2">
        <v>3755700</v>
      </c>
    </row>
    <row r="387" spans="1:27" x14ac:dyDescent="0.3">
      <c r="A387" s="4" t="s">
        <v>1475</v>
      </c>
      <c r="B387" s="2" t="str">
        <f>"08313035800"</f>
        <v>08313035800</v>
      </c>
      <c r="C387" s="2" t="s">
        <v>1517</v>
      </c>
      <c r="D387" t="s">
        <v>29</v>
      </c>
      <c r="E387" s="2" t="s">
        <v>30</v>
      </c>
      <c r="F387" s="2">
        <v>37206</v>
      </c>
      <c r="G387" s="2" t="s">
        <v>64</v>
      </c>
      <c r="H387" t="s">
        <v>171</v>
      </c>
      <c r="I387" s="6">
        <v>35095</v>
      </c>
      <c r="J387" s="2" t="s">
        <v>1518</v>
      </c>
      <c r="K387" s="2">
        <v>17000</v>
      </c>
      <c r="L387" t="s">
        <v>35</v>
      </c>
      <c r="M387" t="s">
        <v>29</v>
      </c>
      <c r="N387" t="s">
        <v>30</v>
      </c>
      <c r="O387">
        <v>37219</v>
      </c>
      <c r="P387" t="s">
        <v>1519</v>
      </c>
      <c r="Q387" s="2">
        <v>0.56000000000000005</v>
      </c>
      <c r="R387" s="2">
        <v>250</v>
      </c>
      <c r="S387" s="2">
        <v>100</v>
      </c>
      <c r="T387" t="s">
        <v>1520</v>
      </c>
      <c r="U387" s="6">
        <v>24029</v>
      </c>
      <c r="V387" s="2">
        <v>47037012200</v>
      </c>
      <c r="W387" s="2" t="s">
        <v>68</v>
      </c>
      <c r="X387" s="1">
        <v>45658</v>
      </c>
      <c r="Y387" s="2">
        <v>494000</v>
      </c>
      <c r="Z387" s="2">
        <v>0</v>
      </c>
      <c r="AA387" s="2">
        <v>494000</v>
      </c>
    </row>
    <row r="388" spans="1:27" x14ac:dyDescent="0.3">
      <c r="A388" s="4" t="s">
        <v>1475</v>
      </c>
      <c r="B388" s="2" t="str">
        <f>"08405009400"</f>
        <v>08405009400</v>
      </c>
      <c r="C388" s="2" t="s">
        <v>1521</v>
      </c>
      <c r="D388" t="s">
        <v>29</v>
      </c>
      <c r="E388" s="2" t="s">
        <v>30</v>
      </c>
      <c r="F388" s="2">
        <v>37206</v>
      </c>
      <c r="G388" s="2" t="s">
        <v>64</v>
      </c>
      <c r="H388" t="s">
        <v>171</v>
      </c>
      <c r="I388" s="6">
        <v>40470</v>
      </c>
      <c r="J388" s="2" t="s">
        <v>1522</v>
      </c>
      <c r="K388" s="2">
        <v>0</v>
      </c>
      <c r="L388" t="s">
        <v>35</v>
      </c>
      <c r="M388" t="s">
        <v>29</v>
      </c>
      <c r="N388" t="s">
        <v>30</v>
      </c>
      <c r="O388">
        <v>37219</v>
      </c>
      <c r="P388" t="s">
        <v>1523</v>
      </c>
      <c r="Q388" s="2">
        <v>9.6199999999999992</v>
      </c>
      <c r="R388" s="2">
        <v>0</v>
      </c>
      <c r="S388" s="2">
        <v>0</v>
      </c>
      <c r="T388" t="s">
        <v>1524</v>
      </c>
      <c r="U388" s="6">
        <v>38497</v>
      </c>
      <c r="V388" s="2">
        <v>47037011600</v>
      </c>
      <c r="W388" s="2" t="s">
        <v>68</v>
      </c>
      <c r="X388" s="1">
        <v>45658</v>
      </c>
      <c r="Y388" s="2">
        <v>1010100</v>
      </c>
      <c r="Z388" s="2">
        <v>0</v>
      </c>
      <c r="AA388" s="2">
        <v>1010100</v>
      </c>
    </row>
    <row r="389" spans="1:27" x14ac:dyDescent="0.3">
      <c r="A389" s="4" t="s">
        <v>1475</v>
      </c>
      <c r="B389" s="2" t="str">
        <f>"08302017901"</f>
        <v>08302017901</v>
      </c>
      <c r="C389" s="2" t="s">
        <v>1525</v>
      </c>
      <c r="D389" t="s">
        <v>29</v>
      </c>
      <c r="E389" s="2" t="s">
        <v>30</v>
      </c>
      <c r="F389" s="2">
        <v>37206</v>
      </c>
      <c r="G389" s="2" t="s">
        <v>152</v>
      </c>
      <c r="H389" t="s">
        <v>176</v>
      </c>
      <c r="I389" s="6">
        <v>17128</v>
      </c>
      <c r="J389" s="2" t="s">
        <v>1526</v>
      </c>
      <c r="K389" s="2" t="s">
        <v>34</v>
      </c>
      <c r="L389" t="s">
        <v>178</v>
      </c>
      <c r="M389" t="s">
        <v>29</v>
      </c>
      <c r="N389" t="s">
        <v>30</v>
      </c>
      <c r="O389">
        <v>37246</v>
      </c>
      <c r="P389" t="s">
        <v>1527</v>
      </c>
      <c r="Q389" s="2">
        <v>0.5</v>
      </c>
      <c r="R389" s="2">
        <v>148</v>
      </c>
      <c r="S389" s="2">
        <v>325</v>
      </c>
      <c r="T389" t="s">
        <v>1526</v>
      </c>
      <c r="U389" s="6">
        <v>17128</v>
      </c>
      <c r="V389" s="2">
        <v>47037011400</v>
      </c>
      <c r="W389" s="2" t="s">
        <v>68</v>
      </c>
      <c r="X389" s="1">
        <v>45658</v>
      </c>
      <c r="Y389" s="2">
        <v>9400</v>
      </c>
      <c r="Z389" s="2">
        <v>0</v>
      </c>
      <c r="AA389" s="2">
        <v>9400</v>
      </c>
    </row>
    <row r="390" spans="1:27" x14ac:dyDescent="0.3">
      <c r="A390" s="4" t="s">
        <v>1475</v>
      </c>
      <c r="B390" s="2" t="str">
        <f>"09308008000"</f>
        <v>09308008000</v>
      </c>
      <c r="C390" s="2" t="s">
        <v>1528</v>
      </c>
      <c r="D390" t="s">
        <v>29</v>
      </c>
      <c r="E390" s="2" t="s">
        <v>30</v>
      </c>
      <c r="F390" s="2">
        <v>37213</v>
      </c>
      <c r="G390" s="2" t="s">
        <v>152</v>
      </c>
      <c r="H390" t="s">
        <v>176</v>
      </c>
      <c r="I390" s="6">
        <v>20689</v>
      </c>
      <c r="J390" s="2" t="s">
        <v>1529</v>
      </c>
      <c r="K390" s="2" t="s">
        <v>34</v>
      </c>
      <c r="L390" t="s">
        <v>178</v>
      </c>
      <c r="M390" t="s">
        <v>29</v>
      </c>
      <c r="N390" t="s">
        <v>30</v>
      </c>
      <c r="O390">
        <v>37246</v>
      </c>
      <c r="P390" t="s">
        <v>1530</v>
      </c>
      <c r="Q390" s="2">
        <v>0.17</v>
      </c>
      <c r="R390" s="2">
        <v>65</v>
      </c>
      <c r="S390" s="2">
        <v>114</v>
      </c>
      <c r="T390" t="s">
        <v>1529</v>
      </c>
      <c r="U390" s="6">
        <v>20689</v>
      </c>
      <c r="V390" s="2">
        <v>47037019200</v>
      </c>
      <c r="W390" s="2" t="s">
        <v>68</v>
      </c>
      <c r="X390" s="1">
        <v>45658</v>
      </c>
      <c r="Y390" s="2">
        <v>481700</v>
      </c>
      <c r="Z390" s="2">
        <v>0</v>
      </c>
      <c r="AA390" s="2">
        <v>481700</v>
      </c>
    </row>
    <row r="391" spans="1:27" x14ac:dyDescent="0.3">
      <c r="A391" s="4" t="s">
        <v>1475</v>
      </c>
      <c r="B391" s="2" t="str">
        <f>"08401002000"</f>
        <v>08401002000</v>
      </c>
      <c r="C391" s="2" t="s">
        <v>1531</v>
      </c>
      <c r="D391" t="s">
        <v>29</v>
      </c>
      <c r="E391" s="2" t="s">
        <v>30</v>
      </c>
      <c r="F391" s="2">
        <v>37206</v>
      </c>
      <c r="G391" s="2" t="s">
        <v>152</v>
      </c>
      <c r="H391" t="s">
        <v>176</v>
      </c>
      <c r="I391" s="6">
        <v>18993</v>
      </c>
      <c r="J391" s="2" t="s">
        <v>1532</v>
      </c>
      <c r="K391" s="2" t="s">
        <v>34</v>
      </c>
      <c r="L391" t="s">
        <v>178</v>
      </c>
      <c r="M391" t="s">
        <v>29</v>
      </c>
      <c r="N391" t="s">
        <v>30</v>
      </c>
      <c r="O391">
        <v>37246</v>
      </c>
      <c r="P391" t="s">
        <v>1533</v>
      </c>
      <c r="Q391" s="2">
        <v>0.23</v>
      </c>
      <c r="R391" s="2">
        <v>40</v>
      </c>
      <c r="S391" s="2">
        <v>180</v>
      </c>
      <c r="T391" t="s">
        <v>1534</v>
      </c>
      <c r="U391" s="6">
        <v>27607</v>
      </c>
      <c r="V391" s="2">
        <v>47037011600</v>
      </c>
      <c r="W391" s="2" t="s">
        <v>68</v>
      </c>
      <c r="X391" s="1">
        <v>45658</v>
      </c>
      <c r="Y391" s="2">
        <v>285000</v>
      </c>
      <c r="Z391" s="2">
        <v>0</v>
      </c>
      <c r="AA391" s="2">
        <v>285000</v>
      </c>
    </row>
    <row r="392" spans="1:27" x14ac:dyDescent="0.3">
      <c r="A392" s="4" t="s">
        <v>1475</v>
      </c>
      <c r="B392" s="2" t="str">
        <f>"08401015800"</f>
        <v>08401015800</v>
      </c>
      <c r="C392" s="2" t="s">
        <v>1535</v>
      </c>
      <c r="D392" t="s">
        <v>29</v>
      </c>
      <c r="E392" s="2" t="s">
        <v>30</v>
      </c>
      <c r="F392" s="2">
        <v>37206</v>
      </c>
      <c r="G392" s="2" t="s">
        <v>152</v>
      </c>
      <c r="H392" t="s">
        <v>1536</v>
      </c>
      <c r="I392" s="6">
        <v>26787</v>
      </c>
      <c r="J392" s="2" t="s">
        <v>1537</v>
      </c>
      <c r="K392" s="2" t="s">
        <v>34</v>
      </c>
      <c r="L392" t="s">
        <v>178</v>
      </c>
      <c r="M392" t="s">
        <v>29</v>
      </c>
      <c r="N392" t="s">
        <v>30</v>
      </c>
      <c r="O392">
        <v>37246</v>
      </c>
      <c r="P392" t="s">
        <v>1538</v>
      </c>
      <c r="Q392" s="2">
        <v>2.2799999999999998</v>
      </c>
      <c r="R392" s="2">
        <v>566</v>
      </c>
      <c r="S392" s="2">
        <v>0</v>
      </c>
      <c r="T392" t="s">
        <v>1539</v>
      </c>
      <c r="U392" s="6">
        <v>39071</v>
      </c>
      <c r="V392" s="2">
        <v>47037011600</v>
      </c>
      <c r="W392" s="2" t="s">
        <v>68</v>
      </c>
      <c r="X392" s="1">
        <v>45658</v>
      </c>
      <c r="Y392" s="2">
        <v>556100</v>
      </c>
      <c r="Z392" s="2">
        <v>0</v>
      </c>
      <c r="AA392" s="2">
        <v>556100</v>
      </c>
    </row>
    <row r="393" spans="1:27" x14ac:dyDescent="0.3">
      <c r="A393" s="4" t="s">
        <v>1475</v>
      </c>
      <c r="B393" s="2" t="str">
        <f>"08314036400"</f>
        <v>08314036400</v>
      </c>
      <c r="C393" s="2" t="s">
        <v>1540</v>
      </c>
      <c r="D393" t="s">
        <v>29</v>
      </c>
      <c r="E393" s="2" t="s">
        <v>30</v>
      </c>
      <c r="F393" s="2">
        <v>37206</v>
      </c>
      <c r="G393" s="2" t="s">
        <v>200</v>
      </c>
      <c r="H393" t="s">
        <v>1541</v>
      </c>
      <c r="I393" s="6">
        <v>8017</v>
      </c>
      <c r="J393" s="2" t="s">
        <v>1542</v>
      </c>
      <c r="K393" s="2" t="s">
        <v>34</v>
      </c>
      <c r="L393" t="s">
        <v>35</v>
      </c>
      <c r="M393" t="s">
        <v>29</v>
      </c>
      <c r="N393" t="s">
        <v>30</v>
      </c>
      <c r="O393">
        <v>37219</v>
      </c>
      <c r="P393" t="s">
        <v>1543</v>
      </c>
      <c r="Q393" s="2">
        <v>0.18</v>
      </c>
      <c r="R393" s="2">
        <v>50</v>
      </c>
      <c r="S393" s="2">
        <v>160</v>
      </c>
      <c r="T393" t="s">
        <v>1542</v>
      </c>
      <c r="U393" s="6">
        <v>8017</v>
      </c>
      <c r="V393" s="2">
        <v>47037012200</v>
      </c>
      <c r="W393" s="2" t="s">
        <v>68</v>
      </c>
      <c r="X393" s="1">
        <v>45658</v>
      </c>
      <c r="Y393" s="2">
        <v>399000</v>
      </c>
      <c r="Z393" s="2">
        <v>0</v>
      </c>
      <c r="AA393" s="2">
        <v>399000</v>
      </c>
    </row>
    <row r="394" spans="1:27" x14ac:dyDescent="0.3">
      <c r="A394" s="4" t="s">
        <v>1475</v>
      </c>
      <c r="B394" s="2" t="str">
        <f>"08216009400"</f>
        <v>08216009400</v>
      </c>
      <c r="C394" s="2" t="s">
        <v>1544</v>
      </c>
      <c r="D394" t="s">
        <v>29</v>
      </c>
      <c r="E394" s="2" t="s">
        <v>30</v>
      </c>
      <c r="F394" s="2">
        <v>37206</v>
      </c>
      <c r="G394" s="2" t="s">
        <v>200</v>
      </c>
      <c r="H394" t="s">
        <v>1545</v>
      </c>
      <c r="I394" s="6">
        <v>23121</v>
      </c>
      <c r="J394" s="2" t="s">
        <v>1546</v>
      </c>
      <c r="K394" s="2" t="s">
        <v>34</v>
      </c>
      <c r="L394" t="s">
        <v>35</v>
      </c>
      <c r="M394" t="s">
        <v>29</v>
      </c>
      <c r="N394" t="s">
        <v>30</v>
      </c>
      <c r="O394">
        <v>37219</v>
      </c>
      <c r="P394" t="s">
        <v>1547</v>
      </c>
      <c r="Q394" s="2">
        <v>10.26</v>
      </c>
      <c r="R394" s="2">
        <v>0</v>
      </c>
      <c r="S394" s="2">
        <v>0</v>
      </c>
      <c r="T394" t="s">
        <v>1548</v>
      </c>
      <c r="U394" s="6">
        <v>23121</v>
      </c>
      <c r="V394" s="2">
        <v>47037019200</v>
      </c>
      <c r="W394" s="2" t="s">
        <v>68</v>
      </c>
      <c r="X394" s="1">
        <v>45658</v>
      </c>
      <c r="Y394" s="2">
        <v>2975400</v>
      </c>
      <c r="Z394" s="2">
        <v>0</v>
      </c>
      <c r="AA394" s="2">
        <v>2975400</v>
      </c>
    </row>
    <row r="395" spans="1:27" x14ac:dyDescent="0.3">
      <c r="A395" s="4" t="s">
        <v>1475</v>
      </c>
      <c r="B395" s="2" t="str">
        <f>"07214020500"</f>
        <v>07214020500</v>
      </c>
      <c r="C395" s="2" t="s">
        <v>1549</v>
      </c>
      <c r="D395" t="s">
        <v>29</v>
      </c>
      <c r="E395" s="2" t="s">
        <v>30</v>
      </c>
      <c r="F395" s="2">
        <v>37206</v>
      </c>
      <c r="G395" s="2" t="s">
        <v>200</v>
      </c>
      <c r="H395" t="s">
        <v>1550</v>
      </c>
      <c r="I395" s="6">
        <v>6888</v>
      </c>
      <c r="J395" s="2" t="s">
        <v>1551</v>
      </c>
      <c r="K395" s="2" t="s">
        <v>34</v>
      </c>
      <c r="L395" t="s">
        <v>35</v>
      </c>
      <c r="M395" t="s">
        <v>29</v>
      </c>
      <c r="N395" t="s">
        <v>30</v>
      </c>
      <c r="O395">
        <v>37219</v>
      </c>
      <c r="P395" t="s">
        <v>1552</v>
      </c>
      <c r="Q395" s="2">
        <v>2.39</v>
      </c>
      <c r="R395" s="2">
        <v>364</v>
      </c>
      <c r="S395" s="2">
        <v>185</v>
      </c>
      <c r="T395" t="s">
        <v>278</v>
      </c>
      <c r="U395" s="6">
        <v>36574</v>
      </c>
      <c r="V395" s="2">
        <v>47037011700</v>
      </c>
      <c r="W395" s="2" t="s">
        <v>68</v>
      </c>
      <c r="X395" s="1">
        <v>45658</v>
      </c>
      <c r="Y395" s="2">
        <v>1087500</v>
      </c>
      <c r="Z395" s="2">
        <v>0</v>
      </c>
      <c r="AA395" s="2">
        <v>1087500</v>
      </c>
    </row>
    <row r="396" spans="1:27" x14ac:dyDescent="0.3">
      <c r="A396" s="4" t="s">
        <v>1475</v>
      </c>
      <c r="B396" s="2" t="str">
        <f>"09304014500"</f>
        <v>09304014500</v>
      </c>
      <c r="C396" s="2" t="s">
        <v>1553</v>
      </c>
      <c r="D396" t="s">
        <v>29</v>
      </c>
      <c r="E396" s="2" t="s">
        <v>30</v>
      </c>
      <c r="F396" s="2">
        <v>37206</v>
      </c>
      <c r="G396" s="2" t="s">
        <v>200</v>
      </c>
      <c r="H396" t="s">
        <v>1554</v>
      </c>
      <c r="I396" s="6">
        <v>22655</v>
      </c>
      <c r="J396" s="2" t="s">
        <v>1555</v>
      </c>
      <c r="K396" s="2" t="s">
        <v>34</v>
      </c>
      <c r="L396" t="s">
        <v>85</v>
      </c>
      <c r="M396" t="s">
        <v>29</v>
      </c>
      <c r="N396" t="s">
        <v>30</v>
      </c>
      <c r="O396">
        <v>37219</v>
      </c>
      <c r="P396" t="s">
        <v>1556</v>
      </c>
      <c r="Q396" s="2">
        <v>2.81</v>
      </c>
      <c r="R396" s="2">
        <v>217</v>
      </c>
      <c r="S396" s="2">
        <v>208</v>
      </c>
      <c r="T396" t="s">
        <v>1557</v>
      </c>
      <c r="U396" s="6">
        <v>43860</v>
      </c>
      <c r="V396" s="2">
        <v>47037019200</v>
      </c>
      <c r="W396" s="2" t="s">
        <v>837</v>
      </c>
      <c r="X396" s="1">
        <v>45658</v>
      </c>
      <c r="Y396" s="2">
        <v>702500</v>
      </c>
      <c r="Z396" s="2">
        <v>0</v>
      </c>
      <c r="AA396" s="2">
        <v>702500</v>
      </c>
    </row>
    <row r="397" spans="1:27" x14ac:dyDescent="0.3">
      <c r="A397" s="4" t="s">
        <v>1475</v>
      </c>
      <c r="B397" s="2" t="str">
        <f>"08310032100"</f>
        <v>08310032100</v>
      </c>
      <c r="C397" s="2" t="s">
        <v>1558</v>
      </c>
      <c r="D397" t="s">
        <v>29</v>
      </c>
      <c r="E397" s="2" t="s">
        <v>30</v>
      </c>
      <c r="F397" s="2">
        <v>37206</v>
      </c>
      <c r="G397" s="2" t="s">
        <v>64</v>
      </c>
      <c r="H397" t="s">
        <v>206</v>
      </c>
      <c r="I397" s="6">
        <v>40843</v>
      </c>
      <c r="J397" s="2" t="s">
        <v>1559</v>
      </c>
      <c r="K397" s="2">
        <v>0</v>
      </c>
      <c r="L397" t="s">
        <v>1560</v>
      </c>
      <c r="M397" t="s">
        <v>29</v>
      </c>
      <c r="N397" t="s">
        <v>30</v>
      </c>
      <c r="O397">
        <v>37219</v>
      </c>
      <c r="P397" t="s">
        <v>1561</v>
      </c>
      <c r="Q397" s="2">
        <v>2.29</v>
      </c>
      <c r="R397" s="2">
        <v>200</v>
      </c>
      <c r="S397" s="2">
        <v>352</v>
      </c>
      <c r="T397" t="s">
        <v>1562</v>
      </c>
      <c r="U397" s="6">
        <v>26651</v>
      </c>
      <c r="V397" s="2">
        <v>47037012100</v>
      </c>
      <c r="W397" s="2" t="s">
        <v>68</v>
      </c>
      <c r="X397" s="1">
        <v>45658</v>
      </c>
      <c r="Y397" s="2">
        <v>906500</v>
      </c>
      <c r="Z397" s="2">
        <v>0</v>
      </c>
      <c r="AA397" s="2">
        <v>906500</v>
      </c>
    </row>
    <row r="398" spans="1:27" x14ac:dyDescent="0.3">
      <c r="A398" s="4" t="s">
        <v>1475</v>
      </c>
      <c r="B398" s="2" t="str">
        <f>"09402022600"</f>
        <v>09402022600</v>
      </c>
      <c r="C398" s="2" t="s">
        <v>1563</v>
      </c>
      <c r="D398" t="s">
        <v>29</v>
      </c>
      <c r="E398" s="2" t="s">
        <v>30</v>
      </c>
      <c r="F398" s="2">
        <v>37206</v>
      </c>
      <c r="G398" s="2" t="s">
        <v>200</v>
      </c>
      <c r="H398" t="s">
        <v>1564</v>
      </c>
      <c r="I398" s="6">
        <v>10044</v>
      </c>
      <c r="J398" s="2" t="s">
        <v>1565</v>
      </c>
      <c r="K398" s="2" t="s">
        <v>34</v>
      </c>
      <c r="L398" t="s">
        <v>35</v>
      </c>
      <c r="M398" t="s">
        <v>29</v>
      </c>
      <c r="N398" t="s">
        <v>30</v>
      </c>
      <c r="O398">
        <v>37219</v>
      </c>
      <c r="P398" t="s">
        <v>1566</v>
      </c>
      <c r="Q398" s="2">
        <v>1.1200000000000001</v>
      </c>
      <c r="R398" s="2">
        <v>150</v>
      </c>
      <c r="S398" s="2">
        <v>315</v>
      </c>
      <c r="T398" t="s">
        <v>1565</v>
      </c>
      <c r="U398" s="6">
        <v>10044</v>
      </c>
      <c r="V398" s="2">
        <v>47037012200</v>
      </c>
      <c r="W398" s="2" t="s">
        <v>68</v>
      </c>
      <c r="X398" s="1">
        <v>45658</v>
      </c>
      <c r="Y398" s="2">
        <v>519800</v>
      </c>
      <c r="Z398" s="2">
        <v>0</v>
      </c>
      <c r="AA398" s="2">
        <v>519800</v>
      </c>
    </row>
    <row r="399" spans="1:27" x14ac:dyDescent="0.3">
      <c r="A399" s="4" t="s">
        <v>1475</v>
      </c>
      <c r="B399" s="2" t="str">
        <f>"09402020700"</f>
        <v>09402020700</v>
      </c>
      <c r="C399" s="2" t="s">
        <v>1567</v>
      </c>
      <c r="D399" t="s">
        <v>29</v>
      </c>
      <c r="E399" s="2" t="s">
        <v>30</v>
      </c>
      <c r="F399" s="2">
        <v>37206</v>
      </c>
      <c r="G399" s="2" t="s">
        <v>200</v>
      </c>
      <c r="H399" t="s">
        <v>1564</v>
      </c>
      <c r="I399" s="6">
        <v>13949</v>
      </c>
      <c r="J399" s="2" t="s">
        <v>1568</v>
      </c>
      <c r="K399" s="2" t="s">
        <v>34</v>
      </c>
      <c r="L399" t="s">
        <v>35</v>
      </c>
      <c r="M399" t="s">
        <v>29</v>
      </c>
      <c r="N399" t="s">
        <v>30</v>
      </c>
      <c r="O399">
        <v>37219</v>
      </c>
      <c r="P399" t="s">
        <v>1569</v>
      </c>
      <c r="Q399" s="2">
        <v>0.17</v>
      </c>
      <c r="R399" s="2">
        <v>50</v>
      </c>
      <c r="S399" s="2">
        <v>150</v>
      </c>
      <c r="T399" t="s">
        <v>1568</v>
      </c>
      <c r="U399" s="6">
        <v>13949</v>
      </c>
      <c r="V399" s="2">
        <v>47037012200</v>
      </c>
      <c r="W399" s="2" t="s">
        <v>68</v>
      </c>
      <c r="X399" s="1">
        <v>45658</v>
      </c>
      <c r="Y399" s="2">
        <v>380000</v>
      </c>
      <c r="Z399" s="2">
        <v>0</v>
      </c>
      <c r="AA399" s="2">
        <v>380000</v>
      </c>
    </row>
    <row r="400" spans="1:27" x14ac:dyDescent="0.3">
      <c r="A400" s="4" t="s">
        <v>1475</v>
      </c>
      <c r="B400" s="2" t="str">
        <f>"09402022500"</f>
        <v>09402022500</v>
      </c>
      <c r="C400" s="2" t="s">
        <v>1570</v>
      </c>
      <c r="D400" t="s">
        <v>29</v>
      </c>
      <c r="E400" s="2" t="s">
        <v>30</v>
      </c>
      <c r="F400" s="2">
        <v>37206</v>
      </c>
      <c r="G400" s="2" t="s">
        <v>200</v>
      </c>
      <c r="H400" t="s">
        <v>1564</v>
      </c>
      <c r="I400" s="6">
        <v>9863</v>
      </c>
      <c r="J400" s="2" t="s">
        <v>1571</v>
      </c>
      <c r="K400" s="2" t="s">
        <v>34</v>
      </c>
      <c r="L400" t="s">
        <v>35</v>
      </c>
      <c r="M400" t="s">
        <v>29</v>
      </c>
      <c r="N400" t="s">
        <v>30</v>
      </c>
      <c r="O400">
        <v>37219</v>
      </c>
      <c r="P400" t="s">
        <v>1572</v>
      </c>
      <c r="Q400" s="2">
        <v>0.56999999999999995</v>
      </c>
      <c r="R400" s="2">
        <v>150</v>
      </c>
      <c r="S400" s="2">
        <v>160</v>
      </c>
      <c r="T400" t="s">
        <v>1565</v>
      </c>
      <c r="U400" s="6">
        <v>10075</v>
      </c>
      <c r="V400" s="2">
        <v>47037012200</v>
      </c>
      <c r="W400" s="2" t="s">
        <v>68</v>
      </c>
      <c r="X400" s="1">
        <v>45658</v>
      </c>
      <c r="Y400" s="2">
        <v>435500</v>
      </c>
      <c r="Z400" s="2">
        <v>0</v>
      </c>
      <c r="AA400" s="2">
        <v>435500</v>
      </c>
    </row>
    <row r="401" spans="1:27" x14ac:dyDescent="0.3">
      <c r="A401" s="4" t="s">
        <v>1475</v>
      </c>
      <c r="B401" s="2" t="str">
        <f>"09402022900"</f>
        <v>09402022900</v>
      </c>
      <c r="C401" s="2" t="s">
        <v>1573</v>
      </c>
      <c r="D401" t="s">
        <v>29</v>
      </c>
      <c r="E401" s="2" t="s">
        <v>30</v>
      </c>
      <c r="F401" s="2">
        <v>37206</v>
      </c>
      <c r="G401" s="2" t="s">
        <v>200</v>
      </c>
      <c r="H401" t="s">
        <v>1564</v>
      </c>
      <c r="I401" s="6">
        <v>27395</v>
      </c>
      <c r="J401" s="2" t="s">
        <v>1574</v>
      </c>
      <c r="K401" s="2" t="s">
        <v>34</v>
      </c>
      <c r="L401" t="s">
        <v>35</v>
      </c>
      <c r="M401" t="s">
        <v>29</v>
      </c>
      <c r="N401" t="s">
        <v>30</v>
      </c>
      <c r="O401">
        <v>37219</v>
      </c>
      <c r="P401" t="s">
        <v>1575</v>
      </c>
      <c r="Q401" s="2">
        <v>336.43</v>
      </c>
      <c r="R401" s="2">
        <v>0</v>
      </c>
      <c r="S401" s="2">
        <v>0</v>
      </c>
      <c r="T401" t="s">
        <v>278</v>
      </c>
      <c r="U401" s="6">
        <v>36580</v>
      </c>
      <c r="V401" s="2">
        <v>47037012200</v>
      </c>
      <c r="W401" s="2" t="s">
        <v>68</v>
      </c>
      <c r="X401" s="1">
        <v>45658</v>
      </c>
      <c r="Y401" s="2">
        <v>23550100</v>
      </c>
      <c r="Z401" s="2">
        <v>0</v>
      </c>
      <c r="AA401" s="2">
        <v>23550100</v>
      </c>
    </row>
    <row r="402" spans="1:27" x14ac:dyDescent="0.3">
      <c r="A402" s="4" t="s">
        <v>1475</v>
      </c>
      <c r="B402" s="2" t="str">
        <f>"09304007600"</f>
        <v>09304007600</v>
      </c>
      <c r="C402" s="2" t="s">
        <v>1576</v>
      </c>
      <c r="D402" t="s">
        <v>29</v>
      </c>
      <c r="E402" s="2" t="s">
        <v>30</v>
      </c>
      <c r="F402" s="2">
        <v>37206</v>
      </c>
      <c r="G402" s="2" t="s">
        <v>152</v>
      </c>
      <c r="H402" t="s">
        <v>1332</v>
      </c>
      <c r="I402" s="6">
        <v>27395</v>
      </c>
      <c r="J402" s="2" t="s">
        <v>1577</v>
      </c>
      <c r="K402" s="2">
        <v>0</v>
      </c>
      <c r="L402" t="s">
        <v>35</v>
      </c>
      <c r="M402" t="s">
        <v>29</v>
      </c>
      <c r="N402" t="s">
        <v>30</v>
      </c>
      <c r="O402">
        <v>37219</v>
      </c>
      <c r="P402" t="s">
        <v>1578</v>
      </c>
      <c r="Q402" s="2">
        <v>8.68</v>
      </c>
      <c r="R402" s="2">
        <v>0</v>
      </c>
      <c r="S402" s="2">
        <v>0</v>
      </c>
      <c r="T402" t="s">
        <v>278</v>
      </c>
      <c r="U402" s="6">
        <v>32387</v>
      </c>
      <c r="V402" s="2">
        <v>47037019300</v>
      </c>
      <c r="W402" s="2" t="s">
        <v>68</v>
      </c>
      <c r="X402" s="1">
        <v>45658</v>
      </c>
      <c r="Y402" s="2">
        <v>24576600</v>
      </c>
      <c r="Z402" s="2">
        <v>0</v>
      </c>
      <c r="AA402" s="2">
        <v>24576600</v>
      </c>
    </row>
    <row r="403" spans="1:27" x14ac:dyDescent="0.3">
      <c r="A403" s="4" t="s">
        <v>1475</v>
      </c>
      <c r="B403" s="2" t="str">
        <f>"08302031900"</f>
        <v>08302031900</v>
      </c>
      <c r="C403" s="2" t="s">
        <v>1579</v>
      </c>
      <c r="D403" t="s">
        <v>29</v>
      </c>
      <c r="E403" s="2" t="s">
        <v>30</v>
      </c>
      <c r="F403" s="2">
        <v>37206</v>
      </c>
      <c r="G403" s="2" t="s">
        <v>253</v>
      </c>
      <c r="H403" t="s">
        <v>1580</v>
      </c>
      <c r="I403" s="6">
        <v>10691</v>
      </c>
      <c r="J403" s="2" t="s">
        <v>1581</v>
      </c>
      <c r="K403" s="2" t="s">
        <v>34</v>
      </c>
      <c r="L403" t="s">
        <v>35</v>
      </c>
      <c r="M403" t="s">
        <v>29</v>
      </c>
      <c r="N403" t="s">
        <v>30</v>
      </c>
      <c r="O403">
        <v>37219</v>
      </c>
      <c r="P403" t="s">
        <v>1582</v>
      </c>
      <c r="Q403" s="2">
        <v>8.58</v>
      </c>
      <c r="R403" s="2">
        <v>600</v>
      </c>
      <c r="S403" s="2">
        <v>595</v>
      </c>
      <c r="T403" t="s">
        <v>1581</v>
      </c>
      <c r="U403" s="6">
        <v>10691</v>
      </c>
      <c r="V403" s="2">
        <v>47037011700</v>
      </c>
      <c r="W403" s="2" t="s">
        <v>68</v>
      </c>
      <c r="X403" s="1">
        <v>45658</v>
      </c>
      <c r="Y403" s="2">
        <v>1887600</v>
      </c>
      <c r="Z403" s="2">
        <v>0</v>
      </c>
      <c r="AA403" s="2">
        <v>1887600</v>
      </c>
    </row>
    <row r="404" spans="1:27" x14ac:dyDescent="0.3">
      <c r="A404" s="4" t="s">
        <v>1475</v>
      </c>
      <c r="B404" s="2" t="str">
        <f>"08302032000"</f>
        <v>08302032000</v>
      </c>
      <c r="C404" s="2" t="s">
        <v>1583</v>
      </c>
      <c r="D404" t="s">
        <v>29</v>
      </c>
      <c r="E404" s="2" t="s">
        <v>30</v>
      </c>
      <c r="F404" s="2">
        <v>37206</v>
      </c>
      <c r="G404" s="2" t="s">
        <v>64</v>
      </c>
      <c r="H404" t="s">
        <v>1584</v>
      </c>
      <c r="I404" s="6">
        <v>36461</v>
      </c>
      <c r="J404" s="2" t="s">
        <v>1585</v>
      </c>
      <c r="K404" s="2" t="s">
        <v>34</v>
      </c>
      <c r="L404" t="s">
        <v>35</v>
      </c>
      <c r="M404" t="s">
        <v>29</v>
      </c>
      <c r="N404" t="s">
        <v>30</v>
      </c>
      <c r="O404">
        <v>37219</v>
      </c>
      <c r="P404" t="s">
        <v>1586</v>
      </c>
      <c r="Q404" s="2">
        <v>0.84</v>
      </c>
      <c r="R404" s="2">
        <v>85</v>
      </c>
      <c r="S404" s="2">
        <v>400</v>
      </c>
      <c r="T404" t="s">
        <v>1587</v>
      </c>
      <c r="U404" s="6">
        <v>26267</v>
      </c>
      <c r="V404" s="2">
        <v>47037011700</v>
      </c>
      <c r="W404" s="2" t="s">
        <v>68</v>
      </c>
      <c r="X404" s="1">
        <v>45658</v>
      </c>
      <c r="Y404" s="2">
        <v>525000</v>
      </c>
      <c r="Z404" s="2">
        <v>0</v>
      </c>
      <c r="AA404" s="2">
        <v>525000</v>
      </c>
    </row>
    <row r="405" spans="1:27" x14ac:dyDescent="0.3">
      <c r="A405" s="4" t="s">
        <v>1475</v>
      </c>
      <c r="B405" s="2" t="str">
        <f>"08302030700"</f>
        <v>08302030700</v>
      </c>
      <c r="C405" s="2" t="s">
        <v>1588</v>
      </c>
      <c r="D405" t="s">
        <v>29</v>
      </c>
      <c r="E405" s="2" t="s">
        <v>30</v>
      </c>
      <c r="F405" s="2">
        <v>37206</v>
      </c>
      <c r="G405" s="2" t="s">
        <v>253</v>
      </c>
      <c r="H405" t="s">
        <v>1589</v>
      </c>
      <c r="I405" s="6">
        <v>24114</v>
      </c>
      <c r="J405" s="2" t="s">
        <v>1590</v>
      </c>
      <c r="K405" s="2" t="s">
        <v>34</v>
      </c>
      <c r="L405" t="s">
        <v>35</v>
      </c>
      <c r="M405" t="s">
        <v>29</v>
      </c>
      <c r="N405" t="s">
        <v>30</v>
      </c>
      <c r="O405">
        <v>37219</v>
      </c>
      <c r="P405" t="s">
        <v>1591</v>
      </c>
      <c r="Q405" s="2">
        <v>8.6999999999999993</v>
      </c>
      <c r="R405" s="2">
        <v>0</v>
      </c>
      <c r="S405" s="2">
        <v>0</v>
      </c>
      <c r="T405" t="s">
        <v>1590</v>
      </c>
      <c r="U405" s="6">
        <v>24114</v>
      </c>
      <c r="V405" s="2">
        <v>47037011700</v>
      </c>
      <c r="W405" s="2" t="s">
        <v>68</v>
      </c>
      <c r="X405" s="1">
        <v>45658</v>
      </c>
      <c r="Y405" s="2">
        <v>1914000</v>
      </c>
      <c r="Z405" s="2">
        <v>0</v>
      </c>
      <c r="AA405" s="2">
        <v>1914000</v>
      </c>
    </row>
    <row r="406" spans="1:27" x14ac:dyDescent="0.3">
      <c r="A406" s="4" t="s">
        <v>1475</v>
      </c>
      <c r="B406" s="2" t="str">
        <f>"09401010700"</f>
        <v>09401010700</v>
      </c>
      <c r="C406" s="2" t="s">
        <v>1592</v>
      </c>
      <c r="D406" t="s">
        <v>29</v>
      </c>
      <c r="E406" s="2" t="s">
        <v>30</v>
      </c>
      <c r="F406" s="2">
        <v>37206</v>
      </c>
      <c r="G406" s="2" t="s">
        <v>253</v>
      </c>
      <c r="H406" t="s">
        <v>1593</v>
      </c>
      <c r="I406" s="6">
        <v>27395</v>
      </c>
      <c r="J406" s="2" t="s">
        <v>1594</v>
      </c>
      <c r="K406" s="2" t="s">
        <v>34</v>
      </c>
      <c r="L406" t="s">
        <v>35</v>
      </c>
      <c r="M406" t="s">
        <v>29</v>
      </c>
      <c r="N406" t="s">
        <v>30</v>
      </c>
      <c r="O406">
        <v>37219</v>
      </c>
      <c r="P406" t="s">
        <v>1595</v>
      </c>
      <c r="Q406" s="2">
        <v>3.63</v>
      </c>
      <c r="R406" s="2">
        <v>465</v>
      </c>
      <c r="S406" s="2">
        <v>371</v>
      </c>
      <c r="T406" t="s">
        <v>1596</v>
      </c>
      <c r="U406" s="6">
        <v>19134</v>
      </c>
      <c r="V406" s="2">
        <v>47037019200</v>
      </c>
      <c r="W406" s="2" t="s">
        <v>68</v>
      </c>
      <c r="X406" s="1">
        <v>45658</v>
      </c>
      <c r="Y406" s="2">
        <v>907500</v>
      </c>
      <c r="Z406" s="2">
        <v>0</v>
      </c>
      <c r="AA406" s="2">
        <v>907500</v>
      </c>
    </row>
    <row r="407" spans="1:27" x14ac:dyDescent="0.3">
      <c r="A407" s="4" t="s">
        <v>1475</v>
      </c>
      <c r="B407" s="2" t="str">
        <f>"09401001500"</f>
        <v>09401001500</v>
      </c>
      <c r="C407" s="2" t="s">
        <v>1597</v>
      </c>
      <c r="D407" t="s">
        <v>29</v>
      </c>
      <c r="E407" s="2" t="s">
        <v>30</v>
      </c>
      <c r="F407" s="2">
        <v>37206</v>
      </c>
      <c r="G407" s="2" t="s">
        <v>253</v>
      </c>
      <c r="H407" t="s">
        <v>1598</v>
      </c>
      <c r="I407" s="6">
        <v>26277</v>
      </c>
      <c r="J407" s="2" t="s">
        <v>1599</v>
      </c>
      <c r="K407" s="2" t="s">
        <v>34</v>
      </c>
      <c r="L407" t="s">
        <v>35</v>
      </c>
      <c r="M407" t="s">
        <v>29</v>
      </c>
      <c r="N407" t="s">
        <v>30</v>
      </c>
      <c r="O407">
        <v>37219</v>
      </c>
      <c r="P407" t="s">
        <v>1600</v>
      </c>
      <c r="Q407" s="2">
        <v>0.17</v>
      </c>
      <c r="R407" s="2">
        <v>100</v>
      </c>
      <c r="S407" s="2">
        <v>73</v>
      </c>
      <c r="T407" t="s">
        <v>1599</v>
      </c>
      <c r="U407" s="6">
        <v>26277</v>
      </c>
      <c r="V407" s="2">
        <v>47037019200</v>
      </c>
      <c r="W407" s="2" t="s">
        <v>68</v>
      </c>
      <c r="X407" s="1">
        <v>45658</v>
      </c>
      <c r="Y407" s="2">
        <v>380000</v>
      </c>
      <c r="Z407" s="2">
        <v>0</v>
      </c>
      <c r="AA407" s="2">
        <v>380000</v>
      </c>
    </row>
    <row r="408" spans="1:27" x14ac:dyDescent="0.3">
      <c r="A408" s="4" t="s">
        <v>1475</v>
      </c>
      <c r="B408" s="2" t="str">
        <f>"08310032800"</f>
        <v>08310032800</v>
      </c>
      <c r="C408" s="2" t="s">
        <v>1601</v>
      </c>
      <c r="D408" t="s">
        <v>29</v>
      </c>
      <c r="E408" s="2" t="s">
        <v>30</v>
      </c>
      <c r="F408" s="2">
        <v>37206</v>
      </c>
      <c r="G408" s="2" t="s">
        <v>253</v>
      </c>
      <c r="H408" t="s">
        <v>1602</v>
      </c>
      <c r="I408" s="6">
        <v>14254</v>
      </c>
      <c r="J408" s="2" t="s">
        <v>1603</v>
      </c>
      <c r="K408" s="2" t="s">
        <v>34</v>
      </c>
      <c r="L408" t="s">
        <v>35</v>
      </c>
      <c r="M408" t="s">
        <v>29</v>
      </c>
      <c r="N408" t="s">
        <v>30</v>
      </c>
      <c r="O408">
        <v>37219</v>
      </c>
      <c r="P408" t="s">
        <v>1604</v>
      </c>
      <c r="Q408" s="2">
        <v>3.62</v>
      </c>
      <c r="R408" s="2">
        <v>427</v>
      </c>
      <c r="S408" s="2">
        <v>350</v>
      </c>
      <c r="T408" t="s">
        <v>1603</v>
      </c>
      <c r="U408" s="6">
        <v>14254</v>
      </c>
      <c r="V408" s="2">
        <v>47037012100</v>
      </c>
      <c r="W408" s="2" t="s">
        <v>68</v>
      </c>
      <c r="X408" s="1">
        <v>45658</v>
      </c>
      <c r="Y408" s="2">
        <v>1433000</v>
      </c>
      <c r="Z408" s="2">
        <v>0</v>
      </c>
      <c r="AA408" s="2">
        <v>1433000</v>
      </c>
    </row>
    <row r="409" spans="1:27" x14ac:dyDescent="0.3">
      <c r="A409" s="4" t="s">
        <v>1475</v>
      </c>
      <c r="B409" s="2" t="str">
        <f>"08310032600"</f>
        <v>08310032600</v>
      </c>
      <c r="C409" s="2" t="s">
        <v>1605</v>
      </c>
      <c r="D409" t="s">
        <v>29</v>
      </c>
      <c r="E409" s="2" t="s">
        <v>30</v>
      </c>
      <c r="F409" s="2">
        <v>37206</v>
      </c>
      <c r="G409" s="2" t="s">
        <v>64</v>
      </c>
      <c r="H409" t="s">
        <v>1602</v>
      </c>
      <c r="I409" s="6">
        <v>24405</v>
      </c>
      <c r="J409" s="2" t="s">
        <v>1606</v>
      </c>
      <c r="K409" s="2" t="s">
        <v>34</v>
      </c>
      <c r="L409" t="s">
        <v>35</v>
      </c>
      <c r="M409" t="s">
        <v>29</v>
      </c>
      <c r="N409" t="s">
        <v>30</v>
      </c>
      <c r="O409">
        <v>37219</v>
      </c>
      <c r="P409" t="s">
        <v>1607</v>
      </c>
      <c r="Q409" s="2">
        <v>0.61</v>
      </c>
      <c r="R409" s="2">
        <v>114</v>
      </c>
      <c r="S409" s="2">
        <v>220</v>
      </c>
      <c r="T409" t="s">
        <v>278</v>
      </c>
      <c r="U409" s="6">
        <v>36581</v>
      </c>
      <c r="V409" s="2">
        <v>47037012100</v>
      </c>
      <c r="W409" s="2" t="s">
        <v>68</v>
      </c>
      <c r="X409" s="1">
        <v>45658</v>
      </c>
      <c r="Y409" s="2">
        <v>518700</v>
      </c>
      <c r="Z409" s="2">
        <v>0</v>
      </c>
      <c r="AA409" s="2">
        <v>518700</v>
      </c>
    </row>
    <row r="410" spans="1:27" x14ac:dyDescent="0.3">
      <c r="A410" s="4" t="s">
        <v>1475</v>
      </c>
      <c r="B410" s="2" t="str">
        <f>"08308002700"</f>
        <v>08308002700</v>
      </c>
      <c r="C410" s="2" t="s">
        <v>1608</v>
      </c>
      <c r="D410" t="s">
        <v>29</v>
      </c>
      <c r="E410" s="2" t="s">
        <v>30</v>
      </c>
      <c r="F410" s="2">
        <v>37206</v>
      </c>
      <c r="G410" s="2" t="s">
        <v>253</v>
      </c>
      <c r="H410" t="s">
        <v>1609</v>
      </c>
      <c r="I410" s="6">
        <v>19627</v>
      </c>
      <c r="J410" s="2" t="s">
        <v>1610</v>
      </c>
      <c r="K410" s="2" t="s">
        <v>34</v>
      </c>
      <c r="L410" t="s">
        <v>35</v>
      </c>
      <c r="M410" t="s">
        <v>29</v>
      </c>
      <c r="N410" t="s">
        <v>30</v>
      </c>
      <c r="O410">
        <v>37219</v>
      </c>
      <c r="P410" t="s">
        <v>1611</v>
      </c>
      <c r="Q410" s="2">
        <v>6.63</v>
      </c>
      <c r="R410" s="2">
        <v>0</v>
      </c>
      <c r="S410" s="2">
        <v>0</v>
      </c>
      <c r="T410" t="s">
        <v>1612</v>
      </c>
      <c r="U410" s="6">
        <v>36098</v>
      </c>
      <c r="V410" s="2">
        <v>47037011600</v>
      </c>
      <c r="W410" s="2" t="s">
        <v>68</v>
      </c>
      <c r="X410" s="1">
        <v>45658</v>
      </c>
      <c r="Y410" s="2">
        <v>729300</v>
      </c>
      <c r="Z410" s="2">
        <v>0</v>
      </c>
      <c r="AA410" s="2">
        <v>729300</v>
      </c>
    </row>
    <row r="411" spans="1:27" x14ac:dyDescent="0.3">
      <c r="A411" s="4" t="s">
        <v>1475</v>
      </c>
      <c r="B411" s="2" t="str">
        <f>"08309002700"</f>
        <v>08309002700</v>
      </c>
      <c r="C411" s="2" t="s">
        <v>1613</v>
      </c>
      <c r="D411" t="s">
        <v>29</v>
      </c>
      <c r="E411" s="2" t="s">
        <v>30</v>
      </c>
      <c r="F411" s="2">
        <v>37206</v>
      </c>
      <c r="G411" s="2" t="s">
        <v>253</v>
      </c>
      <c r="H411" t="s">
        <v>1614</v>
      </c>
      <c r="I411" s="6">
        <v>11245</v>
      </c>
      <c r="J411" s="2" t="s">
        <v>1615</v>
      </c>
      <c r="K411" s="2" t="s">
        <v>34</v>
      </c>
      <c r="L411" t="s">
        <v>35</v>
      </c>
      <c r="M411" t="s">
        <v>29</v>
      </c>
      <c r="N411" t="s">
        <v>30</v>
      </c>
      <c r="O411">
        <v>37219</v>
      </c>
      <c r="P411" t="s">
        <v>1616</v>
      </c>
      <c r="Q411" s="2">
        <v>1.27</v>
      </c>
      <c r="R411" s="2">
        <v>350</v>
      </c>
      <c r="S411" s="2">
        <v>160</v>
      </c>
      <c r="T411" t="s">
        <v>1615</v>
      </c>
      <c r="U411" s="6">
        <v>11245</v>
      </c>
      <c r="V411" s="2">
        <v>47037019200</v>
      </c>
      <c r="W411" s="2" t="s">
        <v>68</v>
      </c>
      <c r="X411" s="1">
        <v>45658</v>
      </c>
      <c r="Y411" s="2">
        <v>1508300</v>
      </c>
      <c r="Z411" s="2">
        <v>0</v>
      </c>
      <c r="AA411" s="2">
        <v>1508300</v>
      </c>
    </row>
    <row r="412" spans="1:27" x14ac:dyDescent="0.3">
      <c r="A412" s="4" t="s">
        <v>1475</v>
      </c>
      <c r="B412" s="2" t="str">
        <f>"08303009100"</f>
        <v>08303009100</v>
      </c>
      <c r="C412" s="2" t="s">
        <v>1617</v>
      </c>
      <c r="D412" t="s">
        <v>29</v>
      </c>
      <c r="E412" s="2" t="s">
        <v>30</v>
      </c>
      <c r="F412" s="2">
        <v>37206</v>
      </c>
      <c r="G412" s="2" t="s">
        <v>64</v>
      </c>
      <c r="H412" t="s">
        <v>996</v>
      </c>
      <c r="I412" s="6">
        <v>36501</v>
      </c>
      <c r="J412" s="2" t="s">
        <v>1618</v>
      </c>
      <c r="K412" s="2">
        <v>790</v>
      </c>
      <c r="L412" t="s">
        <v>35</v>
      </c>
      <c r="M412" t="s">
        <v>29</v>
      </c>
      <c r="N412" t="s">
        <v>30</v>
      </c>
      <c r="O412">
        <v>37219</v>
      </c>
      <c r="P412" t="s">
        <v>1619</v>
      </c>
      <c r="Q412" s="2">
        <v>0.37</v>
      </c>
      <c r="R412" s="2">
        <v>78</v>
      </c>
      <c r="S412" s="2">
        <v>200</v>
      </c>
      <c r="T412" t="s">
        <v>1620</v>
      </c>
      <c r="U412" s="6">
        <v>25721</v>
      </c>
      <c r="V412" s="2">
        <v>47037011700</v>
      </c>
      <c r="W412" s="2" t="s">
        <v>68</v>
      </c>
      <c r="X412" s="1">
        <v>45658</v>
      </c>
      <c r="Y412" s="2">
        <v>345000</v>
      </c>
      <c r="Z412" s="2">
        <v>0</v>
      </c>
      <c r="AA412" s="2">
        <v>345000</v>
      </c>
    </row>
    <row r="413" spans="1:27" x14ac:dyDescent="0.3">
      <c r="A413" s="4" t="s">
        <v>1475</v>
      </c>
      <c r="B413" s="2" t="str">
        <f>"08216012900"</f>
        <v>08216012900</v>
      </c>
      <c r="C413" s="2" t="s">
        <v>1621</v>
      </c>
      <c r="D413" t="s">
        <v>29</v>
      </c>
      <c r="E413" s="2" t="s">
        <v>30</v>
      </c>
      <c r="F413" s="2">
        <v>37206</v>
      </c>
      <c r="G413" s="2" t="s">
        <v>253</v>
      </c>
      <c r="H413" t="s">
        <v>1622</v>
      </c>
      <c r="I413" s="6">
        <v>27395</v>
      </c>
      <c r="J413" s="2" t="s">
        <v>1623</v>
      </c>
      <c r="K413" s="2" t="s">
        <v>34</v>
      </c>
      <c r="L413" t="s">
        <v>35</v>
      </c>
      <c r="M413" t="s">
        <v>29</v>
      </c>
      <c r="N413" t="s">
        <v>30</v>
      </c>
      <c r="O413">
        <v>37219</v>
      </c>
      <c r="P413" t="s">
        <v>1624</v>
      </c>
      <c r="Q413" s="2">
        <v>2.5</v>
      </c>
      <c r="R413" s="2">
        <v>38</v>
      </c>
      <c r="S413" s="2">
        <v>390</v>
      </c>
      <c r="T413" t="s">
        <v>1625</v>
      </c>
      <c r="U413" s="2" t="s">
        <v>1626</v>
      </c>
      <c r="V413" s="2">
        <v>47037019300</v>
      </c>
      <c r="W413" s="2" t="s">
        <v>68</v>
      </c>
      <c r="X413" s="1">
        <v>45658</v>
      </c>
      <c r="Y413" s="2">
        <v>2762500</v>
      </c>
      <c r="Z413" s="2">
        <v>0</v>
      </c>
      <c r="AA413" s="2">
        <v>2762500</v>
      </c>
    </row>
    <row r="414" spans="1:27" x14ac:dyDescent="0.3">
      <c r="A414" s="4" t="s">
        <v>1475</v>
      </c>
      <c r="B414" s="2" t="str">
        <f>"08313033300"</f>
        <v>08313033300</v>
      </c>
      <c r="C414" s="2" t="s">
        <v>1627</v>
      </c>
      <c r="D414" t="s">
        <v>29</v>
      </c>
      <c r="E414" s="2" t="s">
        <v>30</v>
      </c>
      <c r="F414" s="2">
        <v>37206</v>
      </c>
      <c r="G414" s="2" t="s">
        <v>64</v>
      </c>
      <c r="H414" t="s">
        <v>280</v>
      </c>
      <c r="I414" s="6">
        <v>43154</v>
      </c>
      <c r="J414" s="2" t="s">
        <v>1628</v>
      </c>
      <c r="K414" s="2" t="s">
        <v>34</v>
      </c>
      <c r="L414" t="s">
        <v>343</v>
      </c>
      <c r="M414" t="s">
        <v>29</v>
      </c>
      <c r="N414" t="s">
        <v>30</v>
      </c>
      <c r="O414">
        <v>37201</v>
      </c>
      <c r="P414" t="s">
        <v>1629</v>
      </c>
      <c r="Q414" s="2">
        <v>0.17</v>
      </c>
      <c r="R414" s="2">
        <v>50</v>
      </c>
      <c r="S414" s="2">
        <v>150</v>
      </c>
      <c r="T414" t="s">
        <v>1630</v>
      </c>
      <c r="U414" s="6">
        <v>26947</v>
      </c>
      <c r="V414" s="2">
        <v>47037012200</v>
      </c>
      <c r="W414" s="2" t="s">
        <v>68</v>
      </c>
      <c r="X414" s="1">
        <v>45658</v>
      </c>
      <c r="Y414" s="2">
        <v>380000</v>
      </c>
      <c r="Z414" s="2">
        <v>0</v>
      </c>
      <c r="AA414" s="2">
        <v>380000</v>
      </c>
    </row>
    <row r="415" spans="1:27" x14ac:dyDescent="0.3">
      <c r="A415" s="4" t="s">
        <v>1631</v>
      </c>
      <c r="B415" s="2" t="str">
        <f>"05209010200"</f>
        <v>05209010200</v>
      </c>
      <c r="C415" s="2" t="s">
        <v>1632</v>
      </c>
      <c r="D415" t="s">
        <v>866</v>
      </c>
      <c r="E415" s="2" t="s">
        <v>30</v>
      </c>
      <c r="F415" s="2">
        <v>37115</v>
      </c>
      <c r="G415" s="2" t="s">
        <v>64</v>
      </c>
      <c r="H415" t="s">
        <v>32</v>
      </c>
      <c r="I415" s="6">
        <v>27410</v>
      </c>
      <c r="J415" s="2" t="s">
        <v>1633</v>
      </c>
      <c r="K415" s="2">
        <v>208</v>
      </c>
      <c r="L415" t="s">
        <v>35</v>
      </c>
      <c r="M415" t="s">
        <v>29</v>
      </c>
      <c r="N415" t="s">
        <v>30</v>
      </c>
      <c r="O415">
        <v>37219</v>
      </c>
      <c r="P415" t="s">
        <v>1634</v>
      </c>
      <c r="Q415" s="2">
        <v>0.01</v>
      </c>
      <c r="R415" s="2">
        <v>20</v>
      </c>
      <c r="S415" s="2">
        <v>20</v>
      </c>
      <c r="T415" t="s">
        <v>1635</v>
      </c>
      <c r="U415" s="6">
        <v>8393</v>
      </c>
      <c r="V415" s="2">
        <v>47037010702</v>
      </c>
      <c r="W415" s="2" t="s">
        <v>837</v>
      </c>
      <c r="X415" s="1">
        <v>45658</v>
      </c>
      <c r="Y415" s="2">
        <v>800</v>
      </c>
      <c r="Z415" s="2">
        <v>0</v>
      </c>
      <c r="AA415" s="2">
        <v>800</v>
      </c>
    </row>
    <row r="416" spans="1:27" x14ac:dyDescent="0.3">
      <c r="A416" s="4" t="s">
        <v>1631</v>
      </c>
      <c r="B416" s="2" t="str">
        <f>"05209011700"</f>
        <v>05209011700</v>
      </c>
      <c r="C416" s="2" t="s">
        <v>1632</v>
      </c>
      <c r="D416" t="s">
        <v>866</v>
      </c>
      <c r="E416" s="2" t="s">
        <v>30</v>
      </c>
      <c r="F416" s="2">
        <v>37115</v>
      </c>
      <c r="G416" s="2" t="s">
        <v>64</v>
      </c>
      <c r="H416" t="s">
        <v>32</v>
      </c>
      <c r="I416" s="6">
        <v>27431</v>
      </c>
      <c r="J416" s="2" t="s">
        <v>1636</v>
      </c>
      <c r="K416" s="2">
        <v>208</v>
      </c>
      <c r="L416" t="s">
        <v>35</v>
      </c>
      <c r="M416" t="s">
        <v>29</v>
      </c>
      <c r="N416" t="s">
        <v>30</v>
      </c>
      <c r="O416">
        <v>37219</v>
      </c>
      <c r="P416" t="s">
        <v>1637</v>
      </c>
      <c r="Q416" s="2">
        <v>0.01</v>
      </c>
      <c r="R416" s="2">
        <v>20</v>
      </c>
      <c r="S416" s="2">
        <v>20</v>
      </c>
      <c r="T416" t="s">
        <v>1638</v>
      </c>
      <c r="U416" s="6">
        <v>17051</v>
      </c>
      <c r="V416" s="2">
        <v>47037010702</v>
      </c>
      <c r="W416" s="2" t="s">
        <v>837</v>
      </c>
      <c r="X416" s="1">
        <v>45658</v>
      </c>
      <c r="Y416" s="2">
        <v>800</v>
      </c>
      <c r="Z416" s="2">
        <v>0</v>
      </c>
      <c r="AA416" s="2">
        <v>800</v>
      </c>
    </row>
    <row r="417" spans="1:27" x14ac:dyDescent="0.3">
      <c r="A417" s="4" t="s">
        <v>1631</v>
      </c>
      <c r="B417" s="2" t="str">
        <f>"07206037500"</f>
        <v>07206037500</v>
      </c>
      <c r="C417" s="2" t="s">
        <v>1639</v>
      </c>
      <c r="D417" t="s">
        <v>29</v>
      </c>
      <c r="E417" s="2" t="s">
        <v>30</v>
      </c>
      <c r="F417" s="2">
        <v>37216</v>
      </c>
      <c r="G417" s="2" t="s">
        <v>64</v>
      </c>
      <c r="H417" t="s">
        <v>32</v>
      </c>
      <c r="I417" s="6">
        <v>42639</v>
      </c>
      <c r="J417" s="2" t="s">
        <v>1640</v>
      </c>
      <c r="K417" s="2">
        <v>494</v>
      </c>
      <c r="L417" t="s">
        <v>35</v>
      </c>
      <c r="M417" t="s">
        <v>29</v>
      </c>
      <c r="N417" t="s">
        <v>30</v>
      </c>
      <c r="O417">
        <v>37219</v>
      </c>
      <c r="P417" t="s">
        <v>1641</v>
      </c>
      <c r="Q417" s="2">
        <v>0.03</v>
      </c>
      <c r="R417" s="2">
        <v>0</v>
      </c>
      <c r="S417" s="2">
        <v>33</v>
      </c>
      <c r="T417" t="s">
        <v>1642</v>
      </c>
      <c r="U417" s="6">
        <v>32017</v>
      </c>
      <c r="V417" s="2">
        <v>47037011200</v>
      </c>
      <c r="W417" s="2" t="s">
        <v>68</v>
      </c>
      <c r="X417" s="1">
        <v>45658</v>
      </c>
      <c r="Y417" s="2">
        <v>2500</v>
      </c>
      <c r="Z417" s="2">
        <v>0</v>
      </c>
      <c r="AA417" s="2">
        <v>2500</v>
      </c>
    </row>
    <row r="418" spans="1:27" x14ac:dyDescent="0.3">
      <c r="A418" s="4" t="s">
        <v>1631</v>
      </c>
      <c r="B418" s="2" t="str">
        <f>"06213001400"</f>
        <v>06213001400</v>
      </c>
      <c r="C418" s="2" t="s">
        <v>1643</v>
      </c>
      <c r="D418" t="s">
        <v>29</v>
      </c>
      <c r="E418" s="2" t="s">
        <v>30</v>
      </c>
      <c r="F418" s="2">
        <v>37216</v>
      </c>
      <c r="G418" s="2" t="s">
        <v>64</v>
      </c>
      <c r="H418" t="s">
        <v>32</v>
      </c>
      <c r="I418" s="6">
        <v>41722</v>
      </c>
      <c r="J418" s="2" t="s">
        <v>1644</v>
      </c>
      <c r="K418" s="2" t="s">
        <v>34</v>
      </c>
      <c r="L418" t="s">
        <v>35</v>
      </c>
      <c r="M418" t="s">
        <v>29</v>
      </c>
      <c r="N418" t="s">
        <v>30</v>
      </c>
      <c r="O418">
        <v>37219</v>
      </c>
      <c r="P418" t="s">
        <v>1645</v>
      </c>
      <c r="Q418" s="2">
        <v>0.04</v>
      </c>
      <c r="R418" s="2">
        <v>31</v>
      </c>
      <c r="S418" s="2">
        <v>91</v>
      </c>
      <c r="T418" t="s">
        <v>1646</v>
      </c>
      <c r="U418" s="6">
        <v>11811</v>
      </c>
      <c r="V418" s="2">
        <v>47037011100</v>
      </c>
      <c r="W418" s="2" t="s">
        <v>68</v>
      </c>
      <c r="X418" s="1">
        <v>45658</v>
      </c>
      <c r="Y418" s="2">
        <v>12200</v>
      </c>
      <c r="Z418" s="2">
        <v>0</v>
      </c>
      <c r="AA418" s="2">
        <v>12200</v>
      </c>
    </row>
    <row r="419" spans="1:27" x14ac:dyDescent="0.3">
      <c r="A419" s="4" t="s">
        <v>1631</v>
      </c>
      <c r="B419" s="2" t="str">
        <f>"07204012000"</f>
        <v>07204012000</v>
      </c>
      <c r="C419" s="2" t="s">
        <v>1647</v>
      </c>
      <c r="D419" t="s">
        <v>29</v>
      </c>
      <c r="E419" s="2" t="s">
        <v>30</v>
      </c>
      <c r="F419" s="2">
        <v>37216</v>
      </c>
      <c r="G419" s="2" t="s">
        <v>64</v>
      </c>
      <c r="H419" t="s">
        <v>99</v>
      </c>
      <c r="I419" s="6">
        <v>37658</v>
      </c>
      <c r="J419" s="2" t="s">
        <v>1648</v>
      </c>
      <c r="K419" s="2">
        <v>349</v>
      </c>
      <c r="L419" t="s">
        <v>35</v>
      </c>
      <c r="M419" t="s">
        <v>29</v>
      </c>
      <c r="N419" t="s">
        <v>30</v>
      </c>
      <c r="O419">
        <v>37219</v>
      </c>
      <c r="P419" t="s">
        <v>1649</v>
      </c>
      <c r="Q419" s="2">
        <v>0.04</v>
      </c>
      <c r="R419" s="2">
        <v>8</v>
      </c>
      <c r="S419" s="2">
        <v>200</v>
      </c>
      <c r="T419" t="s">
        <v>1650</v>
      </c>
      <c r="U419" s="6">
        <v>27663</v>
      </c>
      <c r="V419" s="2">
        <v>47037011200</v>
      </c>
      <c r="W419" s="2" t="s">
        <v>68</v>
      </c>
      <c r="X419" s="1">
        <v>45658</v>
      </c>
      <c r="Y419" s="2">
        <v>62000</v>
      </c>
      <c r="Z419" s="2">
        <v>0</v>
      </c>
      <c r="AA419" s="2">
        <v>62000</v>
      </c>
    </row>
    <row r="420" spans="1:27" x14ac:dyDescent="0.3">
      <c r="A420" s="4" t="s">
        <v>1631</v>
      </c>
      <c r="B420" s="2" t="str">
        <f>"07309025900"</f>
        <v>07309025900</v>
      </c>
      <c r="C420" s="2" t="s">
        <v>1651</v>
      </c>
      <c r="D420" t="s">
        <v>29</v>
      </c>
      <c r="E420" s="2" t="s">
        <v>30</v>
      </c>
      <c r="F420" s="2">
        <v>37216</v>
      </c>
      <c r="G420" s="2" t="s">
        <v>64</v>
      </c>
      <c r="H420" t="s">
        <v>99</v>
      </c>
      <c r="I420" s="6">
        <v>41198</v>
      </c>
      <c r="J420" s="2" t="s">
        <v>1652</v>
      </c>
      <c r="K420" s="2">
        <v>722</v>
      </c>
      <c r="L420" t="s">
        <v>35</v>
      </c>
      <c r="M420" t="s">
        <v>29</v>
      </c>
      <c r="N420" t="s">
        <v>30</v>
      </c>
      <c r="O420">
        <v>37219</v>
      </c>
      <c r="P420" t="s">
        <v>1653</v>
      </c>
      <c r="Q420" s="2">
        <v>0.05</v>
      </c>
      <c r="R420" s="2">
        <v>0</v>
      </c>
      <c r="S420" s="2">
        <v>160</v>
      </c>
      <c r="T420" t="s">
        <v>1654</v>
      </c>
      <c r="U420" s="6">
        <v>30518</v>
      </c>
      <c r="V420" s="2">
        <v>47037011500</v>
      </c>
      <c r="W420" s="2" t="s">
        <v>68</v>
      </c>
      <c r="X420" s="1">
        <v>45658</v>
      </c>
      <c r="Y420" s="2">
        <v>8000</v>
      </c>
      <c r="Z420" s="2">
        <v>0</v>
      </c>
      <c r="AA420" s="2">
        <v>8000</v>
      </c>
    </row>
    <row r="421" spans="1:27" x14ac:dyDescent="0.3">
      <c r="A421" s="4" t="s">
        <v>1631</v>
      </c>
      <c r="B421" s="2" t="str">
        <f>"05115004200"</f>
        <v>05115004200</v>
      </c>
      <c r="C421" s="2" t="s">
        <v>1655</v>
      </c>
      <c r="D421" t="s">
        <v>29</v>
      </c>
      <c r="E421" s="2" t="s">
        <v>30</v>
      </c>
      <c r="F421" s="2">
        <v>37216</v>
      </c>
      <c r="G421" s="2" t="s">
        <v>64</v>
      </c>
      <c r="H421" t="s">
        <v>99</v>
      </c>
      <c r="I421" s="6">
        <v>39652</v>
      </c>
      <c r="J421" s="2" t="s">
        <v>1656</v>
      </c>
      <c r="K421" s="2">
        <v>346</v>
      </c>
      <c r="L421" t="s">
        <v>35</v>
      </c>
      <c r="M421" t="s">
        <v>29</v>
      </c>
      <c r="N421" t="s">
        <v>30</v>
      </c>
      <c r="O421">
        <v>37219</v>
      </c>
      <c r="P421" t="s">
        <v>1657</v>
      </c>
      <c r="Q421" s="2">
        <v>0.05</v>
      </c>
      <c r="R421" s="2">
        <v>117</v>
      </c>
      <c r="S421" s="2">
        <v>22</v>
      </c>
      <c r="T421" t="s">
        <v>1658</v>
      </c>
      <c r="U421" s="6">
        <v>36581</v>
      </c>
      <c r="V421" s="2">
        <v>47037010802</v>
      </c>
      <c r="W421" s="2" t="s">
        <v>68</v>
      </c>
      <c r="X421" s="1">
        <v>45658</v>
      </c>
      <c r="Y421" s="2">
        <v>3800</v>
      </c>
      <c r="Z421" s="2">
        <v>0</v>
      </c>
      <c r="AA421" s="2">
        <v>3800</v>
      </c>
    </row>
    <row r="422" spans="1:27" x14ac:dyDescent="0.3">
      <c r="A422" s="4" t="s">
        <v>1631</v>
      </c>
      <c r="B422" s="2" t="str">
        <f>"06111008700"</f>
        <v>06111008700</v>
      </c>
      <c r="C422" s="2" t="s">
        <v>1659</v>
      </c>
      <c r="D422" t="s">
        <v>29</v>
      </c>
      <c r="E422" s="2" t="s">
        <v>30</v>
      </c>
      <c r="F422" s="2">
        <v>37216</v>
      </c>
      <c r="G422" s="2" t="s">
        <v>147</v>
      </c>
      <c r="H422" t="s">
        <v>1660</v>
      </c>
      <c r="I422" s="6">
        <v>28306</v>
      </c>
      <c r="J422" s="2" t="s">
        <v>1661</v>
      </c>
      <c r="K422" s="2">
        <v>90000</v>
      </c>
      <c r="L422" t="s">
        <v>35</v>
      </c>
      <c r="M422" t="s">
        <v>29</v>
      </c>
      <c r="N422" t="s">
        <v>30</v>
      </c>
      <c r="O422">
        <v>37219</v>
      </c>
      <c r="P422" t="s">
        <v>1662</v>
      </c>
      <c r="Q422" s="2">
        <v>1.18</v>
      </c>
      <c r="R422" s="2">
        <v>200</v>
      </c>
      <c r="S422" s="2">
        <v>250</v>
      </c>
      <c r="T422" t="s">
        <v>278</v>
      </c>
      <c r="U422" s="6">
        <v>29587</v>
      </c>
      <c r="V422" s="2">
        <v>47037011100</v>
      </c>
      <c r="W422" s="2" t="s">
        <v>68</v>
      </c>
      <c r="X422" s="1">
        <v>45658</v>
      </c>
      <c r="Y422" s="2">
        <v>2056000</v>
      </c>
      <c r="Z422" s="2">
        <v>0</v>
      </c>
      <c r="AA422" s="2">
        <v>2056000</v>
      </c>
    </row>
    <row r="423" spans="1:27" x14ac:dyDescent="0.3">
      <c r="A423" s="4" t="s">
        <v>1631</v>
      </c>
      <c r="B423" s="2" t="str">
        <f>"06107029000"</f>
        <v>06107029000</v>
      </c>
      <c r="C423" s="2" t="s">
        <v>1663</v>
      </c>
      <c r="D423" t="s">
        <v>29</v>
      </c>
      <c r="E423" s="2" t="s">
        <v>30</v>
      </c>
      <c r="F423" s="2">
        <v>37216</v>
      </c>
      <c r="G423" s="2" t="s">
        <v>901</v>
      </c>
      <c r="H423" t="s">
        <v>1664</v>
      </c>
      <c r="I423" s="6">
        <v>24521</v>
      </c>
      <c r="J423" s="2" t="s">
        <v>1665</v>
      </c>
      <c r="K423" s="2" t="s">
        <v>34</v>
      </c>
      <c r="L423" t="s">
        <v>35</v>
      </c>
      <c r="M423" t="s">
        <v>29</v>
      </c>
      <c r="N423" t="s">
        <v>30</v>
      </c>
      <c r="O423">
        <v>37219</v>
      </c>
      <c r="P423" t="s">
        <v>1666</v>
      </c>
      <c r="Q423" s="2">
        <v>1.8</v>
      </c>
      <c r="R423" s="2">
        <v>345</v>
      </c>
      <c r="S423" s="2">
        <v>234</v>
      </c>
      <c r="T423" t="s">
        <v>1665</v>
      </c>
      <c r="U423" s="6">
        <v>24521</v>
      </c>
      <c r="V423" s="2">
        <v>47037011100</v>
      </c>
      <c r="W423" s="2" t="s">
        <v>68</v>
      </c>
      <c r="X423" s="1">
        <v>45658</v>
      </c>
      <c r="Y423" s="2">
        <v>3332300</v>
      </c>
      <c r="Z423" s="2">
        <v>0</v>
      </c>
      <c r="AA423" s="2">
        <v>3332300</v>
      </c>
    </row>
    <row r="424" spans="1:27" x14ac:dyDescent="0.3">
      <c r="A424" s="4" t="s">
        <v>1631</v>
      </c>
      <c r="B424" s="2" t="str">
        <f>"07207033400"</f>
        <v>07207033400</v>
      </c>
      <c r="C424" s="2" t="s">
        <v>1667</v>
      </c>
      <c r="D424" t="s">
        <v>29</v>
      </c>
      <c r="E424" s="2" t="s">
        <v>30</v>
      </c>
      <c r="F424" s="2">
        <v>37216</v>
      </c>
      <c r="G424" s="2" t="s">
        <v>64</v>
      </c>
      <c r="H424" t="s">
        <v>1668</v>
      </c>
      <c r="I424" s="6">
        <v>28237</v>
      </c>
      <c r="J424" s="2" t="s">
        <v>1669</v>
      </c>
      <c r="K424" s="2" t="s">
        <v>34</v>
      </c>
      <c r="L424" t="s">
        <v>35</v>
      </c>
      <c r="M424" t="s">
        <v>29</v>
      </c>
      <c r="N424" t="s">
        <v>30</v>
      </c>
      <c r="O424">
        <v>37219</v>
      </c>
      <c r="P424" t="s">
        <v>1670</v>
      </c>
      <c r="Q424" s="2">
        <v>0.27</v>
      </c>
      <c r="R424" s="2">
        <v>0</v>
      </c>
      <c r="S424" s="2">
        <v>35</v>
      </c>
      <c r="T424" t="s">
        <v>1669</v>
      </c>
      <c r="U424" s="6">
        <v>28237</v>
      </c>
      <c r="V424" s="2">
        <v>47037011200</v>
      </c>
      <c r="W424" s="2" t="s">
        <v>68</v>
      </c>
      <c r="X424" s="1">
        <v>45658</v>
      </c>
      <c r="Y424" s="2">
        <v>2500</v>
      </c>
      <c r="Z424" s="2">
        <v>0</v>
      </c>
      <c r="AA424" s="2">
        <v>2500</v>
      </c>
    </row>
    <row r="425" spans="1:27" x14ac:dyDescent="0.3">
      <c r="A425" s="4" t="s">
        <v>1631</v>
      </c>
      <c r="B425" s="2" t="str">
        <f>"05108014800"</f>
        <v>05108014800</v>
      </c>
      <c r="C425" s="2" t="s">
        <v>1671</v>
      </c>
      <c r="D425" t="s">
        <v>866</v>
      </c>
      <c r="E425" s="2" t="s">
        <v>30</v>
      </c>
      <c r="F425" s="2">
        <v>37115</v>
      </c>
      <c r="G425" s="2" t="s">
        <v>152</v>
      </c>
      <c r="H425" t="s">
        <v>176</v>
      </c>
      <c r="I425" s="6">
        <v>19108</v>
      </c>
      <c r="J425" s="2" t="s">
        <v>1672</v>
      </c>
      <c r="K425" s="2" t="s">
        <v>34</v>
      </c>
      <c r="L425" t="s">
        <v>178</v>
      </c>
      <c r="M425" t="s">
        <v>29</v>
      </c>
      <c r="N425" t="s">
        <v>30</v>
      </c>
      <c r="O425">
        <v>37246</v>
      </c>
      <c r="P425" t="s">
        <v>1673</v>
      </c>
      <c r="Q425" s="2">
        <v>0.23</v>
      </c>
      <c r="R425" s="2">
        <v>75</v>
      </c>
      <c r="S425" s="2">
        <v>150</v>
      </c>
      <c r="T425" t="s">
        <v>1672</v>
      </c>
      <c r="U425" s="6">
        <v>19108</v>
      </c>
      <c r="V425" s="2">
        <v>47037010702</v>
      </c>
      <c r="W425" s="2" t="s">
        <v>837</v>
      </c>
      <c r="X425" s="1">
        <v>45658</v>
      </c>
      <c r="Y425" s="2">
        <v>78800</v>
      </c>
      <c r="Z425" s="2">
        <v>0</v>
      </c>
      <c r="AA425" s="2">
        <v>78800</v>
      </c>
    </row>
    <row r="426" spans="1:27" x14ac:dyDescent="0.3">
      <c r="A426" s="4" t="s">
        <v>1631</v>
      </c>
      <c r="B426" s="2" t="str">
        <f>"06103012800"</f>
        <v>06103012800</v>
      </c>
      <c r="C426" s="2" t="s">
        <v>1674</v>
      </c>
      <c r="D426" t="s">
        <v>29</v>
      </c>
      <c r="E426" s="2" t="s">
        <v>30</v>
      </c>
      <c r="F426" s="2">
        <v>37216</v>
      </c>
      <c r="G426" s="2" t="s">
        <v>152</v>
      </c>
      <c r="H426" t="s">
        <v>176</v>
      </c>
      <c r="I426" s="6">
        <v>17687</v>
      </c>
      <c r="J426" s="2" t="s">
        <v>1675</v>
      </c>
      <c r="K426" s="2" t="s">
        <v>34</v>
      </c>
      <c r="L426" t="s">
        <v>178</v>
      </c>
      <c r="M426" t="s">
        <v>29</v>
      </c>
      <c r="N426" t="s">
        <v>30</v>
      </c>
      <c r="O426">
        <v>37246</v>
      </c>
      <c r="P426" t="s">
        <v>1676</v>
      </c>
      <c r="Q426" s="2">
        <v>0.34</v>
      </c>
      <c r="R426" s="2">
        <v>100</v>
      </c>
      <c r="S426" s="2">
        <v>153</v>
      </c>
      <c r="T426" t="s">
        <v>1675</v>
      </c>
      <c r="U426" s="6">
        <v>17687</v>
      </c>
      <c r="V426" s="2">
        <v>47037011100</v>
      </c>
      <c r="W426" s="2" t="s">
        <v>68</v>
      </c>
      <c r="X426" s="1">
        <v>45658</v>
      </c>
      <c r="Y426" s="2">
        <v>176000</v>
      </c>
      <c r="Z426" s="2">
        <v>0</v>
      </c>
      <c r="AA426" s="2">
        <v>176000</v>
      </c>
    </row>
    <row r="427" spans="1:27" x14ac:dyDescent="0.3">
      <c r="A427" s="4" t="s">
        <v>1631</v>
      </c>
      <c r="B427" s="2" t="str">
        <f>"06106015600"</f>
        <v>06106015600</v>
      </c>
      <c r="C427" s="2" t="s">
        <v>1677</v>
      </c>
      <c r="D427" t="s">
        <v>29</v>
      </c>
      <c r="E427" s="2" t="s">
        <v>30</v>
      </c>
      <c r="F427" s="2">
        <v>37216</v>
      </c>
      <c r="G427" s="2" t="s">
        <v>152</v>
      </c>
      <c r="H427" t="s">
        <v>176</v>
      </c>
      <c r="I427" s="6">
        <v>24351</v>
      </c>
      <c r="J427" s="2" t="s">
        <v>1678</v>
      </c>
      <c r="K427" s="2" t="s">
        <v>34</v>
      </c>
      <c r="L427" t="s">
        <v>178</v>
      </c>
      <c r="M427" t="s">
        <v>29</v>
      </c>
      <c r="N427" t="s">
        <v>30</v>
      </c>
      <c r="O427">
        <v>37246</v>
      </c>
      <c r="P427" t="s">
        <v>1679</v>
      </c>
      <c r="Q427" s="2">
        <v>0.48</v>
      </c>
      <c r="R427" s="2">
        <v>102</v>
      </c>
      <c r="S427" s="2">
        <v>221</v>
      </c>
      <c r="T427" t="s">
        <v>1678</v>
      </c>
      <c r="U427" s="6">
        <v>24351</v>
      </c>
      <c r="V427" s="2">
        <v>47037011002</v>
      </c>
      <c r="W427" s="2" t="s">
        <v>68</v>
      </c>
      <c r="X427" s="1">
        <v>45658</v>
      </c>
      <c r="Y427" s="2">
        <v>160000</v>
      </c>
      <c r="Z427" s="2">
        <v>0</v>
      </c>
      <c r="AA427" s="2">
        <v>160000</v>
      </c>
    </row>
    <row r="428" spans="1:27" x14ac:dyDescent="0.3">
      <c r="A428" s="4" t="s">
        <v>1631</v>
      </c>
      <c r="B428" s="2" t="str">
        <f>"06108015600"</f>
        <v>06108015600</v>
      </c>
      <c r="C428" s="2" t="s">
        <v>1680</v>
      </c>
      <c r="D428" t="s">
        <v>29</v>
      </c>
      <c r="E428" s="2" t="s">
        <v>30</v>
      </c>
      <c r="F428" s="2">
        <v>37216</v>
      </c>
      <c r="G428" s="2" t="s">
        <v>152</v>
      </c>
      <c r="H428" t="s">
        <v>176</v>
      </c>
      <c r="I428" s="6">
        <v>19581</v>
      </c>
      <c r="J428" s="2" t="s">
        <v>1681</v>
      </c>
      <c r="K428" s="2" t="s">
        <v>34</v>
      </c>
      <c r="L428" t="s">
        <v>178</v>
      </c>
      <c r="M428" t="s">
        <v>29</v>
      </c>
      <c r="N428" t="s">
        <v>30</v>
      </c>
      <c r="O428">
        <v>37246</v>
      </c>
      <c r="P428" t="s">
        <v>1682</v>
      </c>
      <c r="Q428" s="2">
        <v>0.21</v>
      </c>
      <c r="R428" s="2">
        <v>20</v>
      </c>
      <c r="S428" s="2">
        <v>300</v>
      </c>
      <c r="T428" t="s">
        <v>1681</v>
      </c>
      <c r="U428" s="6">
        <v>19581</v>
      </c>
      <c r="V428" s="2">
        <v>47037011100</v>
      </c>
      <c r="W428" s="2" t="s">
        <v>68</v>
      </c>
      <c r="X428" s="1">
        <v>45658</v>
      </c>
      <c r="Y428" s="2">
        <v>120000</v>
      </c>
      <c r="Z428" s="2">
        <v>0</v>
      </c>
      <c r="AA428" s="2">
        <v>120000</v>
      </c>
    </row>
    <row r="429" spans="1:27" x14ac:dyDescent="0.3">
      <c r="A429" s="4" t="s">
        <v>1631</v>
      </c>
      <c r="B429" s="2" t="str">
        <f>"06115000600"</f>
        <v>06115000600</v>
      </c>
      <c r="C429" s="2" t="s">
        <v>1683</v>
      </c>
      <c r="D429" t="s">
        <v>29</v>
      </c>
      <c r="E429" s="2" t="s">
        <v>30</v>
      </c>
      <c r="F429" s="2">
        <v>37216</v>
      </c>
      <c r="G429" s="2" t="s">
        <v>152</v>
      </c>
      <c r="H429" t="s">
        <v>176</v>
      </c>
      <c r="I429" s="6">
        <v>19267</v>
      </c>
      <c r="J429" s="2" t="s">
        <v>1684</v>
      </c>
      <c r="K429" s="2" t="s">
        <v>34</v>
      </c>
      <c r="L429" t="s">
        <v>178</v>
      </c>
      <c r="M429" t="s">
        <v>29</v>
      </c>
      <c r="N429" t="s">
        <v>30</v>
      </c>
      <c r="O429">
        <v>37246</v>
      </c>
      <c r="P429" t="s">
        <v>1685</v>
      </c>
      <c r="Q429" s="2">
        <v>0.14000000000000001</v>
      </c>
      <c r="R429" s="2">
        <v>66</v>
      </c>
      <c r="S429" s="2">
        <v>90</v>
      </c>
      <c r="T429" t="s">
        <v>1684</v>
      </c>
      <c r="U429" s="6">
        <v>19267</v>
      </c>
      <c r="V429" s="2">
        <v>47037011200</v>
      </c>
      <c r="W429" s="2" t="s">
        <v>68</v>
      </c>
      <c r="X429" s="1">
        <v>45658</v>
      </c>
      <c r="Y429" s="2">
        <v>166500</v>
      </c>
      <c r="Z429" s="2">
        <v>0</v>
      </c>
      <c r="AA429" s="2">
        <v>166500</v>
      </c>
    </row>
    <row r="430" spans="1:27" x14ac:dyDescent="0.3">
      <c r="A430" s="4" t="s">
        <v>1631</v>
      </c>
      <c r="B430" s="2" t="str">
        <f>"07204021400"</f>
        <v>07204021400</v>
      </c>
      <c r="C430" s="2" t="s">
        <v>1686</v>
      </c>
      <c r="D430" t="s">
        <v>29</v>
      </c>
      <c r="E430" s="2" t="s">
        <v>30</v>
      </c>
      <c r="F430" s="2">
        <v>37216</v>
      </c>
      <c r="G430" s="2" t="s">
        <v>152</v>
      </c>
      <c r="H430" t="s">
        <v>176</v>
      </c>
      <c r="I430" s="6">
        <v>18112</v>
      </c>
      <c r="J430" s="2" t="s">
        <v>1687</v>
      </c>
      <c r="K430" s="2" t="s">
        <v>34</v>
      </c>
      <c r="L430" t="s">
        <v>178</v>
      </c>
      <c r="M430" t="s">
        <v>29</v>
      </c>
      <c r="N430" t="s">
        <v>30</v>
      </c>
      <c r="O430">
        <v>37246</v>
      </c>
      <c r="P430" t="s">
        <v>1688</v>
      </c>
      <c r="Q430" s="2">
        <v>0.22</v>
      </c>
      <c r="R430" s="2">
        <v>75</v>
      </c>
      <c r="S430" s="2">
        <v>130</v>
      </c>
      <c r="T430" t="s">
        <v>1687</v>
      </c>
      <c r="U430" s="6">
        <v>18112</v>
      </c>
      <c r="V430" s="2">
        <v>47037011200</v>
      </c>
      <c r="W430" s="2" t="s">
        <v>68</v>
      </c>
      <c r="X430" s="1">
        <v>45658</v>
      </c>
      <c r="Y430" s="2">
        <v>285000</v>
      </c>
      <c r="Z430" s="2">
        <v>0</v>
      </c>
      <c r="AA430" s="2">
        <v>285000</v>
      </c>
    </row>
    <row r="431" spans="1:27" x14ac:dyDescent="0.3">
      <c r="A431" s="4" t="s">
        <v>1631</v>
      </c>
      <c r="B431" s="2" t="str">
        <f>"07206030600"</f>
        <v>07206030600</v>
      </c>
      <c r="C431" s="2" t="s">
        <v>1689</v>
      </c>
      <c r="D431" t="s">
        <v>29</v>
      </c>
      <c r="E431" s="2" t="s">
        <v>30</v>
      </c>
      <c r="F431" s="2">
        <v>37216</v>
      </c>
      <c r="G431" s="2" t="s">
        <v>152</v>
      </c>
      <c r="H431" t="s">
        <v>176</v>
      </c>
      <c r="I431" s="6">
        <v>14472</v>
      </c>
      <c r="J431" s="2" t="s">
        <v>1690</v>
      </c>
      <c r="K431" s="2" t="s">
        <v>34</v>
      </c>
      <c r="L431" t="s">
        <v>178</v>
      </c>
      <c r="M431" t="s">
        <v>29</v>
      </c>
      <c r="N431" t="s">
        <v>30</v>
      </c>
      <c r="O431">
        <v>37246</v>
      </c>
      <c r="P431" t="s">
        <v>1691</v>
      </c>
      <c r="Q431" s="2">
        <v>0.33</v>
      </c>
      <c r="R431" s="2">
        <v>226</v>
      </c>
      <c r="S431" s="2">
        <v>87</v>
      </c>
      <c r="T431" t="s">
        <v>1692</v>
      </c>
      <c r="U431" s="6">
        <v>42983</v>
      </c>
      <c r="V431" s="2">
        <v>47037011200</v>
      </c>
      <c r="W431" s="2" t="s">
        <v>68</v>
      </c>
      <c r="X431" s="1">
        <v>45658</v>
      </c>
      <c r="Y431" s="2">
        <v>31000</v>
      </c>
      <c r="Z431" s="2">
        <v>0</v>
      </c>
      <c r="AA431" s="2">
        <v>31000</v>
      </c>
    </row>
    <row r="432" spans="1:27" x14ac:dyDescent="0.3">
      <c r="A432" s="4" t="s">
        <v>1631</v>
      </c>
      <c r="B432" s="2" t="str">
        <f>"07202006100"</f>
        <v>07202006100</v>
      </c>
      <c r="C432" s="2" t="s">
        <v>1693</v>
      </c>
      <c r="D432" t="s">
        <v>29</v>
      </c>
      <c r="E432" s="2" t="s">
        <v>30</v>
      </c>
      <c r="F432" s="2">
        <v>37216</v>
      </c>
      <c r="G432" s="2" t="s">
        <v>152</v>
      </c>
      <c r="H432" t="s">
        <v>176</v>
      </c>
      <c r="I432" s="6">
        <v>17300</v>
      </c>
      <c r="J432" s="2" t="s">
        <v>1694</v>
      </c>
      <c r="K432" s="2" t="s">
        <v>34</v>
      </c>
      <c r="L432" t="s">
        <v>178</v>
      </c>
      <c r="M432" t="s">
        <v>29</v>
      </c>
      <c r="N432" t="s">
        <v>30</v>
      </c>
      <c r="O432">
        <v>37246</v>
      </c>
      <c r="P432" t="s">
        <v>1695</v>
      </c>
      <c r="Q432" s="2">
        <v>1.69</v>
      </c>
      <c r="R432" s="2">
        <v>505</v>
      </c>
      <c r="S432" s="2">
        <v>100</v>
      </c>
      <c r="T432" t="s">
        <v>1694</v>
      </c>
      <c r="U432" s="6">
        <v>17300</v>
      </c>
      <c r="V432" s="2">
        <v>47037011200</v>
      </c>
      <c r="W432" s="2" t="s">
        <v>68</v>
      </c>
      <c r="X432" s="1">
        <v>45658</v>
      </c>
      <c r="Y432" s="2">
        <v>405600</v>
      </c>
      <c r="Z432" s="2">
        <v>0</v>
      </c>
      <c r="AA432" s="2">
        <v>405600</v>
      </c>
    </row>
    <row r="433" spans="1:27" x14ac:dyDescent="0.3">
      <c r="A433" s="4" t="s">
        <v>1631</v>
      </c>
      <c r="B433" s="2" t="str">
        <f>"05100013200"</f>
        <v>05100013200</v>
      </c>
      <c r="C433" s="2" t="s">
        <v>1696</v>
      </c>
      <c r="D433" t="s">
        <v>866</v>
      </c>
      <c r="E433" s="2" t="s">
        <v>30</v>
      </c>
      <c r="F433" s="2">
        <v>37115</v>
      </c>
      <c r="G433" s="2" t="s">
        <v>152</v>
      </c>
      <c r="H433" t="s">
        <v>176</v>
      </c>
      <c r="I433" s="6">
        <v>21487</v>
      </c>
      <c r="J433" s="2" t="s">
        <v>1697</v>
      </c>
      <c r="K433" s="2" t="s">
        <v>34</v>
      </c>
      <c r="L433" t="s">
        <v>178</v>
      </c>
      <c r="M433" t="s">
        <v>29</v>
      </c>
      <c r="N433" t="s">
        <v>30</v>
      </c>
      <c r="O433">
        <v>37246</v>
      </c>
      <c r="P433" t="s">
        <v>1698</v>
      </c>
      <c r="Q433" s="2">
        <v>1.1499999999999999</v>
      </c>
      <c r="R433" s="2">
        <v>55</v>
      </c>
      <c r="S433" s="2">
        <v>310</v>
      </c>
      <c r="T433" t="s">
        <v>1697</v>
      </c>
      <c r="U433" s="6">
        <v>21487</v>
      </c>
      <c r="V433" s="2">
        <v>47037010802</v>
      </c>
      <c r="W433" s="2" t="s">
        <v>68</v>
      </c>
      <c r="X433" s="1">
        <v>45658</v>
      </c>
      <c r="Y433" s="2">
        <v>86300</v>
      </c>
      <c r="Z433" s="2">
        <v>0</v>
      </c>
      <c r="AA433" s="2">
        <v>86300</v>
      </c>
    </row>
    <row r="434" spans="1:27" x14ac:dyDescent="0.3">
      <c r="A434" s="4" t="s">
        <v>1631</v>
      </c>
      <c r="B434" s="2" t="str">
        <f>"05114000100"</f>
        <v>05114000100</v>
      </c>
      <c r="C434" s="2" t="s">
        <v>1699</v>
      </c>
      <c r="D434" t="s">
        <v>866</v>
      </c>
      <c r="E434" s="2" t="s">
        <v>30</v>
      </c>
      <c r="F434" s="2">
        <v>37115</v>
      </c>
      <c r="G434" s="2" t="s">
        <v>64</v>
      </c>
      <c r="H434" t="s">
        <v>176</v>
      </c>
      <c r="I434" s="6">
        <v>29896</v>
      </c>
      <c r="J434" s="2" t="s">
        <v>1700</v>
      </c>
      <c r="K434" s="2">
        <v>48000</v>
      </c>
      <c r="L434" t="s">
        <v>178</v>
      </c>
      <c r="M434" t="s">
        <v>29</v>
      </c>
      <c r="N434" t="s">
        <v>30</v>
      </c>
      <c r="O434">
        <v>37246</v>
      </c>
      <c r="P434" t="s">
        <v>1701</v>
      </c>
      <c r="Q434" s="2">
        <v>2.96</v>
      </c>
      <c r="R434" s="2">
        <v>290</v>
      </c>
      <c r="S434" s="2">
        <v>438</v>
      </c>
      <c r="T434" t="s">
        <v>1702</v>
      </c>
      <c r="U434" s="6">
        <v>29385</v>
      </c>
      <c r="V434" s="2">
        <v>47037010802</v>
      </c>
      <c r="W434" s="2" t="s">
        <v>68</v>
      </c>
      <c r="X434" s="1">
        <v>45658</v>
      </c>
      <c r="Y434" s="2">
        <v>222000</v>
      </c>
      <c r="Z434" s="2">
        <v>0</v>
      </c>
      <c r="AA434" s="2">
        <v>222000</v>
      </c>
    </row>
    <row r="435" spans="1:27" x14ac:dyDescent="0.3">
      <c r="A435" s="4" t="s">
        <v>1631</v>
      </c>
      <c r="B435" s="2" t="str">
        <f>"05201030400"</f>
        <v>05201030400</v>
      </c>
      <c r="C435" s="2" t="s">
        <v>1703</v>
      </c>
      <c r="D435" t="s">
        <v>866</v>
      </c>
      <c r="E435" s="2" t="s">
        <v>30</v>
      </c>
      <c r="F435" s="2">
        <v>37115</v>
      </c>
      <c r="G435" s="2" t="s">
        <v>64</v>
      </c>
      <c r="H435" t="s">
        <v>211</v>
      </c>
      <c r="I435" s="6">
        <v>32926</v>
      </c>
      <c r="J435" s="2" t="s">
        <v>1704</v>
      </c>
      <c r="K435" s="2">
        <v>213</v>
      </c>
      <c r="L435" t="s">
        <v>35</v>
      </c>
      <c r="M435" t="s">
        <v>29</v>
      </c>
      <c r="N435" t="s">
        <v>30</v>
      </c>
      <c r="O435">
        <v>37219</v>
      </c>
      <c r="P435" t="s">
        <v>1705</v>
      </c>
      <c r="Q435" s="2">
        <v>0.14000000000000001</v>
      </c>
      <c r="R435" s="2">
        <v>50</v>
      </c>
      <c r="S435" s="2">
        <v>250</v>
      </c>
      <c r="T435" t="s">
        <v>1706</v>
      </c>
      <c r="U435" s="6">
        <v>27081</v>
      </c>
      <c r="V435" s="2">
        <v>47037010701</v>
      </c>
      <c r="W435" s="2" t="s">
        <v>837</v>
      </c>
      <c r="X435" s="1">
        <v>45658</v>
      </c>
      <c r="Y435" s="2">
        <v>4500</v>
      </c>
      <c r="Z435" s="2">
        <v>0</v>
      </c>
      <c r="AA435" s="2">
        <v>4500</v>
      </c>
    </row>
    <row r="436" spans="1:27" x14ac:dyDescent="0.3">
      <c r="A436" s="4" t="s">
        <v>1631</v>
      </c>
      <c r="B436" s="2" t="str">
        <f>"05205013200"</f>
        <v>05205013200</v>
      </c>
      <c r="C436" s="2" t="s">
        <v>1707</v>
      </c>
      <c r="D436" t="s">
        <v>866</v>
      </c>
      <c r="E436" s="2" t="s">
        <v>30</v>
      </c>
      <c r="F436" s="2">
        <v>37115</v>
      </c>
      <c r="G436" s="2" t="s">
        <v>64</v>
      </c>
      <c r="H436" t="s">
        <v>211</v>
      </c>
      <c r="I436" s="6">
        <v>42139</v>
      </c>
      <c r="J436" s="2" t="s">
        <v>1708</v>
      </c>
      <c r="K436" s="2">
        <v>908</v>
      </c>
      <c r="L436" t="s">
        <v>35</v>
      </c>
      <c r="M436" t="s">
        <v>29</v>
      </c>
      <c r="N436" t="s">
        <v>30</v>
      </c>
      <c r="O436">
        <v>37219</v>
      </c>
      <c r="P436" t="s">
        <v>1709</v>
      </c>
      <c r="Q436" s="2">
        <v>0.11</v>
      </c>
      <c r="R436" s="2">
        <v>50</v>
      </c>
      <c r="S436" s="2">
        <v>100</v>
      </c>
      <c r="T436" t="s">
        <v>1710</v>
      </c>
      <c r="U436" s="6">
        <v>14577</v>
      </c>
      <c r="V436" s="2">
        <v>47037010701</v>
      </c>
      <c r="W436" s="2" t="s">
        <v>837</v>
      </c>
      <c r="X436" s="1">
        <v>45658</v>
      </c>
      <c r="Y436" s="2">
        <v>22500</v>
      </c>
      <c r="Z436" s="2">
        <v>0</v>
      </c>
      <c r="AA436" s="2">
        <v>22500</v>
      </c>
    </row>
    <row r="437" spans="1:27" x14ac:dyDescent="0.3">
      <c r="A437" s="4" t="s">
        <v>1631</v>
      </c>
      <c r="B437" s="2" t="str">
        <f>"05205013300"</f>
        <v>05205013300</v>
      </c>
      <c r="C437" s="2" t="s">
        <v>1711</v>
      </c>
      <c r="D437" t="s">
        <v>866</v>
      </c>
      <c r="E437" s="2" t="s">
        <v>30</v>
      </c>
      <c r="F437" s="2">
        <v>37115</v>
      </c>
      <c r="G437" s="2" t="s">
        <v>64</v>
      </c>
      <c r="H437" t="s">
        <v>211</v>
      </c>
      <c r="I437" s="6">
        <v>32926</v>
      </c>
      <c r="J437" s="2" t="s">
        <v>1712</v>
      </c>
      <c r="K437" s="2">
        <v>239</v>
      </c>
      <c r="L437" t="s">
        <v>35</v>
      </c>
      <c r="M437" t="s">
        <v>29</v>
      </c>
      <c r="N437" t="s">
        <v>30</v>
      </c>
      <c r="O437">
        <v>37219</v>
      </c>
      <c r="P437" t="s">
        <v>1713</v>
      </c>
      <c r="Q437" s="2">
        <v>7.0000000000000007E-2</v>
      </c>
      <c r="R437" s="2">
        <v>50</v>
      </c>
      <c r="S437" s="2">
        <v>100</v>
      </c>
      <c r="T437" t="s">
        <v>1706</v>
      </c>
      <c r="U437" s="6">
        <v>27081</v>
      </c>
      <c r="V437" s="2">
        <v>47037010701</v>
      </c>
      <c r="W437" s="2" t="s">
        <v>837</v>
      </c>
      <c r="X437" s="1">
        <v>45658</v>
      </c>
      <c r="Y437" s="2">
        <v>20300</v>
      </c>
      <c r="Z437" s="2">
        <v>0</v>
      </c>
      <c r="AA437" s="2">
        <v>20300</v>
      </c>
    </row>
    <row r="438" spans="1:27" x14ac:dyDescent="0.3">
      <c r="A438" s="4" t="s">
        <v>1631</v>
      </c>
      <c r="B438" s="2" t="str">
        <f>"05205013500"</f>
        <v>05205013500</v>
      </c>
      <c r="C438" s="2" t="s">
        <v>1714</v>
      </c>
      <c r="D438" t="s">
        <v>866</v>
      </c>
      <c r="E438" s="2" t="s">
        <v>30</v>
      </c>
      <c r="F438" s="2">
        <v>37115</v>
      </c>
      <c r="G438" s="2" t="s">
        <v>64</v>
      </c>
      <c r="H438" t="s">
        <v>211</v>
      </c>
      <c r="I438" s="6">
        <v>41648</v>
      </c>
      <c r="J438" s="2" t="s">
        <v>1715</v>
      </c>
      <c r="K438" s="2">
        <v>539</v>
      </c>
      <c r="L438" t="s">
        <v>35</v>
      </c>
      <c r="M438" t="s">
        <v>29</v>
      </c>
      <c r="N438" t="s">
        <v>30</v>
      </c>
      <c r="O438">
        <v>37219</v>
      </c>
      <c r="P438" t="s">
        <v>1716</v>
      </c>
      <c r="Q438" s="2">
        <v>0.13</v>
      </c>
      <c r="R438" s="2">
        <v>50</v>
      </c>
      <c r="S438" s="2">
        <v>110</v>
      </c>
      <c r="T438" t="s">
        <v>1717</v>
      </c>
      <c r="U438" s="6">
        <v>19051</v>
      </c>
      <c r="V438" s="2">
        <v>47037010701</v>
      </c>
      <c r="W438" s="2" t="s">
        <v>837</v>
      </c>
      <c r="X438" s="1">
        <v>45658</v>
      </c>
      <c r="Y438" s="2">
        <v>18000</v>
      </c>
      <c r="Z438" s="2">
        <v>0</v>
      </c>
      <c r="AA438" s="2">
        <v>18000</v>
      </c>
    </row>
    <row r="439" spans="1:27" x14ac:dyDescent="0.3">
      <c r="A439" s="4" t="s">
        <v>1631</v>
      </c>
      <c r="B439" s="2" t="str">
        <f>"05205015900"</f>
        <v>05205015900</v>
      </c>
      <c r="C439" s="2" t="s">
        <v>1718</v>
      </c>
      <c r="D439" t="s">
        <v>866</v>
      </c>
      <c r="E439" s="2" t="s">
        <v>30</v>
      </c>
      <c r="F439" s="2">
        <v>37115</v>
      </c>
      <c r="G439" s="2" t="s">
        <v>64</v>
      </c>
      <c r="H439" t="s">
        <v>211</v>
      </c>
      <c r="I439" s="6">
        <v>32926</v>
      </c>
      <c r="J439" s="2" t="s">
        <v>1719</v>
      </c>
      <c r="K439" s="2">
        <v>209</v>
      </c>
      <c r="L439" t="s">
        <v>35</v>
      </c>
      <c r="M439" t="s">
        <v>29</v>
      </c>
      <c r="N439" t="s">
        <v>30</v>
      </c>
      <c r="O439">
        <v>37219</v>
      </c>
      <c r="P439" t="s">
        <v>1720</v>
      </c>
      <c r="Q439" s="2">
        <v>0.13</v>
      </c>
      <c r="R439" s="2">
        <v>70</v>
      </c>
      <c r="S439" s="2">
        <v>100</v>
      </c>
      <c r="T439" t="s">
        <v>1706</v>
      </c>
      <c r="U439" s="6">
        <v>27081</v>
      </c>
      <c r="V439" s="2">
        <v>47037010701</v>
      </c>
      <c r="W439" s="2" t="s">
        <v>837</v>
      </c>
      <c r="X439" s="1">
        <v>45658</v>
      </c>
      <c r="Y439" s="2">
        <v>18000</v>
      </c>
      <c r="Z439" s="2">
        <v>0</v>
      </c>
      <c r="AA439" s="2">
        <v>18000</v>
      </c>
    </row>
    <row r="440" spans="1:27" x14ac:dyDescent="0.3">
      <c r="A440" s="4" t="s">
        <v>1631</v>
      </c>
      <c r="B440" s="2" t="str">
        <f>"05205016100"</f>
        <v>05205016100</v>
      </c>
      <c r="C440" s="2" t="s">
        <v>1718</v>
      </c>
      <c r="D440" t="s">
        <v>866</v>
      </c>
      <c r="E440" s="2" t="s">
        <v>30</v>
      </c>
      <c r="F440" s="2">
        <v>37115</v>
      </c>
      <c r="G440" s="2" t="s">
        <v>64</v>
      </c>
      <c r="H440" t="s">
        <v>211</v>
      </c>
      <c r="I440" s="6">
        <v>32926</v>
      </c>
      <c r="J440" s="2" t="s">
        <v>1721</v>
      </c>
      <c r="K440" s="2">
        <v>209</v>
      </c>
      <c r="L440" t="s">
        <v>35</v>
      </c>
      <c r="M440" t="s">
        <v>29</v>
      </c>
      <c r="N440" t="s">
        <v>30</v>
      </c>
      <c r="O440">
        <v>37219</v>
      </c>
      <c r="P440" t="s">
        <v>1722</v>
      </c>
      <c r="Q440" s="2">
        <v>0.12</v>
      </c>
      <c r="R440" s="2">
        <v>70</v>
      </c>
      <c r="S440" s="2">
        <v>90</v>
      </c>
      <c r="T440" t="s">
        <v>1706</v>
      </c>
      <c r="U440" s="6">
        <v>27081</v>
      </c>
      <c r="V440" s="2">
        <v>47037010701</v>
      </c>
      <c r="W440" s="2" t="s">
        <v>837</v>
      </c>
      <c r="X440" s="1">
        <v>45658</v>
      </c>
      <c r="Y440" s="2">
        <v>18000</v>
      </c>
      <c r="Z440" s="2">
        <v>0</v>
      </c>
      <c r="AA440" s="2">
        <v>18000</v>
      </c>
    </row>
    <row r="441" spans="1:27" x14ac:dyDescent="0.3">
      <c r="A441" s="4" t="s">
        <v>1631</v>
      </c>
      <c r="B441" s="2" t="str">
        <f>"05205016200"</f>
        <v>05205016200</v>
      </c>
      <c r="C441" s="2" t="s">
        <v>1718</v>
      </c>
      <c r="D441" t="s">
        <v>866</v>
      </c>
      <c r="E441" s="2" t="s">
        <v>30</v>
      </c>
      <c r="F441" s="2">
        <v>37115</v>
      </c>
      <c r="G441" s="2" t="s">
        <v>64</v>
      </c>
      <c r="H441" t="s">
        <v>211</v>
      </c>
      <c r="I441" s="6">
        <v>27431</v>
      </c>
      <c r="J441" s="2" t="s">
        <v>1723</v>
      </c>
      <c r="K441" s="2">
        <v>208</v>
      </c>
      <c r="L441" t="s">
        <v>35</v>
      </c>
      <c r="M441" t="s">
        <v>29</v>
      </c>
      <c r="N441" t="s">
        <v>30</v>
      </c>
      <c r="O441">
        <v>37219</v>
      </c>
      <c r="P441" t="s">
        <v>1724</v>
      </c>
      <c r="Q441" s="2">
        <v>0.16</v>
      </c>
      <c r="R441" s="2">
        <v>80</v>
      </c>
      <c r="S441" s="2">
        <v>95</v>
      </c>
      <c r="T441" t="s">
        <v>1725</v>
      </c>
      <c r="U441" s="6">
        <v>13858</v>
      </c>
      <c r="V441" s="2">
        <v>47037010701</v>
      </c>
      <c r="W441" s="2" t="s">
        <v>837</v>
      </c>
      <c r="X441" s="1">
        <v>45658</v>
      </c>
      <c r="Y441" s="2">
        <v>18000</v>
      </c>
      <c r="Z441" s="2">
        <v>0</v>
      </c>
      <c r="AA441" s="2">
        <v>18000</v>
      </c>
    </row>
    <row r="442" spans="1:27" x14ac:dyDescent="0.3">
      <c r="A442" s="4" t="s">
        <v>1631</v>
      </c>
      <c r="B442" s="2" t="str">
        <f>"05205016300"</f>
        <v>05205016300</v>
      </c>
      <c r="C442" s="2" t="s">
        <v>1718</v>
      </c>
      <c r="D442" t="s">
        <v>866</v>
      </c>
      <c r="E442" s="2" t="s">
        <v>30</v>
      </c>
      <c r="F442" s="2">
        <v>37115</v>
      </c>
      <c r="G442" s="2" t="s">
        <v>64</v>
      </c>
      <c r="H442" t="s">
        <v>211</v>
      </c>
      <c r="I442" s="6">
        <v>32926</v>
      </c>
      <c r="J442" s="2" t="s">
        <v>1726</v>
      </c>
      <c r="K442" s="2">
        <v>209</v>
      </c>
      <c r="L442" t="s">
        <v>35</v>
      </c>
      <c r="M442" t="s">
        <v>29</v>
      </c>
      <c r="N442" t="s">
        <v>30</v>
      </c>
      <c r="O442">
        <v>37219</v>
      </c>
      <c r="P442" t="s">
        <v>1727</v>
      </c>
      <c r="Q442" s="2">
        <v>0.11</v>
      </c>
      <c r="R442" s="2">
        <v>50</v>
      </c>
      <c r="S442" s="2">
        <v>105</v>
      </c>
      <c r="T442" t="s">
        <v>1706</v>
      </c>
      <c r="U442" s="6">
        <v>27081</v>
      </c>
      <c r="V442" s="2">
        <v>47037010701</v>
      </c>
      <c r="W442" s="2" t="s">
        <v>837</v>
      </c>
      <c r="X442" s="1">
        <v>45658</v>
      </c>
      <c r="Y442" s="2">
        <v>18000</v>
      </c>
      <c r="Z442" s="2">
        <v>0</v>
      </c>
      <c r="AA442" s="2">
        <v>18000</v>
      </c>
    </row>
    <row r="443" spans="1:27" x14ac:dyDescent="0.3">
      <c r="A443" s="4" t="s">
        <v>1631</v>
      </c>
      <c r="B443" s="2" t="str">
        <f>"07309026000"</f>
        <v>07309026000</v>
      </c>
      <c r="C443" s="2" t="s">
        <v>1651</v>
      </c>
      <c r="D443" t="s">
        <v>29</v>
      </c>
      <c r="E443" s="2" t="s">
        <v>30</v>
      </c>
      <c r="F443" s="2">
        <v>37216</v>
      </c>
      <c r="G443" s="2" t="s">
        <v>64</v>
      </c>
      <c r="H443" t="s">
        <v>211</v>
      </c>
      <c r="I443" s="6">
        <v>37578</v>
      </c>
      <c r="J443" s="2" t="s">
        <v>1728</v>
      </c>
      <c r="K443" s="2">
        <v>303</v>
      </c>
      <c r="L443" t="s">
        <v>35</v>
      </c>
      <c r="M443" t="s">
        <v>29</v>
      </c>
      <c r="N443" t="s">
        <v>30</v>
      </c>
      <c r="O443">
        <v>37219</v>
      </c>
      <c r="P443" t="s">
        <v>1729</v>
      </c>
      <c r="Q443" s="2">
        <v>0.05</v>
      </c>
      <c r="R443" s="2">
        <v>0</v>
      </c>
      <c r="S443" s="2">
        <v>98</v>
      </c>
      <c r="T443" t="s">
        <v>1654</v>
      </c>
      <c r="U443" s="6">
        <v>30518</v>
      </c>
      <c r="V443" s="2">
        <v>47037011500</v>
      </c>
      <c r="W443" s="2" t="s">
        <v>68</v>
      </c>
      <c r="X443" s="1">
        <v>45658</v>
      </c>
      <c r="Y443" s="2">
        <v>8000</v>
      </c>
      <c r="Z443" s="2">
        <v>0</v>
      </c>
      <c r="AA443" s="2">
        <v>8000</v>
      </c>
    </row>
    <row r="444" spans="1:27" x14ac:dyDescent="0.3">
      <c r="A444" s="4" t="s">
        <v>1631</v>
      </c>
      <c r="B444" s="2" t="str">
        <f>"07309024000"</f>
        <v>07309024000</v>
      </c>
      <c r="C444" s="2" t="s">
        <v>1651</v>
      </c>
      <c r="D444" t="s">
        <v>29</v>
      </c>
      <c r="E444" s="2" t="s">
        <v>30</v>
      </c>
      <c r="F444" s="2">
        <v>37216</v>
      </c>
      <c r="G444" s="2" t="s">
        <v>64</v>
      </c>
      <c r="H444" t="s">
        <v>211</v>
      </c>
      <c r="I444" s="6">
        <v>38275</v>
      </c>
      <c r="J444" s="2" t="s">
        <v>1730</v>
      </c>
      <c r="K444" s="2">
        <v>1550</v>
      </c>
      <c r="L444" t="s">
        <v>35</v>
      </c>
      <c r="M444" t="s">
        <v>29</v>
      </c>
      <c r="N444" t="s">
        <v>30</v>
      </c>
      <c r="O444">
        <v>37219</v>
      </c>
      <c r="P444" t="s">
        <v>1731</v>
      </c>
      <c r="Q444" s="2">
        <v>0.24</v>
      </c>
      <c r="R444" s="2">
        <v>37</v>
      </c>
      <c r="S444" s="2">
        <v>249</v>
      </c>
      <c r="T444" t="s">
        <v>1654</v>
      </c>
      <c r="U444" s="6">
        <v>30518</v>
      </c>
      <c r="V444" s="2">
        <v>47037011500</v>
      </c>
      <c r="W444" s="2" t="s">
        <v>68</v>
      </c>
      <c r="X444" s="1">
        <v>45658</v>
      </c>
      <c r="Y444" s="2">
        <v>12500</v>
      </c>
      <c r="Z444" s="2">
        <v>0</v>
      </c>
      <c r="AA444" s="2">
        <v>12500</v>
      </c>
    </row>
    <row r="445" spans="1:27" x14ac:dyDescent="0.3">
      <c r="A445" s="4" t="s">
        <v>1631</v>
      </c>
      <c r="B445" s="2" t="str">
        <f>"05201030300"</f>
        <v>05201030300</v>
      </c>
      <c r="C445" s="2" t="s">
        <v>1703</v>
      </c>
      <c r="D445" t="s">
        <v>866</v>
      </c>
      <c r="E445" s="2" t="s">
        <v>30</v>
      </c>
      <c r="F445" s="2">
        <v>37115</v>
      </c>
      <c r="G445" s="2" t="s">
        <v>64</v>
      </c>
      <c r="H445" t="s">
        <v>211</v>
      </c>
      <c r="I445" s="6">
        <v>40800</v>
      </c>
      <c r="J445" s="2" t="s">
        <v>1732</v>
      </c>
      <c r="K445" s="2">
        <v>422</v>
      </c>
      <c r="L445" t="s">
        <v>35</v>
      </c>
      <c r="M445" t="s">
        <v>29</v>
      </c>
      <c r="N445" t="s">
        <v>30</v>
      </c>
      <c r="O445">
        <v>37219</v>
      </c>
      <c r="P445" t="s">
        <v>1733</v>
      </c>
      <c r="Q445" s="2">
        <v>0.28000000000000003</v>
      </c>
      <c r="R445" s="2">
        <v>95</v>
      </c>
      <c r="S445" s="2">
        <v>125</v>
      </c>
      <c r="T445" t="s">
        <v>1734</v>
      </c>
      <c r="U445" s="6">
        <v>15261</v>
      </c>
      <c r="V445" s="2">
        <v>47037010701</v>
      </c>
      <c r="W445" s="2" t="s">
        <v>837</v>
      </c>
      <c r="X445" s="1">
        <v>45658</v>
      </c>
      <c r="Y445" s="2">
        <v>5200</v>
      </c>
      <c r="Z445" s="2">
        <v>0</v>
      </c>
      <c r="AA445" s="2">
        <v>5200</v>
      </c>
    </row>
    <row r="446" spans="1:27" x14ac:dyDescent="0.3">
      <c r="A446" s="4" t="s">
        <v>1631</v>
      </c>
      <c r="B446" s="2" t="str">
        <f>"05205016600"</f>
        <v>05205016600</v>
      </c>
      <c r="C446" s="2" t="s">
        <v>1718</v>
      </c>
      <c r="D446" t="s">
        <v>866</v>
      </c>
      <c r="E446" s="2" t="s">
        <v>30</v>
      </c>
      <c r="F446" s="2">
        <v>37115</v>
      </c>
      <c r="G446" s="2" t="s">
        <v>64</v>
      </c>
      <c r="H446" t="s">
        <v>211</v>
      </c>
      <c r="I446" s="6">
        <v>39617</v>
      </c>
      <c r="J446" s="2" t="s">
        <v>1735</v>
      </c>
      <c r="K446" s="2" t="s">
        <v>34</v>
      </c>
      <c r="L446" t="s">
        <v>35</v>
      </c>
      <c r="M446" t="s">
        <v>29</v>
      </c>
      <c r="N446" t="s">
        <v>30</v>
      </c>
      <c r="O446">
        <v>37219</v>
      </c>
      <c r="P446" t="s">
        <v>1736</v>
      </c>
      <c r="Q446" s="2">
        <v>0.2</v>
      </c>
      <c r="R446" s="2">
        <v>50</v>
      </c>
      <c r="S446" s="2">
        <v>200</v>
      </c>
      <c r="T446" t="s">
        <v>1737</v>
      </c>
      <c r="U446" s="6">
        <v>26161</v>
      </c>
      <c r="V446" s="2">
        <v>47037010701</v>
      </c>
      <c r="W446" s="2" t="s">
        <v>837</v>
      </c>
      <c r="X446" s="1">
        <v>45658</v>
      </c>
      <c r="Y446" s="2">
        <v>18000</v>
      </c>
      <c r="Z446" s="2">
        <v>0</v>
      </c>
      <c r="AA446" s="2">
        <v>18000</v>
      </c>
    </row>
    <row r="447" spans="1:27" x14ac:dyDescent="0.3">
      <c r="A447" s="4" t="s">
        <v>1631</v>
      </c>
      <c r="B447" s="2" t="str">
        <f>"07211027800"</f>
        <v>07211027800</v>
      </c>
      <c r="C447" s="2" t="s">
        <v>1738</v>
      </c>
      <c r="D447" t="s">
        <v>29</v>
      </c>
      <c r="E447" s="2" t="s">
        <v>30</v>
      </c>
      <c r="F447" s="2">
        <v>37216</v>
      </c>
      <c r="G447" s="2" t="s">
        <v>64</v>
      </c>
      <c r="H447" t="s">
        <v>1739</v>
      </c>
      <c r="I447" s="6">
        <v>27108</v>
      </c>
      <c r="J447" s="2" t="s">
        <v>1740</v>
      </c>
      <c r="K447" s="2" t="s">
        <v>34</v>
      </c>
      <c r="L447" t="s">
        <v>35</v>
      </c>
      <c r="M447" t="s">
        <v>29</v>
      </c>
      <c r="N447" t="s">
        <v>30</v>
      </c>
      <c r="O447">
        <v>37219</v>
      </c>
      <c r="P447" t="s">
        <v>1741</v>
      </c>
      <c r="Q447" s="2">
        <v>0.16</v>
      </c>
      <c r="R447" s="2">
        <v>50</v>
      </c>
      <c r="S447" s="2">
        <v>150</v>
      </c>
      <c r="T447" t="s">
        <v>1740</v>
      </c>
      <c r="U447" s="6">
        <v>27108</v>
      </c>
      <c r="V447" s="2">
        <v>47037011400</v>
      </c>
      <c r="W447" s="2" t="s">
        <v>68</v>
      </c>
      <c r="X447" s="1">
        <v>45658</v>
      </c>
      <c r="Y447" s="2">
        <v>300000</v>
      </c>
      <c r="Z447" s="2">
        <v>0</v>
      </c>
      <c r="AA447" s="2">
        <v>300000</v>
      </c>
    </row>
    <row r="448" spans="1:27" x14ac:dyDescent="0.3">
      <c r="A448" s="4" t="s">
        <v>1631</v>
      </c>
      <c r="B448" s="2" t="str">
        <f>"07215006900"</f>
        <v>07215006900</v>
      </c>
      <c r="C448" s="2" t="s">
        <v>1738</v>
      </c>
      <c r="D448" t="s">
        <v>29</v>
      </c>
      <c r="E448" s="2" t="s">
        <v>30</v>
      </c>
      <c r="F448" s="2">
        <v>37216</v>
      </c>
      <c r="G448" s="2" t="s">
        <v>64</v>
      </c>
      <c r="H448" t="s">
        <v>1739</v>
      </c>
      <c r="I448" s="6">
        <v>27108</v>
      </c>
      <c r="J448" s="2" t="s">
        <v>1742</v>
      </c>
      <c r="K448" s="2" t="s">
        <v>34</v>
      </c>
      <c r="L448" t="s">
        <v>35</v>
      </c>
      <c r="M448" t="s">
        <v>29</v>
      </c>
      <c r="N448" t="s">
        <v>30</v>
      </c>
      <c r="O448">
        <v>37219</v>
      </c>
      <c r="P448" t="s">
        <v>1743</v>
      </c>
      <c r="Q448" s="2">
        <v>0.17</v>
      </c>
      <c r="R448" s="2">
        <v>50</v>
      </c>
      <c r="S448" s="2">
        <v>150</v>
      </c>
      <c r="T448" t="s">
        <v>1742</v>
      </c>
      <c r="U448" s="6">
        <v>27108</v>
      </c>
      <c r="V448" s="2">
        <v>47037011400</v>
      </c>
      <c r="W448" s="2" t="s">
        <v>68</v>
      </c>
      <c r="X448" s="1">
        <v>45658</v>
      </c>
      <c r="Y448" s="2">
        <v>300000</v>
      </c>
      <c r="Z448" s="2">
        <v>0</v>
      </c>
      <c r="AA448" s="2">
        <v>300000</v>
      </c>
    </row>
    <row r="449" spans="1:27" x14ac:dyDescent="0.3">
      <c r="A449" s="4" t="s">
        <v>1631</v>
      </c>
      <c r="B449" s="2" t="str">
        <f>"07215032400"</f>
        <v>07215032400</v>
      </c>
      <c r="C449" s="2" t="s">
        <v>1744</v>
      </c>
      <c r="D449" t="s">
        <v>29</v>
      </c>
      <c r="E449" s="2" t="s">
        <v>30</v>
      </c>
      <c r="F449" s="2">
        <v>37216</v>
      </c>
      <c r="G449" s="2" t="s">
        <v>200</v>
      </c>
      <c r="H449" t="s">
        <v>1739</v>
      </c>
      <c r="I449" s="6">
        <v>25262</v>
      </c>
      <c r="J449" s="2" t="s">
        <v>1745</v>
      </c>
      <c r="K449" s="2" t="s">
        <v>34</v>
      </c>
      <c r="L449" t="s">
        <v>35</v>
      </c>
      <c r="M449" t="s">
        <v>29</v>
      </c>
      <c r="N449" t="s">
        <v>30</v>
      </c>
      <c r="O449">
        <v>37219</v>
      </c>
      <c r="P449" t="s">
        <v>1746</v>
      </c>
      <c r="Q449" s="2">
        <v>18.38</v>
      </c>
      <c r="R449" s="2">
        <v>0</v>
      </c>
      <c r="S449" s="2">
        <v>0</v>
      </c>
      <c r="T449" t="s">
        <v>1745</v>
      </c>
      <c r="U449" s="6">
        <v>25262</v>
      </c>
      <c r="V449" s="2">
        <v>47037011400</v>
      </c>
      <c r="W449" s="2" t="s">
        <v>68</v>
      </c>
      <c r="X449" s="1">
        <v>45658</v>
      </c>
      <c r="Y449" s="2">
        <v>1799300</v>
      </c>
      <c r="Z449" s="2">
        <v>0</v>
      </c>
      <c r="AA449" s="2">
        <v>1799300</v>
      </c>
    </row>
    <row r="450" spans="1:27" x14ac:dyDescent="0.3">
      <c r="A450" s="4" t="s">
        <v>1631</v>
      </c>
      <c r="B450" s="2" t="str">
        <f>"07211034800"</f>
        <v>07211034800</v>
      </c>
      <c r="C450" s="2" t="s">
        <v>1747</v>
      </c>
      <c r="D450" t="s">
        <v>29</v>
      </c>
      <c r="E450" s="2" t="s">
        <v>30</v>
      </c>
      <c r="F450" s="2">
        <v>37216</v>
      </c>
      <c r="G450" s="2" t="s">
        <v>64</v>
      </c>
      <c r="H450" t="s">
        <v>1748</v>
      </c>
      <c r="I450" s="6">
        <v>27415</v>
      </c>
      <c r="J450" s="2" t="s">
        <v>1749</v>
      </c>
      <c r="K450" s="2">
        <v>514</v>
      </c>
      <c r="L450" t="s">
        <v>35</v>
      </c>
      <c r="M450" t="s">
        <v>29</v>
      </c>
      <c r="N450" t="s">
        <v>30</v>
      </c>
      <c r="O450">
        <v>37219</v>
      </c>
      <c r="P450" t="s">
        <v>1750</v>
      </c>
      <c r="Q450" s="2">
        <v>0.28000000000000003</v>
      </c>
      <c r="R450" s="2">
        <v>75</v>
      </c>
      <c r="S450" s="2">
        <v>158</v>
      </c>
      <c r="T450" t="s">
        <v>1751</v>
      </c>
      <c r="U450" s="6">
        <v>14220</v>
      </c>
      <c r="V450" s="2">
        <v>47037011400</v>
      </c>
      <c r="W450" s="2" t="s">
        <v>68</v>
      </c>
      <c r="X450" s="1">
        <v>45658</v>
      </c>
      <c r="Y450" s="2">
        <v>300000</v>
      </c>
      <c r="Z450" s="2">
        <v>0</v>
      </c>
      <c r="AA450" s="2">
        <v>300000</v>
      </c>
    </row>
    <row r="451" spans="1:27" x14ac:dyDescent="0.3">
      <c r="A451" s="4" t="s">
        <v>1631</v>
      </c>
      <c r="B451" s="2" t="str">
        <f>"06114020400"</f>
        <v>06114020400</v>
      </c>
      <c r="C451" s="2" t="s">
        <v>1752</v>
      </c>
      <c r="D451" t="s">
        <v>29</v>
      </c>
      <c r="E451" s="2" t="s">
        <v>30</v>
      </c>
      <c r="F451" s="2">
        <v>37216</v>
      </c>
      <c r="G451" s="2" t="s">
        <v>64</v>
      </c>
      <c r="H451" t="s">
        <v>237</v>
      </c>
      <c r="I451" s="6">
        <v>28438</v>
      </c>
      <c r="J451" s="2" t="s">
        <v>1753</v>
      </c>
      <c r="K451" s="2" t="s">
        <v>34</v>
      </c>
      <c r="L451" t="s">
        <v>35</v>
      </c>
      <c r="M451" t="s">
        <v>29</v>
      </c>
      <c r="N451" t="s">
        <v>30</v>
      </c>
      <c r="O451">
        <v>37219</v>
      </c>
      <c r="P451" t="s">
        <v>1754</v>
      </c>
      <c r="Q451" s="2">
        <v>0.03</v>
      </c>
      <c r="R451" s="2">
        <v>0</v>
      </c>
      <c r="S451" s="2">
        <v>76</v>
      </c>
      <c r="T451" t="s">
        <v>1753</v>
      </c>
      <c r="U451" s="6">
        <v>28438</v>
      </c>
      <c r="V451" s="2">
        <v>47037011200</v>
      </c>
      <c r="W451" s="2" t="s">
        <v>68</v>
      </c>
      <c r="X451" s="1">
        <v>45658</v>
      </c>
      <c r="Y451" s="2">
        <v>700</v>
      </c>
      <c r="Z451" s="2">
        <v>0</v>
      </c>
      <c r="AA451" s="2">
        <v>700</v>
      </c>
    </row>
    <row r="452" spans="1:27" x14ac:dyDescent="0.3">
      <c r="A452" s="4" t="s">
        <v>1631</v>
      </c>
      <c r="B452" s="2" t="str">
        <f>"06104002501"</f>
        <v>06104002501</v>
      </c>
      <c r="C452" s="2" t="s">
        <v>1755</v>
      </c>
      <c r="D452" t="s">
        <v>29</v>
      </c>
      <c r="E452" s="2" t="s">
        <v>30</v>
      </c>
      <c r="F452" s="2">
        <v>37216</v>
      </c>
      <c r="G452" s="2" t="s">
        <v>64</v>
      </c>
      <c r="H452" t="s">
        <v>237</v>
      </c>
      <c r="I452" s="6">
        <v>27116</v>
      </c>
      <c r="J452" s="2" t="s">
        <v>1756</v>
      </c>
      <c r="K452" s="2">
        <v>300</v>
      </c>
      <c r="L452" t="s">
        <v>35</v>
      </c>
      <c r="M452" t="s">
        <v>29</v>
      </c>
      <c r="N452" t="s">
        <v>30</v>
      </c>
      <c r="O452">
        <v>37219</v>
      </c>
      <c r="P452" t="s">
        <v>1757</v>
      </c>
      <c r="Q452" s="2">
        <v>0.12</v>
      </c>
      <c r="R452" s="2">
        <v>103</v>
      </c>
      <c r="S452" s="2">
        <v>88</v>
      </c>
      <c r="T452" t="s">
        <v>1758</v>
      </c>
      <c r="U452" s="6">
        <v>30851</v>
      </c>
      <c r="V452" s="2">
        <v>47037011100</v>
      </c>
      <c r="W452" s="2" t="s">
        <v>68</v>
      </c>
      <c r="X452" s="1">
        <v>45658</v>
      </c>
      <c r="Y452" s="2">
        <v>10000</v>
      </c>
      <c r="Z452" s="2">
        <v>0</v>
      </c>
      <c r="AA452" s="2">
        <v>10000</v>
      </c>
    </row>
    <row r="453" spans="1:27" x14ac:dyDescent="0.3">
      <c r="A453" s="4" t="s">
        <v>1631</v>
      </c>
      <c r="B453" s="2" t="str">
        <f>"07208005900"</f>
        <v>07208005900</v>
      </c>
      <c r="C453" s="2" t="s">
        <v>1759</v>
      </c>
      <c r="D453" t="s">
        <v>29</v>
      </c>
      <c r="E453" s="2" t="s">
        <v>30</v>
      </c>
      <c r="F453" s="2">
        <v>37216</v>
      </c>
      <c r="G453" s="2" t="s">
        <v>253</v>
      </c>
      <c r="H453" t="s">
        <v>1760</v>
      </c>
      <c r="I453" s="6">
        <v>20204</v>
      </c>
      <c r="J453" s="2" t="s">
        <v>1761</v>
      </c>
      <c r="K453" s="2" t="s">
        <v>34</v>
      </c>
      <c r="L453" t="s">
        <v>35</v>
      </c>
      <c r="M453" t="s">
        <v>29</v>
      </c>
      <c r="N453" t="s">
        <v>30</v>
      </c>
      <c r="O453">
        <v>37219</v>
      </c>
      <c r="P453" t="s">
        <v>1762</v>
      </c>
      <c r="Q453" s="2">
        <v>13.5</v>
      </c>
      <c r="R453" s="2">
        <v>0</v>
      </c>
      <c r="S453" s="2">
        <v>0</v>
      </c>
      <c r="T453" t="s">
        <v>1763</v>
      </c>
      <c r="U453" s="6">
        <v>36594</v>
      </c>
      <c r="V453" s="2">
        <v>47037011500</v>
      </c>
      <c r="W453" s="2" t="s">
        <v>68</v>
      </c>
      <c r="X453" s="1">
        <v>45658</v>
      </c>
      <c r="Y453" s="2">
        <v>1080000</v>
      </c>
      <c r="Z453" s="2">
        <v>0</v>
      </c>
      <c r="AA453" s="2">
        <v>1080000</v>
      </c>
    </row>
    <row r="454" spans="1:27" x14ac:dyDescent="0.3">
      <c r="A454" s="4" t="s">
        <v>1631</v>
      </c>
      <c r="B454" s="2" t="str">
        <f>"06116008300"</f>
        <v>06116008300</v>
      </c>
      <c r="C454" s="2" t="s">
        <v>1764</v>
      </c>
      <c r="D454" t="s">
        <v>29</v>
      </c>
      <c r="E454" s="2" t="s">
        <v>30</v>
      </c>
      <c r="F454" s="2">
        <v>37216</v>
      </c>
      <c r="G454" s="2" t="s">
        <v>253</v>
      </c>
      <c r="H454" t="s">
        <v>1765</v>
      </c>
      <c r="I454" s="6">
        <v>13041</v>
      </c>
      <c r="J454" s="2" t="s">
        <v>1766</v>
      </c>
      <c r="K454" s="2" t="s">
        <v>34</v>
      </c>
      <c r="L454" t="s">
        <v>35</v>
      </c>
      <c r="M454" t="s">
        <v>29</v>
      </c>
      <c r="N454" t="s">
        <v>30</v>
      </c>
      <c r="O454">
        <v>37219</v>
      </c>
      <c r="P454" t="s">
        <v>1767</v>
      </c>
      <c r="Q454" s="2">
        <v>5.8</v>
      </c>
      <c r="R454" s="2">
        <v>0</v>
      </c>
      <c r="S454" s="2">
        <v>0</v>
      </c>
      <c r="T454" t="s">
        <v>1766</v>
      </c>
      <c r="U454" s="6">
        <v>13041</v>
      </c>
      <c r="V454" s="2">
        <v>47037011100</v>
      </c>
      <c r="W454" s="2" t="s">
        <v>68</v>
      </c>
      <c r="X454" s="1">
        <v>45658</v>
      </c>
      <c r="Y454" s="2">
        <v>2388200</v>
      </c>
      <c r="Z454" s="2">
        <v>0</v>
      </c>
      <c r="AA454" s="2">
        <v>2388200</v>
      </c>
    </row>
    <row r="455" spans="1:27" x14ac:dyDescent="0.3">
      <c r="A455" s="4" t="s">
        <v>1631</v>
      </c>
      <c r="B455" s="2" t="str">
        <f>"06100000700"</f>
        <v>06100000700</v>
      </c>
      <c r="C455" s="2" t="s">
        <v>1768</v>
      </c>
      <c r="D455" t="s">
        <v>29</v>
      </c>
      <c r="E455" s="2" t="s">
        <v>30</v>
      </c>
      <c r="F455" s="2">
        <v>37216</v>
      </c>
      <c r="G455" s="2" t="s">
        <v>152</v>
      </c>
      <c r="H455" t="s">
        <v>1769</v>
      </c>
      <c r="I455" s="6">
        <v>27794</v>
      </c>
      <c r="J455" s="2" t="s">
        <v>1382</v>
      </c>
      <c r="K455" s="2" t="s">
        <v>34</v>
      </c>
      <c r="L455" t="s">
        <v>35</v>
      </c>
      <c r="M455" t="s">
        <v>29</v>
      </c>
      <c r="N455" t="s">
        <v>30</v>
      </c>
      <c r="O455">
        <v>37219</v>
      </c>
      <c r="P455" t="s">
        <v>1770</v>
      </c>
      <c r="Q455" s="2">
        <v>17.670000000000002</v>
      </c>
      <c r="R455" s="2">
        <v>0</v>
      </c>
      <c r="S455" s="2">
        <v>0</v>
      </c>
      <c r="T455" t="s">
        <v>198</v>
      </c>
      <c r="U455" s="6">
        <v>37235</v>
      </c>
      <c r="V455" s="2">
        <v>47037011002</v>
      </c>
      <c r="W455" s="2" t="s">
        <v>68</v>
      </c>
      <c r="X455" s="1">
        <v>45658</v>
      </c>
      <c r="Y455" s="2">
        <v>848200</v>
      </c>
      <c r="Z455" s="2">
        <v>0</v>
      </c>
      <c r="AA455" s="2">
        <v>848200</v>
      </c>
    </row>
    <row r="456" spans="1:27" x14ac:dyDescent="0.3">
      <c r="A456" s="4" t="s">
        <v>1631</v>
      </c>
      <c r="B456" s="2" t="str">
        <f>"07211042300"</f>
        <v>07211042300</v>
      </c>
      <c r="C456" s="2" t="s">
        <v>1771</v>
      </c>
      <c r="D456" t="s">
        <v>29</v>
      </c>
      <c r="E456" s="2" t="s">
        <v>30</v>
      </c>
      <c r="F456" s="2">
        <v>37216</v>
      </c>
      <c r="G456" s="2" t="s">
        <v>253</v>
      </c>
      <c r="H456" t="s">
        <v>1772</v>
      </c>
      <c r="I456" s="6">
        <v>10789</v>
      </c>
      <c r="J456" s="2" t="s">
        <v>1773</v>
      </c>
      <c r="K456" s="2" t="s">
        <v>34</v>
      </c>
      <c r="L456" t="s">
        <v>35</v>
      </c>
      <c r="M456" t="s">
        <v>29</v>
      </c>
      <c r="N456" t="s">
        <v>30</v>
      </c>
      <c r="O456">
        <v>37219</v>
      </c>
      <c r="P456" t="s">
        <v>1774</v>
      </c>
      <c r="Q456" s="2">
        <v>4.9400000000000004</v>
      </c>
      <c r="R456" s="2">
        <v>0</v>
      </c>
      <c r="S456" s="2">
        <v>0</v>
      </c>
      <c r="T456" t="s">
        <v>1773</v>
      </c>
      <c r="U456" s="6">
        <v>10789</v>
      </c>
      <c r="V456" s="2">
        <v>47037011400</v>
      </c>
      <c r="W456" s="2" t="s">
        <v>68</v>
      </c>
      <c r="X456" s="1">
        <v>45658</v>
      </c>
      <c r="Y456" s="2">
        <v>1279500</v>
      </c>
      <c r="Z456" s="2">
        <v>0</v>
      </c>
      <c r="AA456" s="2">
        <v>1279500</v>
      </c>
    </row>
    <row r="457" spans="1:27" x14ac:dyDescent="0.3">
      <c r="A457" s="4" t="s">
        <v>1631</v>
      </c>
      <c r="B457" s="2" t="str">
        <f>"06107027400"</f>
        <v>06107027400</v>
      </c>
      <c r="C457" s="2" t="s">
        <v>1775</v>
      </c>
      <c r="D457" t="s">
        <v>29</v>
      </c>
      <c r="E457" s="2" t="s">
        <v>30</v>
      </c>
      <c r="F457" s="2">
        <v>37216</v>
      </c>
      <c r="G457" s="2" t="s">
        <v>253</v>
      </c>
      <c r="H457" t="s">
        <v>1776</v>
      </c>
      <c r="I457" s="6">
        <v>11081</v>
      </c>
      <c r="J457" s="2" t="s">
        <v>1777</v>
      </c>
      <c r="K457" s="2" t="s">
        <v>34</v>
      </c>
      <c r="L457" t="s">
        <v>35</v>
      </c>
      <c r="M457" t="s">
        <v>29</v>
      </c>
      <c r="N457" t="s">
        <v>30</v>
      </c>
      <c r="O457">
        <v>37219</v>
      </c>
      <c r="P457" t="s">
        <v>1778</v>
      </c>
      <c r="Q457" s="2">
        <v>20.6</v>
      </c>
      <c r="R457" s="2">
        <v>0</v>
      </c>
      <c r="S457" s="2">
        <v>0</v>
      </c>
      <c r="T457" t="s">
        <v>278</v>
      </c>
      <c r="U457" s="6">
        <v>36581</v>
      </c>
      <c r="V457" s="2">
        <v>47037011100</v>
      </c>
      <c r="W457" s="2" t="s">
        <v>68</v>
      </c>
      <c r="X457" s="1">
        <v>45658</v>
      </c>
      <c r="Y457" s="2">
        <v>22433400</v>
      </c>
      <c r="Z457" s="2">
        <v>0</v>
      </c>
      <c r="AA457" s="2">
        <v>22433400</v>
      </c>
    </row>
    <row r="458" spans="1:27" x14ac:dyDescent="0.3">
      <c r="A458" s="4" t="s">
        <v>1631</v>
      </c>
      <c r="B458" s="2" t="str">
        <f>"07202010400"</f>
        <v>07202010400</v>
      </c>
      <c r="C458" s="2" t="s">
        <v>1779</v>
      </c>
      <c r="D458" t="s">
        <v>29</v>
      </c>
      <c r="E458" s="2" t="s">
        <v>30</v>
      </c>
      <c r="F458" s="2">
        <v>37216</v>
      </c>
      <c r="G458" s="2" t="s">
        <v>253</v>
      </c>
      <c r="H458" t="s">
        <v>1780</v>
      </c>
      <c r="I458" s="6">
        <v>8344</v>
      </c>
      <c r="J458" s="2" t="s">
        <v>1781</v>
      </c>
      <c r="K458" s="2" t="s">
        <v>34</v>
      </c>
      <c r="L458" t="s">
        <v>35</v>
      </c>
      <c r="M458" t="s">
        <v>29</v>
      </c>
      <c r="N458" t="s">
        <v>30</v>
      </c>
      <c r="O458">
        <v>37219</v>
      </c>
      <c r="P458" t="s">
        <v>1782</v>
      </c>
      <c r="Q458" s="2">
        <v>3.41</v>
      </c>
      <c r="R458" s="2">
        <v>0</v>
      </c>
      <c r="S458" s="2">
        <v>0</v>
      </c>
      <c r="T458" t="s">
        <v>1781</v>
      </c>
      <c r="U458" s="6">
        <v>8344</v>
      </c>
      <c r="V458" s="2">
        <v>47037011200</v>
      </c>
      <c r="W458" s="2" t="s">
        <v>68</v>
      </c>
      <c r="X458" s="1">
        <v>45658</v>
      </c>
      <c r="Y458" s="2">
        <v>5513300</v>
      </c>
      <c r="Z458" s="2">
        <v>0</v>
      </c>
      <c r="AA458" s="2">
        <v>5513300</v>
      </c>
    </row>
    <row r="459" spans="1:27" x14ac:dyDescent="0.3">
      <c r="A459" s="4" t="s">
        <v>1631</v>
      </c>
      <c r="B459" s="2" t="str">
        <f>"07212024300"</f>
        <v>07212024300</v>
      </c>
      <c r="C459" s="2" t="s">
        <v>1783</v>
      </c>
      <c r="D459" t="s">
        <v>29</v>
      </c>
      <c r="E459" s="2" t="s">
        <v>30</v>
      </c>
      <c r="F459" s="2">
        <v>37216</v>
      </c>
      <c r="G459" s="2" t="s">
        <v>253</v>
      </c>
      <c r="H459" t="s">
        <v>1784</v>
      </c>
      <c r="I459" s="6">
        <v>21782</v>
      </c>
      <c r="J459" s="2" t="s">
        <v>1785</v>
      </c>
      <c r="K459" s="2" t="s">
        <v>34</v>
      </c>
      <c r="L459" t="s">
        <v>35</v>
      </c>
      <c r="M459" t="s">
        <v>29</v>
      </c>
      <c r="N459" t="s">
        <v>30</v>
      </c>
      <c r="O459">
        <v>37219</v>
      </c>
      <c r="P459" t="s">
        <v>1786</v>
      </c>
      <c r="Q459" s="2">
        <v>29.23</v>
      </c>
      <c r="R459" s="2">
        <v>0</v>
      </c>
      <c r="S459" s="2">
        <v>0</v>
      </c>
      <c r="T459" t="s">
        <v>1785</v>
      </c>
      <c r="U459" s="6">
        <v>21782</v>
      </c>
      <c r="V459" s="2">
        <v>47037011500</v>
      </c>
      <c r="W459" s="2" t="s">
        <v>68</v>
      </c>
      <c r="X459" s="1">
        <v>45658</v>
      </c>
      <c r="Y459" s="2">
        <v>2338400</v>
      </c>
      <c r="Z459" s="2">
        <v>0</v>
      </c>
      <c r="AA459" s="2">
        <v>2338400</v>
      </c>
    </row>
    <row r="460" spans="1:27" x14ac:dyDescent="0.3">
      <c r="A460" s="4" t="s">
        <v>1631</v>
      </c>
      <c r="B460" s="2" t="str">
        <f>"05201028800"</f>
        <v>05201028800</v>
      </c>
      <c r="C460" s="2" t="s">
        <v>1787</v>
      </c>
      <c r="D460" t="s">
        <v>866</v>
      </c>
      <c r="E460" s="2" t="s">
        <v>30</v>
      </c>
      <c r="F460" s="2">
        <v>37115</v>
      </c>
      <c r="G460" s="2" t="s">
        <v>64</v>
      </c>
      <c r="H460" t="s">
        <v>280</v>
      </c>
      <c r="I460" s="6">
        <v>41410</v>
      </c>
      <c r="J460" s="2" t="s">
        <v>1788</v>
      </c>
      <c r="K460" s="2" t="s">
        <v>34</v>
      </c>
      <c r="L460" t="s">
        <v>35</v>
      </c>
      <c r="M460" t="s">
        <v>29</v>
      </c>
      <c r="N460" t="s">
        <v>30</v>
      </c>
      <c r="O460">
        <v>37219</v>
      </c>
      <c r="P460" t="s">
        <v>1789</v>
      </c>
      <c r="Q460" s="2">
        <v>0.44</v>
      </c>
      <c r="R460" s="2">
        <v>100</v>
      </c>
      <c r="S460" s="2">
        <v>200</v>
      </c>
      <c r="T460" t="s">
        <v>1790</v>
      </c>
      <c r="U460" s="6">
        <v>26256</v>
      </c>
      <c r="V460" s="2">
        <v>47037010701</v>
      </c>
      <c r="W460" s="2" t="s">
        <v>837</v>
      </c>
      <c r="X460" s="1">
        <v>45658</v>
      </c>
      <c r="Y460" s="2">
        <v>11700</v>
      </c>
      <c r="Z460" s="2">
        <v>0</v>
      </c>
      <c r="AA460" s="2">
        <v>11700</v>
      </c>
    </row>
    <row r="461" spans="1:27" x14ac:dyDescent="0.3">
      <c r="A461" s="4" t="s">
        <v>1631</v>
      </c>
      <c r="B461" s="2" t="str">
        <f>"05201026800"</f>
        <v>05201026800</v>
      </c>
      <c r="C461" s="2" t="s">
        <v>1791</v>
      </c>
      <c r="D461" t="s">
        <v>866</v>
      </c>
      <c r="E461" s="2" t="s">
        <v>30</v>
      </c>
      <c r="F461" s="2">
        <v>37115</v>
      </c>
      <c r="G461" s="2" t="s">
        <v>64</v>
      </c>
      <c r="H461" t="s">
        <v>280</v>
      </c>
      <c r="I461" s="6">
        <v>42536</v>
      </c>
      <c r="J461" s="2" t="s">
        <v>1792</v>
      </c>
      <c r="K461" s="2">
        <v>0</v>
      </c>
      <c r="L461" t="s">
        <v>343</v>
      </c>
      <c r="M461" t="s">
        <v>29</v>
      </c>
      <c r="N461" t="s">
        <v>30</v>
      </c>
      <c r="O461">
        <v>37201</v>
      </c>
      <c r="P461" t="s">
        <v>1793</v>
      </c>
      <c r="Q461" s="2">
        <v>0.16</v>
      </c>
      <c r="R461" s="2">
        <v>50</v>
      </c>
      <c r="S461" s="2">
        <v>145</v>
      </c>
      <c r="T461" t="s">
        <v>1794</v>
      </c>
      <c r="U461" s="6">
        <v>27058</v>
      </c>
      <c r="V461" s="2">
        <v>47037010701</v>
      </c>
      <c r="W461" s="2" t="s">
        <v>837</v>
      </c>
      <c r="X461" s="1">
        <v>45658</v>
      </c>
      <c r="Y461" s="2">
        <v>9000</v>
      </c>
      <c r="Z461" s="2">
        <v>0</v>
      </c>
      <c r="AA461" s="2">
        <v>9000</v>
      </c>
    </row>
    <row r="462" spans="1:27" x14ac:dyDescent="0.3">
      <c r="A462" s="4" t="s">
        <v>1631</v>
      </c>
      <c r="B462" s="2" t="str">
        <f>"05201026900"</f>
        <v>05201026900</v>
      </c>
      <c r="C462" s="2" t="s">
        <v>1791</v>
      </c>
      <c r="D462" t="s">
        <v>866</v>
      </c>
      <c r="E462" s="2" t="s">
        <v>30</v>
      </c>
      <c r="F462" s="2">
        <v>37115</v>
      </c>
      <c r="G462" s="2" t="s">
        <v>64</v>
      </c>
      <c r="H462" t="s">
        <v>280</v>
      </c>
      <c r="I462" s="6">
        <v>42536</v>
      </c>
      <c r="J462" s="2" t="s">
        <v>1792</v>
      </c>
      <c r="K462" s="2">
        <v>0</v>
      </c>
      <c r="L462" t="s">
        <v>343</v>
      </c>
      <c r="M462" t="s">
        <v>29</v>
      </c>
      <c r="N462" t="s">
        <v>30</v>
      </c>
      <c r="O462">
        <v>37201</v>
      </c>
      <c r="P462" t="s">
        <v>1795</v>
      </c>
      <c r="Q462" s="2">
        <v>0.16</v>
      </c>
      <c r="R462" s="2">
        <v>50</v>
      </c>
      <c r="S462" s="2">
        <v>145</v>
      </c>
      <c r="T462" t="s">
        <v>1794</v>
      </c>
      <c r="U462" s="6">
        <v>27058</v>
      </c>
      <c r="V462" s="2">
        <v>47037010701</v>
      </c>
      <c r="W462" s="2" t="s">
        <v>837</v>
      </c>
      <c r="X462" s="1">
        <v>45658</v>
      </c>
      <c r="Y462" s="2">
        <v>9000</v>
      </c>
      <c r="Z462" s="2">
        <v>0</v>
      </c>
      <c r="AA462" s="2">
        <v>9000</v>
      </c>
    </row>
    <row r="463" spans="1:27" x14ac:dyDescent="0.3">
      <c r="A463" s="4" t="s">
        <v>1631</v>
      </c>
      <c r="B463" s="2" t="str">
        <f>"05201028600"</f>
        <v>05201028600</v>
      </c>
      <c r="C463" s="2" t="s">
        <v>1796</v>
      </c>
      <c r="D463" t="s">
        <v>866</v>
      </c>
      <c r="E463" s="2" t="s">
        <v>30</v>
      </c>
      <c r="F463" s="2">
        <v>37115</v>
      </c>
      <c r="G463" s="2" t="s">
        <v>64</v>
      </c>
      <c r="H463" t="s">
        <v>280</v>
      </c>
      <c r="I463" s="6">
        <v>41402</v>
      </c>
      <c r="J463" s="2" t="s">
        <v>1797</v>
      </c>
      <c r="K463" s="2">
        <v>0</v>
      </c>
      <c r="L463" t="s">
        <v>35</v>
      </c>
      <c r="M463" t="s">
        <v>29</v>
      </c>
      <c r="N463" t="s">
        <v>30</v>
      </c>
      <c r="O463">
        <v>37219</v>
      </c>
      <c r="P463" t="s">
        <v>1798</v>
      </c>
      <c r="Q463" s="2">
        <v>0.67</v>
      </c>
      <c r="R463" s="2">
        <v>150</v>
      </c>
      <c r="S463" s="2">
        <v>200</v>
      </c>
      <c r="T463" t="s">
        <v>1799</v>
      </c>
      <c r="U463" s="6">
        <v>26368</v>
      </c>
      <c r="V463" s="2">
        <v>47037010701</v>
      </c>
      <c r="W463" s="2" t="s">
        <v>837</v>
      </c>
      <c r="X463" s="1">
        <v>45658</v>
      </c>
      <c r="Y463" s="2">
        <v>12600</v>
      </c>
      <c r="Z463" s="2">
        <v>0</v>
      </c>
      <c r="AA463" s="2">
        <v>12600</v>
      </c>
    </row>
    <row r="464" spans="1:27" x14ac:dyDescent="0.3">
      <c r="A464" s="4" t="s">
        <v>1631</v>
      </c>
      <c r="B464" s="2" t="str">
        <f>"05201028500"</f>
        <v>05201028500</v>
      </c>
      <c r="C464" s="2" t="s">
        <v>1800</v>
      </c>
      <c r="D464" t="s">
        <v>866</v>
      </c>
      <c r="E464" s="2" t="s">
        <v>30</v>
      </c>
      <c r="F464" s="2">
        <v>37115</v>
      </c>
      <c r="G464" s="2" t="s">
        <v>64</v>
      </c>
      <c r="H464" t="s">
        <v>280</v>
      </c>
      <c r="I464" s="6">
        <v>41378</v>
      </c>
      <c r="J464" s="2" t="s">
        <v>1801</v>
      </c>
      <c r="K464" s="2">
        <v>0</v>
      </c>
      <c r="L464" t="s">
        <v>35</v>
      </c>
      <c r="M464" t="s">
        <v>29</v>
      </c>
      <c r="N464" t="s">
        <v>30</v>
      </c>
      <c r="O464">
        <v>37219</v>
      </c>
      <c r="P464" t="s">
        <v>1802</v>
      </c>
      <c r="Q464" s="2">
        <v>0.23</v>
      </c>
      <c r="R464" s="2">
        <v>50</v>
      </c>
      <c r="S464" s="2">
        <v>200</v>
      </c>
      <c r="T464" t="s">
        <v>1803</v>
      </c>
      <c r="U464" s="6">
        <v>26501</v>
      </c>
      <c r="V464" s="2">
        <v>47037010701</v>
      </c>
      <c r="W464" s="2" t="s">
        <v>837</v>
      </c>
      <c r="X464" s="1">
        <v>45658</v>
      </c>
      <c r="Y464" s="2">
        <v>10400</v>
      </c>
      <c r="Z464" s="2">
        <v>0</v>
      </c>
      <c r="AA464" s="2">
        <v>10400</v>
      </c>
    </row>
    <row r="465" spans="1:27" x14ac:dyDescent="0.3">
      <c r="A465" s="4" t="s">
        <v>1631</v>
      </c>
      <c r="B465" s="2" t="str">
        <f>"05201028300"</f>
        <v>05201028300</v>
      </c>
      <c r="C465" s="2" t="s">
        <v>1804</v>
      </c>
      <c r="D465" t="s">
        <v>866</v>
      </c>
      <c r="E465" s="2" t="s">
        <v>30</v>
      </c>
      <c r="F465" s="2">
        <v>37115</v>
      </c>
      <c r="G465" s="2" t="s">
        <v>64</v>
      </c>
      <c r="H465" t="s">
        <v>280</v>
      </c>
      <c r="I465" s="6">
        <v>41410</v>
      </c>
      <c r="J465" s="2" t="s">
        <v>1805</v>
      </c>
      <c r="K465" s="2" t="s">
        <v>34</v>
      </c>
      <c r="L465" t="s">
        <v>35</v>
      </c>
      <c r="M465" t="s">
        <v>29</v>
      </c>
      <c r="N465" t="s">
        <v>30</v>
      </c>
      <c r="O465">
        <v>37219</v>
      </c>
      <c r="P465" t="s">
        <v>1806</v>
      </c>
      <c r="Q465" s="2">
        <v>0.24</v>
      </c>
      <c r="R465" s="2">
        <v>50</v>
      </c>
      <c r="S465" s="2">
        <v>200</v>
      </c>
      <c r="T465" t="s">
        <v>1807</v>
      </c>
      <c r="U465" s="6">
        <v>23881</v>
      </c>
      <c r="V465" s="2">
        <v>47037010701</v>
      </c>
      <c r="W465" s="2" t="s">
        <v>837</v>
      </c>
      <c r="X465" s="1">
        <v>45658</v>
      </c>
      <c r="Y465" s="2">
        <v>103500</v>
      </c>
      <c r="Z465" s="2">
        <v>0</v>
      </c>
      <c r="AA465" s="2">
        <v>103500</v>
      </c>
    </row>
    <row r="466" spans="1:27" x14ac:dyDescent="0.3">
      <c r="A466" s="4" t="s">
        <v>1631</v>
      </c>
      <c r="B466" s="2" t="str">
        <f>"05205018100"</f>
        <v>05205018100</v>
      </c>
      <c r="C466" s="2" t="s">
        <v>1808</v>
      </c>
      <c r="D466" t="s">
        <v>866</v>
      </c>
      <c r="E466" s="2" t="s">
        <v>30</v>
      </c>
      <c r="F466" s="2">
        <v>37115</v>
      </c>
      <c r="G466" s="2" t="s">
        <v>64</v>
      </c>
      <c r="H466" t="s">
        <v>280</v>
      </c>
      <c r="I466" s="6">
        <v>41395</v>
      </c>
      <c r="J466" s="2" t="s">
        <v>1809</v>
      </c>
      <c r="K466" s="2" t="s">
        <v>34</v>
      </c>
      <c r="L466" t="s">
        <v>35</v>
      </c>
      <c r="M466" t="s">
        <v>29</v>
      </c>
      <c r="N466" t="s">
        <v>30</v>
      </c>
      <c r="O466">
        <v>37219</v>
      </c>
      <c r="P466" t="s">
        <v>1810</v>
      </c>
      <c r="Q466" s="2">
        <v>0.23</v>
      </c>
      <c r="R466" s="2">
        <v>56</v>
      </c>
      <c r="S466" s="2">
        <v>204</v>
      </c>
      <c r="T466" t="s">
        <v>1811</v>
      </c>
      <c r="U466" s="6">
        <v>22730</v>
      </c>
      <c r="V466" s="2">
        <v>47037010701</v>
      </c>
      <c r="W466" s="2" t="s">
        <v>837</v>
      </c>
      <c r="X466" s="1">
        <v>45658</v>
      </c>
      <c r="Y466" s="2">
        <v>103500</v>
      </c>
      <c r="Z466" s="2">
        <v>0</v>
      </c>
      <c r="AA466" s="2">
        <v>103500</v>
      </c>
    </row>
    <row r="467" spans="1:27" x14ac:dyDescent="0.3">
      <c r="A467" s="4" t="s">
        <v>1631</v>
      </c>
      <c r="B467" s="2" t="str">
        <f>"05205018000"</f>
        <v>05205018000</v>
      </c>
      <c r="C467" s="2" t="s">
        <v>1812</v>
      </c>
      <c r="D467" t="s">
        <v>866</v>
      </c>
      <c r="E467" s="2" t="s">
        <v>30</v>
      </c>
      <c r="F467" s="2">
        <v>37115</v>
      </c>
      <c r="G467" s="2" t="s">
        <v>64</v>
      </c>
      <c r="H467" t="s">
        <v>280</v>
      </c>
      <c r="I467" s="6">
        <v>41338</v>
      </c>
      <c r="J467" s="2" t="s">
        <v>1813</v>
      </c>
      <c r="K467" s="2">
        <v>0</v>
      </c>
      <c r="L467" t="s">
        <v>35</v>
      </c>
      <c r="M467" t="s">
        <v>29</v>
      </c>
      <c r="N467" t="s">
        <v>30</v>
      </c>
      <c r="O467">
        <v>37219</v>
      </c>
      <c r="P467" t="s">
        <v>1814</v>
      </c>
      <c r="Q467" s="2">
        <v>0.28999999999999998</v>
      </c>
      <c r="R467" s="2">
        <v>56</v>
      </c>
      <c r="S467" s="2">
        <v>254</v>
      </c>
      <c r="T467" t="s">
        <v>1815</v>
      </c>
      <c r="U467" s="6">
        <v>22571</v>
      </c>
      <c r="V467" s="2">
        <v>47037010701</v>
      </c>
      <c r="W467" s="2" t="s">
        <v>837</v>
      </c>
      <c r="X467" s="1">
        <v>45658</v>
      </c>
      <c r="Y467" s="2">
        <v>103500</v>
      </c>
      <c r="Z467" s="2">
        <v>0</v>
      </c>
      <c r="AA467" s="2">
        <v>103500</v>
      </c>
    </row>
    <row r="468" spans="1:27" x14ac:dyDescent="0.3">
      <c r="A468" s="4" t="s">
        <v>1631</v>
      </c>
      <c r="B468" s="2" t="str">
        <f>"05108007200"</f>
        <v>05108007200</v>
      </c>
      <c r="C468" s="2" t="s">
        <v>1816</v>
      </c>
      <c r="D468" t="s">
        <v>866</v>
      </c>
      <c r="E468" s="2" t="s">
        <v>30</v>
      </c>
      <c r="F468" s="2">
        <v>37115</v>
      </c>
      <c r="G468" s="2" t="s">
        <v>64</v>
      </c>
      <c r="H468" t="s">
        <v>280</v>
      </c>
      <c r="I468" s="6">
        <v>40956</v>
      </c>
      <c r="J468" s="2" t="s">
        <v>1817</v>
      </c>
      <c r="K468" s="2">
        <v>0</v>
      </c>
      <c r="L468" t="s">
        <v>35</v>
      </c>
      <c r="M468" t="s">
        <v>29</v>
      </c>
      <c r="N468" t="s">
        <v>30</v>
      </c>
      <c r="O468">
        <v>37219</v>
      </c>
      <c r="P468" t="s">
        <v>1818</v>
      </c>
      <c r="Q468" s="2">
        <v>0.28999999999999998</v>
      </c>
      <c r="R468" s="2">
        <v>60</v>
      </c>
      <c r="S468" s="2">
        <v>201</v>
      </c>
      <c r="T468" t="s">
        <v>1819</v>
      </c>
      <c r="U468" s="6">
        <v>11010</v>
      </c>
      <c r="V468" s="2">
        <v>47037010701</v>
      </c>
      <c r="W468" s="2" t="s">
        <v>837</v>
      </c>
      <c r="X468" s="1">
        <v>45658</v>
      </c>
      <c r="Y468" s="2">
        <v>103500</v>
      </c>
      <c r="Z468" s="2">
        <v>0</v>
      </c>
      <c r="AA468" s="2">
        <v>103500</v>
      </c>
    </row>
    <row r="469" spans="1:27" x14ac:dyDescent="0.3">
      <c r="A469" s="4" t="s">
        <v>1631</v>
      </c>
      <c r="B469" s="2" t="str">
        <f>"05205006100"</f>
        <v>05205006100</v>
      </c>
      <c r="C469" s="2" t="s">
        <v>1820</v>
      </c>
      <c r="D469" t="s">
        <v>866</v>
      </c>
      <c r="E469" s="2" t="s">
        <v>30</v>
      </c>
      <c r="F469" s="2">
        <v>37115</v>
      </c>
      <c r="G469" s="2" t="s">
        <v>64</v>
      </c>
      <c r="H469" t="s">
        <v>280</v>
      </c>
      <c r="I469" s="6">
        <v>41142</v>
      </c>
      <c r="J469" s="2" t="s">
        <v>1821</v>
      </c>
      <c r="K469" s="2">
        <v>48000</v>
      </c>
      <c r="L469" t="s">
        <v>35</v>
      </c>
      <c r="M469" t="s">
        <v>29</v>
      </c>
      <c r="N469" t="s">
        <v>30</v>
      </c>
      <c r="O469">
        <v>37219</v>
      </c>
      <c r="P469" t="s">
        <v>1822</v>
      </c>
      <c r="Q469" s="2">
        <v>0.31</v>
      </c>
      <c r="R469" s="2">
        <v>60</v>
      </c>
      <c r="S469" s="2">
        <v>224</v>
      </c>
      <c r="T469" t="s">
        <v>1823</v>
      </c>
      <c r="U469" s="6">
        <v>26653</v>
      </c>
      <c r="V469" s="2">
        <v>47037010701</v>
      </c>
      <c r="W469" s="2" t="s">
        <v>837</v>
      </c>
      <c r="X469" s="1">
        <v>45658</v>
      </c>
      <c r="Y469" s="2">
        <v>103500</v>
      </c>
      <c r="Z469" s="2">
        <v>0</v>
      </c>
      <c r="AA469" s="2">
        <v>103500</v>
      </c>
    </row>
    <row r="470" spans="1:27" x14ac:dyDescent="0.3">
      <c r="A470" s="4" t="s">
        <v>1631</v>
      </c>
      <c r="B470" s="2" t="str">
        <f>"05205012800"</f>
        <v>05205012800</v>
      </c>
      <c r="C470" s="2" t="s">
        <v>1824</v>
      </c>
      <c r="D470" t="s">
        <v>866</v>
      </c>
      <c r="E470" s="2" t="s">
        <v>30</v>
      </c>
      <c r="F470" s="2">
        <v>37115</v>
      </c>
      <c r="G470" s="2" t="s">
        <v>64</v>
      </c>
      <c r="H470" t="s">
        <v>280</v>
      </c>
      <c r="I470" s="6">
        <v>41334</v>
      </c>
      <c r="J470" s="2" t="s">
        <v>1825</v>
      </c>
      <c r="K470" s="2">
        <v>0</v>
      </c>
      <c r="L470" t="s">
        <v>35</v>
      </c>
      <c r="M470" t="s">
        <v>29</v>
      </c>
      <c r="N470" t="s">
        <v>30</v>
      </c>
      <c r="O470">
        <v>37219</v>
      </c>
      <c r="P470" t="s">
        <v>1826</v>
      </c>
      <c r="Q470" s="2">
        <v>0.11</v>
      </c>
      <c r="R470" s="2">
        <v>50</v>
      </c>
      <c r="S470" s="2">
        <v>100</v>
      </c>
      <c r="T470" t="s">
        <v>1827</v>
      </c>
      <c r="U470" s="6">
        <v>14490</v>
      </c>
      <c r="V470" s="2">
        <v>47037010701</v>
      </c>
      <c r="W470" s="2" t="s">
        <v>837</v>
      </c>
      <c r="X470" s="1">
        <v>45658</v>
      </c>
      <c r="Y470" s="2">
        <v>90000</v>
      </c>
      <c r="Z470" s="2">
        <v>0</v>
      </c>
      <c r="AA470" s="2">
        <v>90000</v>
      </c>
    </row>
    <row r="471" spans="1:27" x14ac:dyDescent="0.3">
      <c r="A471" s="4" t="s">
        <v>1631</v>
      </c>
      <c r="B471" s="2" t="str">
        <f>"05205012900"</f>
        <v>05205012900</v>
      </c>
      <c r="C471" s="2" t="s">
        <v>1828</v>
      </c>
      <c r="D471" t="s">
        <v>866</v>
      </c>
      <c r="E471" s="2" t="s">
        <v>30</v>
      </c>
      <c r="F471" s="2">
        <v>37115</v>
      </c>
      <c r="G471" s="2" t="s">
        <v>64</v>
      </c>
      <c r="H471" t="s">
        <v>280</v>
      </c>
      <c r="I471" s="6">
        <v>41334</v>
      </c>
      <c r="J471" s="2" t="s">
        <v>1825</v>
      </c>
      <c r="K471" s="2">
        <v>0</v>
      </c>
      <c r="L471" t="s">
        <v>35</v>
      </c>
      <c r="M471" t="s">
        <v>29</v>
      </c>
      <c r="N471" t="s">
        <v>30</v>
      </c>
      <c r="O471">
        <v>37219</v>
      </c>
      <c r="P471" t="s">
        <v>1829</v>
      </c>
      <c r="Q471" s="2">
        <v>0.11</v>
      </c>
      <c r="R471" s="2">
        <v>50</v>
      </c>
      <c r="S471" s="2">
        <v>100</v>
      </c>
      <c r="T471" t="s">
        <v>1830</v>
      </c>
      <c r="U471" s="6">
        <v>14461</v>
      </c>
      <c r="V471" s="2">
        <v>47037010701</v>
      </c>
      <c r="W471" s="2" t="s">
        <v>837</v>
      </c>
      <c r="X471" s="1">
        <v>45658</v>
      </c>
      <c r="Y471" s="2">
        <v>90000</v>
      </c>
      <c r="Z471" s="2">
        <v>0</v>
      </c>
      <c r="AA471" s="2">
        <v>90000</v>
      </c>
    </row>
    <row r="472" spans="1:27" x14ac:dyDescent="0.3">
      <c r="A472" s="4" t="s">
        <v>1631</v>
      </c>
      <c r="B472" s="2" t="str">
        <f>"05205012400"</f>
        <v>05205012400</v>
      </c>
      <c r="C472" s="2" t="s">
        <v>1831</v>
      </c>
      <c r="D472" t="s">
        <v>866</v>
      </c>
      <c r="E472" s="2" t="s">
        <v>30</v>
      </c>
      <c r="F472" s="2">
        <v>37115</v>
      </c>
      <c r="G472" s="2" t="s">
        <v>64</v>
      </c>
      <c r="H472" t="s">
        <v>280</v>
      </c>
      <c r="I472" s="6">
        <v>41345</v>
      </c>
      <c r="J472" s="2" t="s">
        <v>1832</v>
      </c>
      <c r="K472" s="2">
        <v>0</v>
      </c>
      <c r="L472" t="s">
        <v>35</v>
      </c>
      <c r="M472" t="s">
        <v>29</v>
      </c>
      <c r="N472" t="s">
        <v>30</v>
      </c>
      <c r="O472">
        <v>37219</v>
      </c>
      <c r="P472" t="s">
        <v>1833</v>
      </c>
      <c r="Q472" s="2">
        <v>0.14000000000000001</v>
      </c>
      <c r="R472" s="2">
        <v>50</v>
      </c>
      <c r="S472" s="2">
        <v>129</v>
      </c>
      <c r="T472" t="s">
        <v>1834</v>
      </c>
      <c r="U472" s="6">
        <v>17625</v>
      </c>
      <c r="V472" s="2">
        <v>47037010701</v>
      </c>
      <c r="W472" s="2" t="s">
        <v>837</v>
      </c>
      <c r="X472" s="1">
        <v>45658</v>
      </c>
      <c r="Y472" s="2">
        <v>90000</v>
      </c>
      <c r="Z472" s="2">
        <v>0</v>
      </c>
      <c r="AA472" s="2">
        <v>90000</v>
      </c>
    </row>
    <row r="473" spans="1:27" x14ac:dyDescent="0.3">
      <c r="A473" s="4" t="s">
        <v>1631</v>
      </c>
      <c r="B473" s="2" t="str">
        <f>"05205014000"</f>
        <v>05205014000</v>
      </c>
      <c r="C473" s="2" t="s">
        <v>1835</v>
      </c>
      <c r="D473" t="s">
        <v>866</v>
      </c>
      <c r="E473" s="2" t="s">
        <v>30</v>
      </c>
      <c r="F473" s="2">
        <v>37115</v>
      </c>
      <c r="G473" s="2" t="s">
        <v>64</v>
      </c>
      <c r="H473" t="s">
        <v>280</v>
      </c>
      <c r="I473" s="6">
        <v>41402</v>
      </c>
      <c r="J473" s="2" t="s">
        <v>1836</v>
      </c>
      <c r="K473" s="2">
        <v>0</v>
      </c>
      <c r="L473" t="s">
        <v>35</v>
      </c>
      <c r="M473" t="s">
        <v>29</v>
      </c>
      <c r="N473" t="s">
        <v>30</v>
      </c>
      <c r="O473">
        <v>37219</v>
      </c>
      <c r="P473" t="s">
        <v>1837</v>
      </c>
      <c r="Q473" s="2">
        <v>0.13</v>
      </c>
      <c r="R473" s="2">
        <v>50</v>
      </c>
      <c r="S473" s="2">
        <v>110</v>
      </c>
      <c r="T473" t="s">
        <v>1838</v>
      </c>
      <c r="U473" s="6">
        <v>26789</v>
      </c>
      <c r="V473" s="2">
        <v>47037010701</v>
      </c>
      <c r="W473" s="2" t="s">
        <v>837</v>
      </c>
      <c r="X473" s="1">
        <v>45658</v>
      </c>
      <c r="Y473" s="2">
        <v>90000</v>
      </c>
      <c r="Z473" s="2">
        <v>0</v>
      </c>
      <c r="AA473" s="2">
        <v>90000</v>
      </c>
    </row>
    <row r="474" spans="1:27" x14ac:dyDescent="0.3">
      <c r="A474" s="4" t="s">
        <v>1631</v>
      </c>
      <c r="B474" s="2" t="str">
        <f>"05205013900"</f>
        <v>05205013900</v>
      </c>
      <c r="C474" s="2" t="s">
        <v>1839</v>
      </c>
      <c r="D474" t="s">
        <v>866</v>
      </c>
      <c r="E474" s="2" t="s">
        <v>30</v>
      </c>
      <c r="F474" s="2">
        <v>37115</v>
      </c>
      <c r="G474" s="2" t="s">
        <v>64</v>
      </c>
      <c r="H474" t="s">
        <v>280</v>
      </c>
      <c r="I474" s="6">
        <v>41393</v>
      </c>
      <c r="J474" s="2" t="s">
        <v>1840</v>
      </c>
      <c r="K474" s="2" t="s">
        <v>34</v>
      </c>
      <c r="L474" t="s">
        <v>35</v>
      </c>
      <c r="M474" t="s">
        <v>29</v>
      </c>
      <c r="N474" t="s">
        <v>30</v>
      </c>
      <c r="O474">
        <v>37219</v>
      </c>
      <c r="P474" t="s">
        <v>1841</v>
      </c>
      <c r="Q474" s="2">
        <v>0.13</v>
      </c>
      <c r="R474" s="2">
        <v>50</v>
      </c>
      <c r="S474" s="2">
        <v>110</v>
      </c>
      <c r="T474" t="s">
        <v>1842</v>
      </c>
      <c r="U474" s="6">
        <v>22671</v>
      </c>
      <c r="V474" s="2">
        <v>47037010701</v>
      </c>
      <c r="W474" s="2" t="s">
        <v>837</v>
      </c>
      <c r="X474" s="1">
        <v>45658</v>
      </c>
      <c r="Y474" s="2">
        <v>90000</v>
      </c>
      <c r="Z474" s="2">
        <v>0</v>
      </c>
      <c r="AA474" s="2">
        <v>90000</v>
      </c>
    </row>
    <row r="475" spans="1:27" x14ac:dyDescent="0.3">
      <c r="A475" s="4" t="s">
        <v>1631</v>
      </c>
      <c r="B475" s="2" t="str">
        <f>"05205013400"</f>
        <v>05205013400</v>
      </c>
      <c r="C475" s="2" t="s">
        <v>1843</v>
      </c>
      <c r="D475" t="s">
        <v>866</v>
      </c>
      <c r="E475" s="2" t="s">
        <v>30</v>
      </c>
      <c r="F475" s="2">
        <v>37115</v>
      </c>
      <c r="G475" s="2" t="s">
        <v>64</v>
      </c>
      <c r="H475" t="s">
        <v>280</v>
      </c>
      <c r="I475" s="6">
        <v>43052</v>
      </c>
      <c r="J475" s="2" t="s">
        <v>1844</v>
      </c>
      <c r="K475" s="2">
        <v>0</v>
      </c>
      <c r="L475" t="s">
        <v>35</v>
      </c>
      <c r="M475" t="s">
        <v>29</v>
      </c>
      <c r="N475" t="s">
        <v>30</v>
      </c>
      <c r="O475">
        <v>37219</v>
      </c>
      <c r="P475" t="s">
        <v>1845</v>
      </c>
      <c r="Q475" s="2">
        <v>0.05</v>
      </c>
      <c r="R475" s="2">
        <v>140</v>
      </c>
      <c r="S475" s="2">
        <v>38</v>
      </c>
      <c r="T475" t="s">
        <v>1846</v>
      </c>
      <c r="U475" s="6">
        <v>27417</v>
      </c>
      <c r="V475" s="2">
        <v>47037010701</v>
      </c>
      <c r="W475" s="2" t="s">
        <v>837</v>
      </c>
      <c r="X475" s="1">
        <v>45658</v>
      </c>
      <c r="Y475" s="2">
        <v>20300</v>
      </c>
      <c r="Z475" s="2">
        <v>0</v>
      </c>
      <c r="AA475" s="2">
        <v>20300</v>
      </c>
    </row>
    <row r="476" spans="1:27" x14ac:dyDescent="0.3">
      <c r="A476" s="4" t="s">
        <v>1631</v>
      </c>
      <c r="B476" s="2" t="str">
        <f>"05205013800"</f>
        <v>05205013800</v>
      </c>
      <c r="C476" s="2" t="s">
        <v>1847</v>
      </c>
      <c r="D476" t="s">
        <v>866</v>
      </c>
      <c r="E476" s="2" t="s">
        <v>30</v>
      </c>
      <c r="F476" s="2">
        <v>37115</v>
      </c>
      <c r="G476" s="2" t="s">
        <v>64</v>
      </c>
      <c r="H476" t="s">
        <v>280</v>
      </c>
      <c r="I476" s="6">
        <v>41337</v>
      </c>
      <c r="J476" s="2" t="s">
        <v>1848</v>
      </c>
      <c r="K476" s="2">
        <v>0</v>
      </c>
      <c r="L476" t="s">
        <v>35</v>
      </c>
      <c r="M476" t="s">
        <v>29</v>
      </c>
      <c r="N476" t="s">
        <v>30</v>
      </c>
      <c r="O476">
        <v>37219</v>
      </c>
      <c r="P476" t="s">
        <v>1849</v>
      </c>
      <c r="Q476" s="2">
        <v>0.13</v>
      </c>
      <c r="R476" s="2">
        <v>50</v>
      </c>
      <c r="S476" s="2">
        <v>110</v>
      </c>
      <c r="T476" t="s">
        <v>1850</v>
      </c>
      <c r="U476" s="6">
        <v>25294</v>
      </c>
      <c r="V476" s="2">
        <v>47037010701</v>
      </c>
      <c r="W476" s="2" t="s">
        <v>837</v>
      </c>
      <c r="X476" s="1">
        <v>45658</v>
      </c>
      <c r="Y476" s="2">
        <v>90000</v>
      </c>
      <c r="Z476" s="2">
        <v>0</v>
      </c>
      <c r="AA476" s="2">
        <v>90000</v>
      </c>
    </row>
    <row r="477" spans="1:27" x14ac:dyDescent="0.3">
      <c r="A477" s="4" t="s">
        <v>1631</v>
      </c>
      <c r="B477" s="2" t="str">
        <f>"05205013700"</f>
        <v>05205013700</v>
      </c>
      <c r="C477" s="2" t="s">
        <v>1851</v>
      </c>
      <c r="D477" t="s">
        <v>866</v>
      </c>
      <c r="E477" s="2" t="s">
        <v>30</v>
      </c>
      <c r="F477" s="2">
        <v>37115</v>
      </c>
      <c r="G477" s="2" t="s">
        <v>64</v>
      </c>
      <c r="H477" t="s">
        <v>280</v>
      </c>
      <c r="I477" s="6">
        <v>41337</v>
      </c>
      <c r="J477" s="2" t="s">
        <v>1848</v>
      </c>
      <c r="K477" s="2">
        <v>0</v>
      </c>
      <c r="L477" t="s">
        <v>35</v>
      </c>
      <c r="M477" t="s">
        <v>29</v>
      </c>
      <c r="N477" t="s">
        <v>30</v>
      </c>
      <c r="O477">
        <v>37219</v>
      </c>
      <c r="P477" t="s">
        <v>1852</v>
      </c>
      <c r="Q477" s="2">
        <v>0.13</v>
      </c>
      <c r="R477" s="2">
        <v>50</v>
      </c>
      <c r="S477" s="2">
        <v>110</v>
      </c>
      <c r="T477" t="s">
        <v>1853</v>
      </c>
      <c r="U477" s="6">
        <v>26787</v>
      </c>
      <c r="V477" s="2">
        <v>47037010701</v>
      </c>
      <c r="W477" s="2" t="s">
        <v>837</v>
      </c>
      <c r="X477" s="1">
        <v>45658</v>
      </c>
      <c r="Y477" s="2">
        <v>90000</v>
      </c>
      <c r="Z477" s="2">
        <v>0</v>
      </c>
      <c r="AA477" s="2">
        <v>90000</v>
      </c>
    </row>
    <row r="478" spans="1:27" x14ac:dyDescent="0.3">
      <c r="A478" s="4" t="s">
        <v>1631</v>
      </c>
      <c r="B478" s="2" t="str">
        <f>"05205015300"</f>
        <v>05205015300</v>
      </c>
      <c r="C478" s="2" t="s">
        <v>1718</v>
      </c>
      <c r="D478" t="s">
        <v>866</v>
      </c>
      <c r="E478" s="2" t="s">
        <v>30</v>
      </c>
      <c r="F478" s="2">
        <v>37115</v>
      </c>
      <c r="G478" s="2" t="s">
        <v>64</v>
      </c>
      <c r="H478" t="s">
        <v>280</v>
      </c>
      <c r="I478" s="6">
        <v>43420</v>
      </c>
      <c r="J478" s="2" t="s">
        <v>1854</v>
      </c>
      <c r="K478" s="2" t="s">
        <v>34</v>
      </c>
      <c r="L478" t="s">
        <v>315</v>
      </c>
      <c r="M478" t="s">
        <v>29</v>
      </c>
      <c r="N478" t="s">
        <v>30</v>
      </c>
      <c r="O478">
        <v>37208</v>
      </c>
      <c r="P478" t="s">
        <v>1855</v>
      </c>
      <c r="Q478" s="2">
        <v>0.13</v>
      </c>
      <c r="R478" s="2">
        <v>50</v>
      </c>
      <c r="S478" s="2">
        <v>110</v>
      </c>
      <c r="T478" t="s">
        <v>1856</v>
      </c>
      <c r="U478" s="6">
        <v>19246</v>
      </c>
      <c r="V478" s="2">
        <v>47037010701</v>
      </c>
      <c r="W478" s="2" t="s">
        <v>837</v>
      </c>
      <c r="X478" s="1">
        <v>45658</v>
      </c>
      <c r="Y478" s="2">
        <v>18000</v>
      </c>
      <c r="Z478" s="2">
        <v>0</v>
      </c>
      <c r="AA478" s="2">
        <v>18000</v>
      </c>
    </row>
    <row r="479" spans="1:27" x14ac:dyDescent="0.3">
      <c r="A479" s="4" t="s">
        <v>1631</v>
      </c>
      <c r="B479" s="2" t="str">
        <f>"05116001300"</f>
        <v>05116001300</v>
      </c>
      <c r="C479" s="2" t="s">
        <v>1857</v>
      </c>
      <c r="D479" t="s">
        <v>29</v>
      </c>
      <c r="E479" s="2" t="s">
        <v>30</v>
      </c>
      <c r="F479" s="2">
        <v>37216</v>
      </c>
      <c r="G479" s="2" t="s">
        <v>64</v>
      </c>
      <c r="H479" t="s">
        <v>280</v>
      </c>
      <c r="I479" s="6">
        <v>41704</v>
      </c>
      <c r="J479" s="2" t="s">
        <v>1858</v>
      </c>
      <c r="K479" s="2">
        <v>0</v>
      </c>
      <c r="L479" t="s">
        <v>35</v>
      </c>
      <c r="M479" t="s">
        <v>29</v>
      </c>
      <c r="N479" t="s">
        <v>30</v>
      </c>
      <c r="O479">
        <v>37219</v>
      </c>
      <c r="P479" t="s">
        <v>1859</v>
      </c>
      <c r="Q479" s="2">
        <v>0.86</v>
      </c>
      <c r="R479" s="2">
        <v>25</v>
      </c>
      <c r="S479" s="2">
        <v>385</v>
      </c>
      <c r="T479" t="s">
        <v>1860</v>
      </c>
      <c r="U479" s="6">
        <v>29657</v>
      </c>
      <c r="V479" s="2">
        <v>47037010702</v>
      </c>
      <c r="W479" s="2" t="s">
        <v>68</v>
      </c>
      <c r="X479" s="1">
        <v>45658</v>
      </c>
      <c r="Y479" s="2">
        <v>13500</v>
      </c>
      <c r="Z479" s="2">
        <v>0</v>
      </c>
      <c r="AA479" s="2">
        <v>13500</v>
      </c>
    </row>
    <row r="480" spans="1:27" x14ac:dyDescent="0.3">
      <c r="A480" s="4" t="s">
        <v>1631</v>
      </c>
      <c r="B480" s="2" t="str">
        <f>"06103000300"</f>
        <v>06103000300</v>
      </c>
      <c r="C480" s="2" t="s">
        <v>1861</v>
      </c>
      <c r="D480" t="s">
        <v>29</v>
      </c>
      <c r="E480" s="2" t="s">
        <v>30</v>
      </c>
      <c r="F480" s="2">
        <v>37216</v>
      </c>
      <c r="G480" s="2" t="s">
        <v>64</v>
      </c>
      <c r="H480" t="s">
        <v>280</v>
      </c>
      <c r="I480" s="6">
        <v>42142</v>
      </c>
      <c r="J480" s="2" t="s">
        <v>1862</v>
      </c>
      <c r="K480" s="2">
        <v>0</v>
      </c>
      <c r="L480" t="s">
        <v>35</v>
      </c>
      <c r="M480" t="s">
        <v>29</v>
      </c>
      <c r="N480" t="s">
        <v>30</v>
      </c>
      <c r="O480">
        <v>37219</v>
      </c>
      <c r="P480" t="s">
        <v>1863</v>
      </c>
      <c r="Q480" s="2">
        <v>0.99</v>
      </c>
      <c r="R480" s="2">
        <v>135</v>
      </c>
      <c r="S480" s="2">
        <v>382</v>
      </c>
      <c r="T480" t="s">
        <v>1864</v>
      </c>
      <c r="U480" s="6">
        <v>27248</v>
      </c>
      <c r="V480" s="2">
        <v>47037011002</v>
      </c>
      <c r="W480" s="2" t="s">
        <v>68</v>
      </c>
      <c r="X480" s="1">
        <v>45658</v>
      </c>
      <c r="Y480" s="2">
        <v>92000</v>
      </c>
      <c r="Z480" s="2">
        <v>0</v>
      </c>
      <c r="AA480" s="2">
        <v>92000</v>
      </c>
    </row>
    <row r="481" spans="1:27" x14ac:dyDescent="0.3">
      <c r="A481" s="4" t="s">
        <v>1631</v>
      </c>
      <c r="B481" s="2" t="str">
        <f>"06114020100"</f>
        <v>06114020100</v>
      </c>
      <c r="C481" s="2" t="s">
        <v>1865</v>
      </c>
      <c r="D481" t="s">
        <v>29</v>
      </c>
      <c r="E481" s="2" t="s">
        <v>30</v>
      </c>
      <c r="F481" s="2">
        <v>37216</v>
      </c>
      <c r="G481" s="2" t="s">
        <v>64</v>
      </c>
      <c r="H481" t="s">
        <v>280</v>
      </c>
      <c r="I481" s="6">
        <v>43690</v>
      </c>
      <c r="J481" s="2" t="s">
        <v>1866</v>
      </c>
      <c r="K481" s="2" t="s">
        <v>34</v>
      </c>
      <c r="L481" t="s">
        <v>315</v>
      </c>
      <c r="M481" t="s">
        <v>29</v>
      </c>
      <c r="N481" t="s">
        <v>30</v>
      </c>
      <c r="O481">
        <v>37208</v>
      </c>
      <c r="P481" t="s">
        <v>1867</v>
      </c>
      <c r="Q481" s="2">
        <v>0.34</v>
      </c>
      <c r="R481" s="2">
        <v>50</v>
      </c>
      <c r="S481" s="2">
        <v>300</v>
      </c>
      <c r="T481" t="s">
        <v>1868</v>
      </c>
      <c r="U481" s="6">
        <v>28447</v>
      </c>
      <c r="V481" s="2">
        <v>47037011002</v>
      </c>
      <c r="W481" s="2" t="s">
        <v>68</v>
      </c>
      <c r="X481" s="1">
        <v>45658</v>
      </c>
      <c r="Y481" s="2">
        <v>68000</v>
      </c>
      <c r="Z481" s="2">
        <v>0</v>
      </c>
      <c r="AA481" s="2">
        <v>68000</v>
      </c>
    </row>
    <row r="482" spans="1:27" x14ac:dyDescent="0.3">
      <c r="A482" s="4" t="s">
        <v>1631</v>
      </c>
      <c r="B482" s="2" t="str">
        <f>"07310006900"</f>
        <v>07310006900</v>
      </c>
      <c r="C482" s="2" t="s">
        <v>1869</v>
      </c>
      <c r="D482" t="s">
        <v>29</v>
      </c>
      <c r="E482" s="2" t="s">
        <v>30</v>
      </c>
      <c r="F482" s="2">
        <v>37216</v>
      </c>
      <c r="G482" s="2" t="s">
        <v>64</v>
      </c>
      <c r="H482" t="s">
        <v>280</v>
      </c>
      <c r="I482" s="6">
        <v>41353</v>
      </c>
      <c r="J482" s="2" t="s">
        <v>1870</v>
      </c>
      <c r="K482" s="2">
        <v>0</v>
      </c>
      <c r="L482" t="s">
        <v>35</v>
      </c>
      <c r="M482" t="s">
        <v>29</v>
      </c>
      <c r="N482" t="s">
        <v>30</v>
      </c>
      <c r="O482">
        <v>37219</v>
      </c>
      <c r="P482" t="s">
        <v>1871</v>
      </c>
      <c r="Q482" s="2">
        <v>0.34</v>
      </c>
      <c r="R482" s="2">
        <v>38</v>
      </c>
      <c r="S482" s="2">
        <v>163</v>
      </c>
      <c r="T482" t="s">
        <v>1872</v>
      </c>
      <c r="U482" s="6">
        <v>27936</v>
      </c>
      <c r="V482" s="2">
        <v>47037011500</v>
      </c>
      <c r="W482" s="2" t="s">
        <v>68</v>
      </c>
      <c r="X482" s="1">
        <v>45658</v>
      </c>
      <c r="Y482" s="2">
        <v>150000</v>
      </c>
      <c r="Z482" s="2">
        <v>0</v>
      </c>
      <c r="AA482" s="2">
        <v>150000</v>
      </c>
    </row>
    <row r="483" spans="1:27" x14ac:dyDescent="0.3">
      <c r="A483" s="4" t="s">
        <v>1631</v>
      </c>
      <c r="B483" s="2" t="str">
        <f>"07310006500"</f>
        <v>07310006500</v>
      </c>
      <c r="C483" s="2" t="s">
        <v>1873</v>
      </c>
      <c r="D483" t="s">
        <v>29</v>
      </c>
      <c r="E483" s="2" t="s">
        <v>30</v>
      </c>
      <c r="F483" s="2">
        <v>37216</v>
      </c>
      <c r="G483" s="2" t="s">
        <v>64</v>
      </c>
      <c r="H483" t="s">
        <v>280</v>
      </c>
      <c r="I483" s="6">
        <v>41341</v>
      </c>
      <c r="J483" s="2" t="s">
        <v>1874</v>
      </c>
      <c r="K483" s="2">
        <v>0</v>
      </c>
      <c r="L483" t="s">
        <v>35</v>
      </c>
      <c r="M483" t="s">
        <v>29</v>
      </c>
      <c r="N483" t="s">
        <v>30</v>
      </c>
      <c r="O483">
        <v>37219</v>
      </c>
      <c r="P483" t="s">
        <v>1875</v>
      </c>
      <c r="Q483" s="2">
        <v>0.23</v>
      </c>
      <c r="R483" s="2">
        <v>81</v>
      </c>
      <c r="S483" s="2">
        <v>131</v>
      </c>
      <c r="T483" t="s">
        <v>1872</v>
      </c>
      <c r="U483" s="6">
        <v>27936</v>
      </c>
      <c r="V483" s="2">
        <v>47037011500</v>
      </c>
      <c r="W483" s="2" t="s">
        <v>68</v>
      </c>
      <c r="X483" s="1">
        <v>45658</v>
      </c>
      <c r="Y483" s="2">
        <v>300000</v>
      </c>
      <c r="Z483" s="2">
        <v>0</v>
      </c>
      <c r="AA483" s="2">
        <v>300000</v>
      </c>
    </row>
    <row r="484" spans="1:27" x14ac:dyDescent="0.3">
      <c r="A484" s="4" t="s">
        <v>1631</v>
      </c>
      <c r="B484" s="2" t="str">
        <f>"07310006600"</f>
        <v>07310006600</v>
      </c>
      <c r="C484" s="2" t="s">
        <v>1876</v>
      </c>
      <c r="D484" t="s">
        <v>29</v>
      </c>
      <c r="E484" s="2" t="s">
        <v>30</v>
      </c>
      <c r="F484" s="2">
        <v>37216</v>
      </c>
      <c r="G484" s="2" t="s">
        <v>64</v>
      </c>
      <c r="H484" t="s">
        <v>280</v>
      </c>
      <c r="I484" s="6">
        <v>41786</v>
      </c>
      <c r="J484" s="2" t="s">
        <v>1877</v>
      </c>
      <c r="K484" s="2">
        <v>0</v>
      </c>
      <c r="L484" t="s">
        <v>35</v>
      </c>
      <c r="M484" t="s">
        <v>29</v>
      </c>
      <c r="N484" t="s">
        <v>30</v>
      </c>
      <c r="O484">
        <v>37219</v>
      </c>
      <c r="P484" t="s">
        <v>1878</v>
      </c>
      <c r="Q484" s="2">
        <v>0.27</v>
      </c>
      <c r="R484" s="2">
        <v>42</v>
      </c>
      <c r="S484" s="2">
        <v>133</v>
      </c>
      <c r="T484" t="s">
        <v>1872</v>
      </c>
      <c r="U484" s="6">
        <v>27936</v>
      </c>
      <c r="V484" s="2">
        <v>47037011500</v>
      </c>
      <c r="W484" s="2" t="s">
        <v>68</v>
      </c>
      <c r="X484" s="1">
        <v>45658</v>
      </c>
      <c r="Y484" s="2">
        <v>300000</v>
      </c>
      <c r="Z484" s="2">
        <v>0</v>
      </c>
      <c r="AA484" s="2">
        <v>300000</v>
      </c>
    </row>
    <row r="485" spans="1:27" x14ac:dyDescent="0.3">
      <c r="A485" s="4" t="s">
        <v>1631</v>
      </c>
      <c r="B485" s="2" t="str">
        <f>"05201030700"</f>
        <v>05201030700</v>
      </c>
      <c r="C485" s="2" t="s">
        <v>1879</v>
      </c>
      <c r="D485" t="s">
        <v>866</v>
      </c>
      <c r="E485" s="2" t="s">
        <v>30</v>
      </c>
      <c r="F485" s="2">
        <v>37115</v>
      </c>
      <c r="G485" s="2" t="s">
        <v>64</v>
      </c>
      <c r="H485" t="s">
        <v>280</v>
      </c>
      <c r="I485" s="6">
        <v>41338</v>
      </c>
      <c r="J485" s="2" t="s">
        <v>1880</v>
      </c>
      <c r="K485" s="2">
        <v>0</v>
      </c>
      <c r="L485" t="s">
        <v>35</v>
      </c>
      <c r="M485" t="s">
        <v>29</v>
      </c>
      <c r="N485" t="s">
        <v>30</v>
      </c>
      <c r="O485">
        <v>37219</v>
      </c>
      <c r="P485" t="s">
        <v>1881</v>
      </c>
      <c r="Q485" s="2">
        <v>0.14000000000000001</v>
      </c>
      <c r="R485" s="2">
        <v>50</v>
      </c>
      <c r="S485" s="2">
        <v>125</v>
      </c>
      <c r="T485" t="s">
        <v>1882</v>
      </c>
      <c r="U485" s="6">
        <v>23904</v>
      </c>
      <c r="V485" s="2">
        <v>47037010701</v>
      </c>
      <c r="W485" s="2" t="s">
        <v>837</v>
      </c>
      <c r="X485" s="1">
        <v>45658</v>
      </c>
      <c r="Y485" s="2">
        <v>45000</v>
      </c>
      <c r="Z485" s="2">
        <v>0</v>
      </c>
      <c r="AA485" s="2">
        <v>45000</v>
      </c>
    </row>
    <row r="486" spans="1:27" x14ac:dyDescent="0.3">
      <c r="A486" s="4" t="s">
        <v>1631</v>
      </c>
      <c r="B486" s="2" t="str">
        <f>"05205017900"</f>
        <v>05205017900</v>
      </c>
      <c r="C486" s="2" t="s">
        <v>1883</v>
      </c>
      <c r="D486" t="s">
        <v>866</v>
      </c>
      <c r="E486" s="2" t="s">
        <v>30</v>
      </c>
      <c r="F486" s="2">
        <v>37115</v>
      </c>
      <c r="G486" s="2" t="s">
        <v>64</v>
      </c>
      <c r="H486" t="s">
        <v>280</v>
      </c>
      <c r="I486" s="6">
        <v>41402</v>
      </c>
      <c r="J486" s="2" t="s">
        <v>1884</v>
      </c>
      <c r="K486" s="2">
        <v>0</v>
      </c>
      <c r="L486" t="s">
        <v>35</v>
      </c>
      <c r="M486" t="s">
        <v>29</v>
      </c>
      <c r="N486" t="s">
        <v>30</v>
      </c>
      <c r="O486">
        <v>37219</v>
      </c>
      <c r="P486" t="s">
        <v>1885</v>
      </c>
      <c r="Q486" s="2">
        <v>0.89</v>
      </c>
      <c r="R486" s="2">
        <v>100</v>
      </c>
      <c r="S486" s="2">
        <v>359</v>
      </c>
      <c r="T486" t="s">
        <v>1886</v>
      </c>
      <c r="U486" s="6">
        <v>18139</v>
      </c>
      <c r="V486" s="2">
        <v>47037010701</v>
      </c>
      <c r="W486" s="2" t="s">
        <v>837</v>
      </c>
      <c r="X486" s="1">
        <v>45658</v>
      </c>
      <c r="Y486" s="2">
        <v>135000</v>
      </c>
      <c r="Z486" s="2">
        <v>0</v>
      </c>
      <c r="AA486" s="2">
        <v>135000</v>
      </c>
    </row>
    <row r="487" spans="1:27" x14ac:dyDescent="0.3">
      <c r="A487" s="4" t="s">
        <v>1631</v>
      </c>
      <c r="B487" s="2" t="str">
        <f>"05205017800"</f>
        <v>05205017800</v>
      </c>
      <c r="C487" s="2" t="s">
        <v>1887</v>
      </c>
      <c r="D487" t="s">
        <v>866</v>
      </c>
      <c r="E487" s="2" t="s">
        <v>30</v>
      </c>
      <c r="F487" s="2">
        <v>37115</v>
      </c>
      <c r="G487" s="2" t="s">
        <v>64</v>
      </c>
      <c r="H487" t="s">
        <v>280</v>
      </c>
      <c r="I487" s="6">
        <v>43052</v>
      </c>
      <c r="J487" s="2" t="s">
        <v>1888</v>
      </c>
      <c r="K487" s="2">
        <v>0</v>
      </c>
      <c r="L487" t="s">
        <v>35</v>
      </c>
      <c r="M487" t="s">
        <v>29</v>
      </c>
      <c r="N487" t="s">
        <v>30</v>
      </c>
      <c r="O487">
        <v>37219</v>
      </c>
      <c r="P487" t="s">
        <v>1889</v>
      </c>
      <c r="Q487" s="2">
        <v>0.54</v>
      </c>
      <c r="R487" s="2">
        <v>100</v>
      </c>
      <c r="S487" s="2">
        <v>259</v>
      </c>
      <c r="T487" t="s">
        <v>1890</v>
      </c>
      <c r="U487" s="6">
        <v>26171</v>
      </c>
      <c r="V487" s="2">
        <v>47037010701</v>
      </c>
      <c r="W487" s="2" t="s">
        <v>837</v>
      </c>
      <c r="X487" s="1">
        <v>45658</v>
      </c>
      <c r="Y487" s="2">
        <v>117000</v>
      </c>
      <c r="Z487" s="2">
        <v>0</v>
      </c>
      <c r="AA487" s="2">
        <v>117000</v>
      </c>
    </row>
    <row r="488" spans="1:27" x14ac:dyDescent="0.3">
      <c r="A488" s="4" t="s">
        <v>1631</v>
      </c>
      <c r="B488" s="2" t="str">
        <f>"05108007100"</f>
        <v>05108007100</v>
      </c>
      <c r="C488" s="2" t="s">
        <v>1891</v>
      </c>
      <c r="D488" t="s">
        <v>866</v>
      </c>
      <c r="E488" s="2" t="s">
        <v>30</v>
      </c>
      <c r="F488" s="2">
        <v>37115</v>
      </c>
      <c r="G488" s="2" t="s">
        <v>64</v>
      </c>
      <c r="H488" t="s">
        <v>280</v>
      </c>
      <c r="I488" s="6">
        <v>40897</v>
      </c>
      <c r="J488" s="2" t="s">
        <v>1892</v>
      </c>
      <c r="K488" s="2">
        <v>0</v>
      </c>
      <c r="L488" t="s">
        <v>35</v>
      </c>
      <c r="M488" t="s">
        <v>29</v>
      </c>
      <c r="N488" t="s">
        <v>30</v>
      </c>
      <c r="O488">
        <v>37219</v>
      </c>
      <c r="P488" t="s">
        <v>1893</v>
      </c>
      <c r="Q488" s="2">
        <v>0.28999999999999998</v>
      </c>
      <c r="R488" s="2">
        <v>60</v>
      </c>
      <c r="S488" s="2">
        <v>204</v>
      </c>
      <c r="T488" t="s">
        <v>1894</v>
      </c>
      <c r="U488" s="6">
        <v>21697</v>
      </c>
      <c r="V488" s="2">
        <v>47037010701</v>
      </c>
      <c r="W488" s="2" t="s">
        <v>837</v>
      </c>
      <c r="X488" s="1">
        <v>45658</v>
      </c>
      <c r="Y488" s="2">
        <v>103500</v>
      </c>
      <c r="Z488" s="2">
        <v>0</v>
      </c>
      <c r="AA488" s="2">
        <v>103500</v>
      </c>
    </row>
    <row r="489" spans="1:27" x14ac:dyDescent="0.3">
      <c r="A489" s="4" t="s">
        <v>1631</v>
      </c>
      <c r="B489" s="2" t="str">
        <f>"05205005800"</f>
        <v>05205005800</v>
      </c>
      <c r="C489" s="2" t="s">
        <v>1895</v>
      </c>
      <c r="D489" t="s">
        <v>866</v>
      </c>
      <c r="E489" s="2" t="s">
        <v>30</v>
      </c>
      <c r="F489" s="2">
        <v>37115</v>
      </c>
      <c r="G489" s="2" t="s">
        <v>64</v>
      </c>
      <c r="H489" t="s">
        <v>280</v>
      </c>
      <c r="I489" s="6">
        <v>40947</v>
      </c>
      <c r="J489" s="2" t="s">
        <v>1896</v>
      </c>
      <c r="K489" s="2">
        <v>0</v>
      </c>
      <c r="L489" t="s">
        <v>35</v>
      </c>
      <c r="M489" t="s">
        <v>29</v>
      </c>
      <c r="N489" t="s">
        <v>30</v>
      </c>
      <c r="O489">
        <v>37219</v>
      </c>
      <c r="P489" t="s">
        <v>1897</v>
      </c>
      <c r="Q489" s="2">
        <v>0.33</v>
      </c>
      <c r="R489" s="2">
        <v>60</v>
      </c>
      <c r="S489" s="2">
        <v>207</v>
      </c>
      <c r="T489" t="s">
        <v>1898</v>
      </c>
      <c r="U489" s="6">
        <v>25106</v>
      </c>
      <c r="V489" s="2">
        <v>47037010701</v>
      </c>
      <c r="W489" s="2" t="s">
        <v>837</v>
      </c>
      <c r="X489" s="1">
        <v>45658</v>
      </c>
      <c r="Y489" s="2">
        <v>103500</v>
      </c>
      <c r="Z489" s="2">
        <v>0</v>
      </c>
      <c r="AA489" s="2">
        <v>103500</v>
      </c>
    </row>
    <row r="490" spans="1:27" x14ac:dyDescent="0.3">
      <c r="A490" s="4" t="s">
        <v>1631</v>
      </c>
      <c r="B490" s="2" t="str">
        <f>"05205005900"</f>
        <v>05205005900</v>
      </c>
      <c r="C490" s="2" t="s">
        <v>1899</v>
      </c>
      <c r="D490" t="s">
        <v>866</v>
      </c>
      <c r="E490" s="2" t="s">
        <v>30</v>
      </c>
      <c r="F490" s="2">
        <v>37115</v>
      </c>
      <c r="G490" s="2" t="s">
        <v>64</v>
      </c>
      <c r="H490" t="s">
        <v>280</v>
      </c>
      <c r="I490" s="6">
        <v>41018</v>
      </c>
      <c r="J490" s="2" t="s">
        <v>1900</v>
      </c>
      <c r="K490" s="2">
        <v>0</v>
      </c>
      <c r="L490" t="s">
        <v>35</v>
      </c>
      <c r="M490" t="s">
        <v>29</v>
      </c>
      <c r="N490" t="s">
        <v>30</v>
      </c>
      <c r="O490">
        <v>37219</v>
      </c>
      <c r="P490" t="s">
        <v>1901</v>
      </c>
      <c r="Q490" s="2">
        <v>0.31</v>
      </c>
      <c r="R490" s="2">
        <v>60</v>
      </c>
      <c r="S490" s="2">
        <v>238</v>
      </c>
      <c r="T490" t="s">
        <v>1902</v>
      </c>
      <c r="U490" s="6">
        <v>23118</v>
      </c>
      <c r="V490" s="2">
        <v>47037010701</v>
      </c>
      <c r="W490" s="2" t="s">
        <v>837</v>
      </c>
      <c r="X490" s="1">
        <v>45658</v>
      </c>
      <c r="Y490" s="2">
        <v>103500</v>
      </c>
      <c r="Z490" s="2">
        <v>0</v>
      </c>
      <c r="AA490" s="2">
        <v>103500</v>
      </c>
    </row>
    <row r="491" spans="1:27" x14ac:dyDescent="0.3">
      <c r="A491" s="4" t="s">
        <v>1631</v>
      </c>
      <c r="B491" s="2" t="str">
        <f>"05205006000"</f>
        <v>05205006000</v>
      </c>
      <c r="C491" s="2" t="s">
        <v>1903</v>
      </c>
      <c r="D491" t="s">
        <v>866</v>
      </c>
      <c r="E491" s="2" t="s">
        <v>30</v>
      </c>
      <c r="F491" s="2">
        <v>37115</v>
      </c>
      <c r="G491" s="2" t="s">
        <v>64</v>
      </c>
      <c r="H491" t="s">
        <v>280</v>
      </c>
      <c r="I491" s="6">
        <v>40940</v>
      </c>
      <c r="J491" s="2" t="s">
        <v>1904</v>
      </c>
      <c r="K491" s="2">
        <v>0</v>
      </c>
      <c r="L491" t="s">
        <v>35</v>
      </c>
      <c r="M491" t="s">
        <v>29</v>
      </c>
      <c r="N491" t="s">
        <v>30</v>
      </c>
      <c r="O491">
        <v>37219</v>
      </c>
      <c r="P491" t="s">
        <v>1905</v>
      </c>
      <c r="Q491" s="2">
        <v>0.34</v>
      </c>
      <c r="R491" s="2">
        <v>60</v>
      </c>
      <c r="S491" s="2">
        <v>238</v>
      </c>
      <c r="T491" t="s">
        <v>1906</v>
      </c>
      <c r="U491" s="6">
        <v>26753</v>
      </c>
      <c r="V491" s="2">
        <v>47037010701</v>
      </c>
      <c r="W491" s="2" t="s">
        <v>837</v>
      </c>
      <c r="X491" s="1">
        <v>45658</v>
      </c>
      <c r="Y491" s="2">
        <v>103500</v>
      </c>
      <c r="Z491" s="2">
        <v>0</v>
      </c>
      <c r="AA491" s="2">
        <v>103500</v>
      </c>
    </row>
    <row r="492" spans="1:27" x14ac:dyDescent="0.3">
      <c r="A492" s="4" t="s">
        <v>1631</v>
      </c>
      <c r="B492" s="2" t="str">
        <f>"07306004700"</f>
        <v>07306004700</v>
      </c>
      <c r="C492" s="2" t="s">
        <v>1907</v>
      </c>
      <c r="D492" t="s">
        <v>29</v>
      </c>
      <c r="E492" s="2" t="s">
        <v>30</v>
      </c>
      <c r="F492" s="2">
        <v>37216</v>
      </c>
      <c r="G492" s="2" t="s">
        <v>64</v>
      </c>
      <c r="H492" t="s">
        <v>280</v>
      </c>
      <c r="I492" s="6">
        <v>40911</v>
      </c>
      <c r="J492" s="2" t="s">
        <v>1908</v>
      </c>
      <c r="K492" s="2">
        <v>0</v>
      </c>
      <c r="L492" t="s">
        <v>35</v>
      </c>
      <c r="M492" t="s">
        <v>29</v>
      </c>
      <c r="N492" t="s">
        <v>30</v>
      </c>
      <c r="O492">
        <v>37219</v>
      </c>
      <c r="P492" t="s">
        <v>1909</v>
      </c>
      <c r="Q492" s="2">
        <v>0.48</v>
      </c>
      <c r="R492" s="2">
        <v>80</v>
      </c>
      <c r="S492" s="2">
        <v>238</v>
      </c>
      <c r="T492" t="s">
        <v>1872</v>
      </c>
      <c r="U492" s="6">
        <v>27936</v>
      </c>
      <c r="V492" s="2">
        <v>47037011500</v>
      </c>
      <c r="W492" s="2" t="s">
        <v>68</v>
      </c>
      <c r="X492" s="1">
        <v>45658</v>
      </c>
      <c r="Y492" s="2">
        <v>366000</v>
      </c>
      <c r="Z492" s="2">
        <v>0</v>
      </c>
      <c r="AA492" s="2">
        <v>366000</v>
      </c>
    </row>
    <row r="493" spans="1:27" x14ac:dyDescent="0.3">
      <c r="A493" s="4" t="s">
        <v>1631</v>
      </c>
      <c r="B493" s="2" t="str">
        <f>"07306004600"</f>
        <v>07306004600</v>
      </c>
      <c r="C493" s="2" t="s">
        <v>1910</v>
      </c>
      <c r="D493" t="s">
        <v>29</v>
      </c>
      <c r="E493" s="2" t="s">
        <v>30</v>
      </c>
      <c r="F493" s="2">
        <v>37216</v>
      </c>
      <c r="G493" s="2" t="s">
        <v>64</v>
      </c>
      <c r="H493" t="s">
        <v>280</v>
      </c>
      <c r="I493" s="6">
        <v>40917</v>
      </c>
      <c r="J493" s="2" t="s">
        <v>1911</v>
      </c>
      <c r="K493" s="2">
        <v>0</v>
      </c>
      <c r="L493" t="s">
        <v>35</v>
      </c>
      <c r="M493" t="s">
        <v>29</v>
      </c>
      <c r="N493" t="s">
        <v>30</v>
      </c>
      <c r="O493">
        <v>37219</v>
      </c>
      <c r="P493" t="s">
        <v>1912</v>
      </c>
      <c r="Q493" s="2">
        <v>0.34</v>
      </c>
      <c r="R493" s="2">
        <v>80</v>
      </c>
      <c r="S493" s="2">
        <v>182</v>
      </c>
      <c r="T493" t="s">
        <v>1872</v>
      </c>
      <c r="U493" s="6">
        <v>27936</v>
      </c>
      <c r="V493" s="2">
        <v>47037011500</v>
      </c>
      <c r="W493" s="2" t="s">
        <v>68</v>
      </c>
      <c r="X493" s="1">
        <v>45658</v>
      </c>
      <c r="Y493" s="2">
        <v>318300</v>
      </c>
      <c r="Z493" s="2">
        <v>0</v>
      </c>
      <c r="AA493" s="2">
        <v>318300</v>
      </c>
    </row>
    <row r="494" spans="1:27" x14ac:dyDescent="0.3">
      <c r="A494" s="4" t="s">
        <v>1631</v>
      </c>
      <c r="B494" s="2" t="str">
        <f>"05205027000"</f>
        <v>05205027000</v>
      </c>
      <c r="C494" s="2" t="s">
        <v>1913</v>
      </c>
      <c r="D494" t="s">
        <v>866</v>
      </c>
      <c r="E494" s="2" t="s">
        <v>30</v>
      </c>
      <c r="F494" s="2">
        <v>37115</v>
      </c>
      <c r="G494" s="2" t="s">
        <v>64</v>
      </c>
      <c r="H494" t="s">
        <v>280</v>
      </c>
      <c r="I494" s="6">
        <v>34249</v>
      </c>
      <c r="J494" s="2" t="s">
        <v>1914</v>
      </c>
      <c r="K494" s="2">
        <v>0</v>
      </c>
      <c r="L494" t="s">
        <v>35</v>
      </c>
      <c r="M494" t="s">
        <v>29</v>
      </c>
      <c r="N494" t="s">
        <v>30</v>
      </c>
      <c r="O494">
        <v>37219</v>
      </c>
      <c r="P494" t="s">
        <v>1915</v>
      </c>
      <c r="Q494" s="2">
        <v>4.58</v>
      </c>
      <c r="R494" s="2">
        <v>0</v>
      </c>
      <c r="S494" s="2">
        <v>0</v>
      </c>
      <c r="T494" t="s">
        <v>278</v>
      </c>
      <c r="U494" s="6">
        <v>36591</v>
      </c>
      <c r="V494" s="2">
        <v>47037010701</v>
      </c>
      <c r="W494" s="2" t="s">
        <v>837</v>
      </c>
      <c r="X494" s="1">
        <v>45658</v>
      </c>
      <c r="Y494" s="2">
        <v>162700</v>
      </c>
      <c r="Z494" s="2">
        <v>0</v>
      </c>
      <c r="AA494" s="2">
        <v>162700</v>
      </c>
    </row>
    <row r="495" spans="1:27" x14ac:dyDescent="0.3">
      <c r="A495" s="4" t="s">
        <v>1631</v>
      </c>
      <c r="B495" s="2" t="str">
        <f>"05205016800"</f>
        <v>05205016800</v>
      </c>
      <c r="C495" s="2" t="s">
        <v>1916</v>
      </c>
      <c r="D495" t="s">
        <v>866</v>
      </c>
      <c r="E495" s="2" t="s">
        <v>30</v>
      </c>
      <c r="F495" s="2">
        <v>37115</v>
      </c>
      <c r="G495" s="2" t="s">
        <v>64</v>
      </c>
      <c r="H495" t="s">
        <v>280</v>
      </c>
      <c r="I495" s="6">
        <v>43052</v>
      </c>
      <c r="J495" s="2" t="s">
        <v>1888</v>
      </c>
      <c r="K495" s="2">
        <v>0</v>
      </c>
      <c r="L495" t="s">
        <v>35</v>
      </c>
      <c r="M495" t="s">
        <v>29</v>
      </c>
      <c r="N495" t="s">
        <v>30</v>
      </c>
      <c r="O495">
        <v>37219</v>
      </c>
      <c r="P495" t="s">
        <v>1917</v>
      </c>
      <c r="Q495" s="2">
        <v>6.22</v>
      </c>
      <c r="R495" s="2">
        <v>0</v>
      </c>
      <c r="S495" s="2">
        <v>0</v>
      </c>
      <c r="T495" t="s">
        <v>1918</v>
      </c>
      <c r="U495" s="6">
        <v>33849</v>
      </c>
      <c r="V495" s="2">
        <v>47037010701</v>
      </c>
      <c r="W495" s="2" t="s">
        <v>837</v>
      </c>
      <c r="X495" s="1">
        <v>45658</v>
      </c>
      <c r="Y495" s="2">
        <v>221700</v>
      </c>
      <c r="Z495" s="2">
        <v>0</v>
      </c>
      <c r="AA495" s="2">
        <v>221700</v>
      </c>
    </row>
    <row r="496" spans="1:27" x14ac:dyDescent="0.3">
      <c r="A496" s="4" t="s">
        <v>1631</v>
      </c>
      <c r="B496" s="2" t="str">
        <f>"06213013500"</f>
        <v>06213013500</v>
      </c>
      <c r="C496" s="2" t="s">
        <v>1919</v>
      </c>
      <c r="D496" t="s">
        <v>29</v>
      </c>
      <c r="E496" s="2" t="s">
        <v>30</v>
      </c>
      <c r="F496" s="2">
        <v>37216</v>
      </c>
      <c r="G496" s="2" t="s">
        <v>152</v>
      </c>
      <c r="H496" t="s">
        <v>280</v>
      </c>
      <c r="I496" s="6">
        <v>24470</v>
      </c>
      <c r="J496" s="2" t="s">
        <v>1920</v>
      </c>
      <c r="K496" s="2" t="s">
        <v>34</v>
      </c>
      <c r="L496" t="s">
        <v>35</v>
      </c>
      <c r="M496" t="s">
        <v>29</v>
      </c>
      <c r="N496" t="s">
        <v>30</v>
      </c>
      <c r="O496">
        <v>37219</v>
      </c>
      <c r="P496" t="s">
        <v>1921</v>
      </c>
      <c r="Q496" s="2">
        <v>0.49</v>
      </c>
      <c r="R496" s="2">
        <v>80</v>
      </c>
      <c r="S496" s="2">
        <v>140</v>
      </c>
      <c r="T496" t="s">
        <v>1920</v>
      </c>
      <c r="U496" s="6">
        <v>24470</v>
      </c>
      <c r="V496" s="2">
        <v>47037011100</v>
      </c>
      <c r="W496" s="2" t="s">
        <v>68</v>
      </c>
      <c r="X496" s="1">
        <v>45658</v>
      </c>
      <c r="Y496" s="2">
        <v>270000</v>
      </c>
      <c r="Z496" s="2">
        <v>0</v>
      </c>
      <c r="AA496" s="2">
        <v>270000</v>
      </c>
    </row>
    <row r="497" spans="1:27" x14ac:dyDescent="0.3">
      <c r="A497" s="4" t="s">
        <v>1631</v>
      </c>
      <c r="B497" s="2" t="str">
        <f>"05201033200"</f>
        <v>05201033200</v>
      </c>
      <c r="C497" s="2" t="s">
        <v>1922</v>
      </c>
      <c r="D497" t="s">
        <v>866</v>
      </c>
      <c r="E497" s="2" t="s">
        <v>30</v>
      </c>
      <c r="F497" s="2">
        <v>37115</v>
      </c>
      <c r="G497" s="2" t="s">
        <v>64</v>
      </c>
      <c r="H497" t="s">
        <v>379</v>
      </c>
      <c r="I497" s="6">
        <v>44250</v>
      </c>
      <c r="J497" s="2" t="s">
        <v>1923</v>
      </c>
      <c r="K497" s="2" t="s">
        <v>34</v>
      </c>
      <c r="L497" t="s">
        <v>315</v>
      </c>
      <c r="M497" t="s">
        <v>29</v>
      </c>
      <c r="N497" t="s">
        <v>30</v>
      </c>
      <c r="O497">
        <v>37208</v>
      </c>
      <c r="P497" t="s">
        <v>1924</v>
      </c>
      <c r="Q497" s="2">
        <v>0.23</v>
      </c>
      <c r="R497" s="2">
        <v>50</v>
      </c>
      <c r="S497" s="2">
        <v>200</v>
      </c>
      <c r="T497" t="s">
        <v>1925</v>
      </c>
      <c r="U497" s="6">
        <v>28587</v>
      </c>
      <c r="V497" s="2">
        <v>47037010701</v>
      </c>
      <c r="W497" s="2" t="s">
        <v>837</v>
      </c>
      <c r="X497" s="1">
        <v>45658</v>
      </c>
      <c r="Y497" s="2">
        <v>10400</v>
      </c>
      <c r="Z497" s="2">
        <v>0</v>
      </c>
      <c r="AA497" s="2">
        <v>10400</v>
      </c>
    </row>
    <row r="498" spans="1:27" x14ac:dyDescent="0.3">
      <c r="A498" s="4" t="s">
        <v>1631</v>
      </c>
      <c r="B498" s="2" t="str">
        <f>"05201033100"</f>
        <v>05201033100</v>
      </c>
      <c r="C498" s="2" t="s">
        <v>1926</v>
      </c>
      <c r="D498" t="s">
        <v>866</v>
      </c>
      <c r="E498" s="2" t="s">
        <v>30</v>
      </c>
      <c r="F498" s="2">
        <v>37115</v>
      </c>
      <c r="G498" s="2" t="s">
        <v>64</v>
      </c>
      <c r="H498" t="s">
        <v>379</v>
      </c>
      <c r="I498" s="6">
        <v>44250</v>
      </c>
      <c r="J498" s="2" t="s">
        <v>1927</v>
      </c>
      <c r="K498" s="2" t="s">
        <v>34</v>
      </c>
      <c r="L498" t="s">
        <v>315</v>
      </c>
      <c r="M498" t="s">
        <v>29</v>
      </c>
      <c r="N498" t="s">
        <v>30</v>
      </c>
      <c r="O498">
        <v>37208</v>
      </c>
      <c r="P498" t="s">
        <v>1928</v>
      </c>
      <c r="Q498" s="2">
        <v>0.23</v>
      </c>
      <c r="R498" s="2">
        <v>50</v>
      </c>
      <c r="S498" s="2">
        <v>200</v>
      </c>
      <c r="T498" t="s">
        <v>1925</v>
      </c>
      <c r="U498" s="6">
        <v>28587</v>
      </c>
      <c r="V498" s="2">
        <v>47037010701</v>
      </c>
      <c r="W498" s="2" t="s">
        <v>837</v>
      </c>
      <c r="X498" s="1">
        <v>45658</v>
      </c>
      <c r="Y498" s="2">
        <v>10400</v>
      </c>
      <c r="Z498" s="2">
        <v>0</v>
      </c>
      <c r="AA498" s="2">
        <v>10400</v>
      </c>
    </row>
    <row r="499" spans="1:27" x14ac:dyDescent="0.3">
      <c r="A499" s="4" t="s">
        <v>1631</v>
      </c>
      <c r="B499" s="2" t="str">
        <f>"05201028700"</f>
        <v>05201028700</v>
      </c>
      <c r="C499" s="2" t="s">
        <v>1929</v>
      </c>
      <c r="D499" t="s">
        <v>866</v>
      </c>
      <c r="E499" s="2" t="s">
        <v>30</v>
      </c>
      <c r="F499" s="2">
        <v>37115</v>
      </c>
      <c r="G499" s="2" t="s">
        <v>64</v>
      </c>
      <c r="H499" t="s">
        <v>379</v>
      </c>
      <c r="I499" s="6">
        <v>44250</v>
      </c>
      <c r="J499" s="2" t="s">
        <v>1930</v>
      </c>
      <c r="K499" s="2" t="s">
        <v>34</v>
      </c>
      <c r="L499" t="s">
        <v>315</v>
      </c>
      <c r="M499" t="s">
        <v>29</v>
      </c>
      <c r="N499" t="s">
        <v>30</v>
      </c>
      <c r="O499">
        <v>37208</v>
      </c>
      <c r="P499" t="s">
        <v>1931</v>
      </c>
      <c r="Q499" s="2">
        <v>0.23</v>
      </c>
      <c r="R499" s="2">
        <v>50</v>
      </c>
      <c r="S499" s="2">
        <v>200</v>
      </c>
      <c r="T499" t="s">
        <v>1925</v>
      </c>
      <c r="U499" s="6">
        <v>28587</v>
      </c>
      <c r="V499" s="2">
        <v>47037010701</v>
      </c>
      <c r="W499" s="2" t="s">
        <v>837</v>
      </c>
      <c r="X499" s="1">
        <v>45658</v>
      </c>
      <c r="Y499" s="2">
        <v>10400</v>
      </c>
      <c r="Z499" s="2">
        <v>0</v>
      </c>
      <c r="AA499" s="2">
        <v>10400</v>
      </c>
    </row>
    <row r="500" spans="1:27" x14ac:dyDescent="0.3">
      <c r="A500" s="4" t="s">
        <v>1631</v>
      </c>
      <c r="B500" s="2" t="str">
        <f>"06114019900"</f>
        <v>06114019900</v>
      </c>
      <c r="C500" s="2" t="s">
        <v>1932</v>
      </c>
      <c r="D500" t="s">
        <v>29</v>
      </c>
      <c r="E500" s="2" t="s">
        <v>30</v>
      </c>
      <c r="F500" s="2">
        <v>37216</v>
      </c>
      <c r="G500" s="2" t="s">
        <v>64</v>
      </c>
      <c r="H500" t="s">
        <v>379</v>
      </c>
      <c r="I500" s="6">
        <v>43679</v>
      </c>
      <c r="J500" s="2" t="s">
        <v>1933</v>
      </c>
      <c r="K500" s="2">
        <v>0</v>
      </c>
      <c r="L500" t="s">
        <v>1934</v>
      </c>
      <c r="M500" t="s">
        <v>29</v>
      </c>
      <c r="N500" t="s">
        <v>30</v>
      </c>
      <c r="O500">
        <v>37208</v>
      </c>
      <c r="P500" t="s">
        <v>1935</v>
      </c>
      <c r="Q500" s="2">
        <v>0.34</v>
      </c>
      <c r="R500" s="2">
        <v>50</v>
      </c>
      <c r="S500" s="2">
        <v>300</v>
      </c>
      <c r="T500" t="s">
        <v>1868</v>
      </c>
      <c r="U500" s="6">
        <v>28447</v>
      </c>
      <c r="V500" s="2">
        <v>47037011002</v>
      </c>
      <c r="W500" s="2" t="s">
        <v>68</v>
      </c>
      <c r="X500" s="1">
        <v>45658</v>
      </c>
      <c r="Y500" s="2">
        <v>136000</v>
      </c>
      <c r="Z500" s="2">
        <v>0</v>
      </c>
      <c r="AA500" s="2">
        <v>136000</v>
      </c>
    </row>
    <row r="501" spans="1:27" x14ac:dyDescent="0.3">
      <c r="A501" s="4" t="s">
        <v>1631</v>
      </c>
      <c r="B501" s="2" t="str">
        <f>"06114020000"</f>
        <v>06114020000</v>
      </c>
      <c r="C501" s="2" t="s">
        <v>1936</v>
      </c>
      <c r="D501" t="s">
        <v>29</v>
      </c>
      <c r="E501" s="2" t="s">
        <v>30</v>
      </c>
      <c r="F501" s="2">
        <v>37216</v>
      </c>
      <c r="G501" s="2" t="s">
        <v>64</v>
      </c>
      <c r="H501" t="s">
        <v>379</v>
      </c>
      <c r="I501" s="6">
        <v>43679</v>
      </c>
      <c r="J501" s="2" t="s">
        <v>1937</v>
      </c>
      <c r="K501" s="2" t="s">
        <v>34</v>
      </c>
      <c r="L501" t="s">
        <v>1104</v>
      </c>
      <c r="M501" t="s">
        <v>29</v>
      </c>
      <c r="N501" t="s">
        <v>30</v>
      </c>
      <c r="O501">
        <v>37208</v>
      </c>
      <c r="P501" t="s">
        <v>1938</v>
      </c>
      <c r="Q501" s="2">
        <v>0.34</v>
      </c>
      <c r="R501" s="2">
        <v>50</v>
      </c>
      <c r="S501" s="2">
        <v>300</v>
      </c>
      <c r="T501" t="s">
        <v>1868</v>
      </c>
      <c r="U501" s="6">
        <v>28447</v>
      </c>
      <c r="V501" s="2">
        <v>47037011002</v>
      </c>
      <c r="W501" s="2" t="s">
        <v>68</v>
      </c>
      <c r="X501" s="1">
        <v>45658</v>
      </c>
      <c r="Y501" s="2">
        <v>68000</v>
      </c>
      <c r="Z501" s="2">
        <v>0</v>
      </c>
      <c r="AA501" s="2">
        <v>68000</v>
      </c>
    </row>
    <row r="502" spans="1:27" x14ac:dyDescent="0.3">
      <c r="A502" s="4" t="s">
        <v>1631</v>
      </c>
      <c r="B502" s="2" t="str">
        <f>"06116019500"</f>
        <v>06116019500</v>
      </c>
      <c r="C502" s="2" t="s">
        <v>1939</v>
      </c>
      <c r="D502" t="s">
        <v>29</v>
      </c>
      <c r="E502" s="2" t="s">
        <v>30</v>
      </c>
      <c r="F502" s="2">
        <v>37216</v>
      </c>
      <c r="G502" s="2" t="s">
        <v>194</v>
      </c>
      <c r="H502" t="s">
        <v>379</v>
      </c>
      <c r="I502" s="6">
        <v>45555</v>
      </c>
      <c r="J502" s="2" t="s">
        <v>1940</v>
      </c>
      <c r="K502" s="2" t="s">
        <v>34</v>
      </c>
      <c r="L502" t="s">
        <v>315</v>
      </c>
      <c r="M502" t="s">
        <v>29</v>
      </c>
      <c r="N502" t="s">
        <v>30</v>
      </c>
      <c r="O502">
        <v>37208</v>
      </c>
      <c r="P502" t="s">
        <v>1941</v>
      </c>
      <c r="Q502" s="2">
        <v>0.35</v>
      </c>
      <c r="R502" s="2">
        <v>50</v>
      </c>
      <c r="S502" s="2">
        <v>282</v>
      </c>
      <c r="T502" t="s">
        <v>1942</v>
      </c>
      <c r="U502" s="6">
        <v>21956</v>
      </c>
      <c r="V502" s="2">
        <v>47037011100</v>
      </c>
      <c r="W502" s="2" t="s">
        <v>68</v>
      </c>
      <c r="X502" s="1">
        <v>45658</v>
      </c>
      <c r="Y502" s="2">
        <v>439500</v>
      </c>
      <c r="Z502" s="2">
        <v>67500</v>
      </c>
      <c r="AA502" s="2">
        <v>372000</v>
      </c>
    </row>
    <row r="503" spans="1:27" x14ac:dyDescent="0.3">
      <c r="A503" s="4" t="s">
        <v>1943</v>
      </c>
      <c r="B503" s="2" t="str">
        <f>"16400030900"</f>
        <v>16400030900</v>
      </c>
      <c r="C503" s="2" t="s">
        <v>1944</v>
      </c>
      <c r="D503" t="s">
        <v>1945</v>
      </c>
      <c r="E503" s="2" t="s">
        <v>30</v>
      </c>
      <c r="F503" s="2">
        <v>37013</v>
      </c>
      <c r="G503" s="2" t="s">
        <v>64</v>
      </c>
      <c r="H503" t="s">
        <v>32</v>
      </c>
      <c r="I503" s="6">
        <v>39293</v>
      </c>
      <c r="J503" s="2" t="s">
        <v>1946</v>
      </c>
      <c r="K503" s="2">
        <v>0</v>
      </c>
      <c r="L503" t="s">
        <v>35</v>
      </c>
      <c r="M503" t="s">
        <v>29</v>
      </c>
      <c r="N503" t="s">
        <v>30</v>
      </c>
      <c r="O503">
        <v>37219</v>
      </c>
      <c r="P503" t="s">
        <v>1947</v>
      </c>
      <c r="Q503" s="2">
        <v>3</v>
      </c>
      <c r="R503" s="2">
        <v>0</v>
      </c>
      <c r="S503" s="2">
        <v>0</v>
      </c>
      <c r="T503" t="s">
        <v>1946</v>
      </c>
      <c r="U503" s="6">
        <v>39293</v>
      </c>
      <c r="V503" s="2">
        <v>47037015631</v>
      </c>
      <c r="W503" s="2" t="s">
        <v>68</v>
      </c>
      <c r="X503" s="1">
        <v>45658</v>
      </c>
      <c r="Y503" s="2">
        <v>311100</v>
      </c>
      <c r="Z503" s="2">
        <v>0</v>
      </c>
      <c r="AA503" s="2">
        <v>311100</v>
      </c>
    </row>
    <row r="504" spans="1:27" x14ac:dyDescent="0.3">
      <c r="A504" s="4" t="s">
        <v>1943</v>
      </c>
      <c r="B504" s="2" t="str">
        <f>"15000013400"</f>
        <v>15000013400</v>
      </c>
      <c r="C504" s="2" t="s">
        <v>1948</v>
      </c>
      <c r="D504" t="s">
        <v>1945</v>
      </c>
      <c r="E504" s="2" t="s">
        <v>30</v>
      </c>
      <c r="F504" s="2">
        <v>37013</v>
      </c>
      <c r="G504" s="2" t="s">
        <v>1949</v>
      </c>
      <c r="H504" t="s">
        <v>32</v>
      </c>
      <c r="I504" s="6">
        <v>45490</v>
      </c>
      <c r="J504" s="2" t="s">
        <v>1950</v>
      </c>
      <c r="K504" s="2">
        <v>0</v>
      </c>
      <c r="L504" t="s">
        <v>85</v>
      </c>
      <c r="M504" t="s">
        <v>29</v>
      </c>
      <c r="N504" t="s">
        <v>30</v>
      </c>
      <c r="O504">
        <v>37219</v>
      </c>
      <c r="P504" t="s">
        <v>1951</v>
      </c>
      <c r="Q504" s="2">
        <v>3.7</v>
      </c>
      <c r="R504" s="2">
        <v>647</v>
      </c>
      <c r="S504" s="2">
        <v>0</v>
      </c>
      <c r="T504" t="s">
        <v>1952</v>
      </c>
      <c r="U504" s="6">
        <v>43130</v>
      </c>
      <c r="V504" s="2">
        <v>47037015631</v>
      </c>
      <c r="W504" s="2" t="s">
        <v>68</v>
      </c>
      <c r="X504" s="1">
        <v>45658</v>
      </c>
      <c r="Y504" s="2">
        <v>1311700</v>
      </c>
      <c r="Z504" s="2">
        <v>731400</v>
      </c>
      <c r="AA504" s="2">
        <v>580300</v>
      </c>
    </row>
    <row r="505" spans="1:27" x14ac:dyDescent="0.3">
      <c r="A505" s="4" t="s">
        <v>1943</v>
      </c>
      <c r="B505" s="2" t="str">
        <f>"15000011800"</f>
        <v>15000011800</v>
      </c>
      <c r="C505" s="2" t="s">
        <v>1953</v>
      </c>
      <c r="D505" t="s">
        <v>1945</v>
      </c>
      <c r="E505" s="2" t="s">
        <v>30</v>
      </c>
      <c r="F505" s="2">
        <v>37013</v>
      </c>
      <c r="G505" s="2" t="s">
        <v>152</v>
      </c>
      <c r="H505" t="s">
        <v>176</v>
      </c>
      <c r="I505" s="6">
        <v>22908</v>
      </c>
      <c r="J505" s="2" t="s">
        <v>1954</v>
      </c>
      <c r="K505" s="2" t="s">
        <v>34</v>
      </c>
      <c r="L505" t="s">
        <v>934</v>
      </c>
      <c r="M505" t="s">
        <v>29</v>
      </c>
      <c r="N505" t="s">
        <v>30</v>
      </c>
      <c r="O505">
        <v>37246</v>
      </c>
      <c r="P505" t="s">
        <v>1955</v>
      </c>
      <c r="Q505" s="2">
        <v>6.8</v>
      </c>
      <c r="R505" s="2">
        <v>0</v>
      </c>
      <c r="S505" s="2">
        <v>0</v>
      </c>
      <c r="T505" t="s">
        <v>1954</v>
      </c>
      <c r="U505" s="6">
        <v>22908</v>
      </c>
      <c r="V505" s="2">
        <v>47037015631</v>
      </c>
      <c r="W505" s="2" t="s">
        <v>68</v>
      </c>
      <c r="X505" s="1">
        <v>45658</v>
      </c>
      <c r="Y505" s="2">
        <v>550500</v>
      </c>
      <c r="Z505" s="2">
        <v>0</v>
      </c>
      <c r="AA505" s="2">
        <v>550500</v>
      </c>
    </row>
    <row r="506" spans="1:27" x14ac:dyDescent="0.3">
      <c r="A506" s="4" t="s">
        <v>1943</v>
      </c>
      <c r="B506" s="2" t="str">
        <f>"16400020200"</f>
        <v>16400020200</v>
      </c>
      <c r="C506" s="2" t="s">
        <v>1956</v>
      </c>
      <c r="D506" t="s">
        <v>1945</v>
      </c>
      <c r="E506" s="2" t="s">
        <v>30</v>
      </c>
      <c r="F506" s="2">
        <v>37013</v>
      </c>
      <c r="G506" s="2" t="s">
        <v>253</v>
      </c>
      <c r="H506" t="s">
        <v>1957</v>
      </c>
      <c r="I506" s="6">
        <v>34862</v>
      </c>
      <c r="J506" s="2" t="s">
        <v>1958</v>
      </c>
      <c r="K506" s="2" t="s">
        <v>34</v>
      </c>
      <c r="L506" t="s">
        <v>35</v>
      </c>
      <c r="M506" t="s">
        <v>29</v>
      </c>
      <c r="N506" t="s">
        <v>30</v>
      </c>
      <c r="O506">
        <v>37219</v>
      </c>
      <c r="P506" t="s">
        <v>1959</v>
      </c>
      <c r="Q506" s="2">
        <v>52.74</v>
      </c>
      <c r="R506" s="2">
        <v>0</v>
      </c>
      <c r="S506" s="2">
        <v>0</v>
      </c>
      <c r="T506" t="s">
        <v>278</v>
      </c>
      <c r="U506" s="6">
        <v>36580</v>
      </c>
      <c r="V506" s="2">
        <v>47037015631</v>
      </c>
      <c r="W506" s="2" t="s">
        <v>68</v>
      </c>
      <c r="X506" s="1">
        <v>45658</v>
      </c>
      <c r="Y506" s="2">
        <v>2269800</v>
      </c>
      <c r="Z506" s="2">
        <v>0</v>
      </c>
      <c r="AA506" s="2">
        <v>2269800</v>
      </c>
    </row>
    <row r="507" spans="1:27" x14ac:dyDescent="0.3">
      <c r="A507" s="4" t="s">
        <v>1943</v>
      </c>
      <c r="B507" s="2" t="str">
        <f>"16400025400"</f>
        <v>16400025400</v>
      </c>
      <c r="C507" s="2" t="s">
        <v>1960</v>
      </c>
      <c r="D507" t="s">
        <v>1945</v>
      </c>
      <c r="E507" s="2" t="s">
        <v>30</v>
      </c>
      <c r="F507" s="2">
        <v>37013</v>
      </c>
      <c r="G507" s="2" t="s">
        <v>253</v>
      </c>
      <c r="H507" t="s">
        <v>1961</v>
      </c>
      <c r="I507" s="6">
        <v>36235</v>
      </c>
      <c r="J507" s="2" t="s">
        <v>1962</v>
      </c>
      <c r="K507" s="2">
        <v>366375</v>
      </c>
      <c r="L507" t="s">
        <v>35</v>
      </c>
      <c r="M507" t="s">
        <v>29</v>
      </c>
      <c r="N507" t="s">
        <v>30</v>
      </c>
      <c r="O507">
        <v>37219</v>
      </c>
      <c r="P507" t="s">
        <v>1963</v>
      </c>
      <c r="Q507" s="2">
        <v>29.31</v>
      </c>
      <c r="R507" s="2">
        <v>0</v>
      </c>
      <c r="S507" s="2">
        <v>0</v>
      </c>
      <c r="T507" t="s">
        <v>1964</v>
      </c>
      <c r="U507" s="6">
        <v>33521</v>
      </c>
      <c r="V507" s="2">
        <v>47037015631</v>
      </c>
      <c r="W507" s="2" t="s">
        <v>38</v>
      </c>
      <c r="X507" s="1">
        <v>45658</v>
      </c>
      <c r="Y507" s="2">
        <v>1741700</v>
      </c>
      <c r="Z507" s="2">
        <v>0</v>
      </c>
      <c r="AA507" s="2">
        <v>1741700</v>
      </c>
    </row>
    <row r="508" spans="1:27" x14ac:dyDescent="0.3">
      <c r="A508" s="4" t="s">
        <v>1943</v>
      </c>
      <c r="B508" s="2" t="str">
        <f>"16400013300"</f>
        <v>16400013300</v>
      </c>
      <c r="C508" s="2" t="s">
        <v>1965</v>
      </c>
      <c r="D508" t="s">
        <v>1945</v>
      </c>
      <c r="E508" s="2" t="s">
        <v>30</v>
      </c>
      <c r="F508" s="2">
        <v>37013</v>
      </c>
      <c r="G508" s="2" t="s">
        <v>253</v>
      </c>
      <c r="H508" t="s">
        <v>1966</v>
      </c>
      <c r="I508" s="6">
        <v>18233</v>
      </c>
      <c r="J508" s="2" t="s">
        <v>1967</v>
      </c>
      <c r="K508" s="2" t="s">
        <v>34</v>
      </c>
      <c r="L508" t="s">
        <v>35</v>
      </c>
      <c r="M508" t="s">
        <v>29</v>
      </c>
      <c r="N508" t="s">
        <v>30</v>
      </c>
      <c r="O508">
        <v>37219</v>
      </c>
      <c r="P508" t="s">
        <v>1968</v>
      </c>
      <c r="Q508" s="2">
        <v>14.85</v>
      </c>
      <c r="R508" s="2">
        <v>0</v>
      </c>
      <c r="S508" s="2">
        <v>0</v>
      </c>
      <c r="T508" t="s">
        <v>1969</v>
      </c>
      <c r="U508" s="6">
        <v>36593</v>
      </c>
      <c r="V508" s="2">
        <v>47037015631</v>
      </c>
      <c r="W508" s="2" t="s">
        <v>68</v>
      </c>
      <c r="X508" s="1">
        <v>45658</v>
      </c>
      <c r="Y508" s="2">
        <v>6468700</v>
      </c>
      <c r="Z508" s="2">
        <v>0</v>
      </c>
      <c r="AA508" s="2">
        <v>6468700</v>
      </c>
    </row>
    <row r="509" spans="1:27" x14ac:dyDescent="0.3">
      <c r="A509" s="4" t="s">
        <v>1943</v>
      </c>
      <c r="B509" s="2" t="str">
        <f>"15000004800"</f>
        <v>15000004800</v>
      </c>
      <c r="C509" s="2" t="s">
        <v>1970</v>
      </c>
      <c r="D509" t="s">
        <v>1945</v>
      </c>
      <c r="E509" s="2" t="s">
        <v>30</v>
      </c>
      <c r="F509" s="2">
        <v>37013</v>
      </c>
      <c r="G509" s="2" t="s">
        <v>31</v>
      </c>
      <c r="H509" t="s">
        <v>1971</v>
      </c>
      <c r="I509" s="6">
        <v>41528</v>
      </c>
      <c r="J509" s="2" t="s">
        <v>1972</v>
      </c>
      <c r="K509" s="2">
        <v>0</v>
      </c>
      <c r="L509" t="s">
        <v>35</v>
      </c>
      <c r="M509" t="s">
        <v>29</v>
      </c>
      <c r="N509" t="s">
        <v>30</v>
      </c>
      <c r="O509">
        <v>37219</v>
      </c>
      <c r="P509" t="s">
        <v>1973</v>
      </c>
      <c r="Q509" s="2">
        <v>24.22</v>
      </c>
      <c r="R509" s="2">
        <v>0</v>
      </c>
      <c r="S509" s="2">
        <v>0</v>
      </c>
      <c r="T509" t="s">
        <v>1974</v>
      </c>
      <c r="U509" s="6">
        <v>42370</v>
      </c>
      <c r="V509" s="2">
        <v>47037015619</v>
      </c>
      <c r="W509" s="2" t="s">
        <v>68</v>
      </c>
      <c r="X509" s="1">
        <v>45658</v>
      </c>
      <c r="Y509" s="2">
        <v>836500</v>
      </c>
      <c r="Z509" s="2">
        <v>0</v>
      </c>
      <c r="AA509" s="2">
        <v>836500</v>
      </c>
    </row>
    <row r="510" spans="1:27" x14ac:dyDescent="0.3">
      <c r="A510" s="4" t="s">
        <v>1943</v>
      </c>
      <c r="B510" s="2" t="str">
        <f>"15000037100"</f>
        <v>15000037100</v>
      </c>
      <c r="C510" s="2" t="s">
        <v>1975</v>
      </c>
      <c r="D510" t="s">
        <v>1945</v>
      </c>
      <c r="E510" s="2" t="s">
        <v>30</v>
      </c>
      <c r="F510" s="2">
        <v>37013</v>
      </c>
      <c r="G510" s="2" t="s">
        <v>31</v>
      </c>
      <c r="H510" t="s">
        <v>1976</v>
      </c>
      <c r="I510" s="6">
        <v>42849</v>
      </c>
      <c r="J510" s="2" t="s">
        <v>1977</v>
      </c>
      <c r="K510" s="2">
        <v>0</v>
      </c>
      <c r="L510" t="s">
        <v>35</v>
      </c>
      <c r="M510" t="s">
        <v>29</v>
      </c>
      <c r="N510" t="s">
        <v>30</v>
      </c>
      <c r="O510">
        <v>37219</v>
      </c>
      <c r="P510" t="s">
        <v>1978</v>
      </c>
      <c r="Q510" s="2">
        <v>2.98</v>
      </c>
      <c r="R510" s="2">
        <v>0</v>
      </c>
      <c r="S510" s="2">
        <v>0</v>
      </c>
      <c r="T510" t="s">
        <v>1979</v>
      </c>
      <c r="U510" s="6">
        <v>38079</v>
      </c>
      <c r="V510" s="2">
        <v>47037015619</v>
      </c>
      <c r="W510" s="2" t="s">
        <v>68</v>
      </c>
      <c r="X510" s="1">
        <v>45658</v>
      </c>
      <c r="Y510" s="2">
        <v>309000</v>
      </c>
      <c r="Z510" s="2">
        <v>0</v>
      </c>
      <c r="AA510" s="2">
        <v>309000</v>
      </c>
    </row>
    <row r="511" spans="1:27" x14ac:dyDescent="0.3">
      <c r="A511" s="4" t="s">
        <v>1943</v>
      </c>
      <c r="B511" s="2" t="str">
        <f>"15000037200"</f>
        <v>15000037200</v>
      </c>
      <c r="C511" s="2" t="s">
        <v>1980</v>
      </c>
      <c r="D511" t="s">
        <v>1945</v>
      </c>
      <c r="E511" s="2" t="s">
        <v>30</v>
      </c>
      <c r="F511" s="2">
        <v>37013</v>
      </c>
      <c r="G511" s="2" t="s">
        <v>64</v>
      </c>
      <c r="H511" t="s">
        <v>1976</v>
      </c>
      <c r="I511" s="6">
        <v>42849</v>
      </c>
      <c r="J511" s="2" t="s">
        <v>1977</v>
      </c>
      <c r="K511" s="2">
        <v>0</v>
      </c>
      <c r="L511" t="s">
        <v>35</v>
      </c>
      <c r="M511" t="s">
        <v>29</v>
      </c>
      <c r="N511" t="s">
        <v>30</v>
      </c>
      <c r="O511">
        <v>37219</v>
      </c>
      <c r="P511" t="s">
        <v>1981</v>
      </c>
      <c r="Q511" s="2">
        <v>2.2799999999999998</v>
      </c>
      <c r="R511" s="2">
        <v>398</v>
      </c>
      <c r="S511" s="2">
        <v>0</v>
      </c>
      <c r="T511" t="s">
        <v>1982</v>
      </c>
      <c r="U511" s="6">
        <v>38013</v>
      </c>
      <c r="V511" s="2">
        <v>47037015619</v>
      </c>
      <c r="W511" s="2" t="s">
        <v>68</v>
      </c>
      <c r="X511" s="1">
        <v>45658</v>
      </c>
      <c r="Y511" s="2">
        <v>30000</v>
      </c>
      <c r="Z511" s="2">
        <v>0</v>
      </c>
      <c r="AA511" s="2">
        <v>30000</v>
      </c>
    </row>
    <row r="512" spans="1:27" x14ac:dyDescent="0.3">
      <c r="A512" s="4" t="s">
        <v>1943</v>
      </c>
      <c r="B512" s="2" t="str">
        <f>"15000036800"</f>
        <v>15000036800</v>
      </c>
      <c r="C512" s="2" t="s">
        <v>1983</v>
      </c>
      <c r="D512" t="s">
        <v>1945</v>
      </c>
      <c r="E512" s="2" t="s">
        <v>30</v>
      </c>
      <c r="F512" s="2">
        <v>37013</v>
      </c>
      <c r="G512" s="2" t="s">
        <v>1949</v>
      </c>
      <c r="H512" t="s">
        <v>1976</v>
      </c>
      <c r="I512" s="6">
        <v>37949</v>
      </c>
      <c r="J512" s="2" t="s">
        <v>1984</v>
      </c>
      <c r="K512" s="2">
        <v>0</v>
      </c>
      <c r="L512" t="s">
        <v>35</v>
      </c>
      <c r="M512" t="s">
        <v>29</v>
      </c>
      <c r="N512" t="s">
        <v>30</v>
      </c>
      <c r="O512">
        <v>37219</v>
      </c>
      <c r="P512" t="s">
        <v>1985</v>
      </c>
      <c r="Q512" s="2">
        <v>11</v>
      </c>
      <c r="R512" s="2">
        <v>0</v>
      </c>
      <c r="S512" s="2">
        <v>0</v>
      </c>
      <c r="T512" t="s">
        <v>1984</v>
      </c>
      <c r="U512" s="6">
        <v>37949</v>
      </c>
      <c r="V512" s="2">
        <v>47037015619</v>
      </c>
      <c r="W512" s="2" t="s">
        <v>68</v>
      </c>
      <c r="X512" s="1">
        <v>45658</v>
      </c>
      <c r="Y512" s="2">
        <v>750900</v>
      </c>
      <c r="Z512" s="2">
        <v>0</v>
      </c>
      <c r="AA512" s="2">
        <v>750900</v>
      </c>
    </row>
    <row r="513" spans="1:27" x14ac:dyDescent="0.3">
      <c r="A513" s="4" t="s">
        <v>1943</v>
      </c>
      <c r="B513" s="2" t="str">
        <f>"17600004600"</f>
        <v>17600004600</v>
      </c>
      <c r="C513" s="2" t="s">
        <v>1986</v>
      </c>
      <c r="D513" t="s">
        <v>1945</v>
      </c>
      <c r="E513" s="2" t="s">
        <v>30</v>
      </c>
      <c r="F513" s="2">
        <v>37013</v>
      </c>
      <c r="G513" s="2" t="s">
        <v>64</v>
      </c>
      <c r="H513" t="s">
        <v>280</v>
      </c>
      <c r="I513" s="6">
        <v>32196</v>
      </c>
      <c r="J513" s="2" t="s">
        <v>1987</v>
      </c>
      <c r="K513" s="2" t="s">
        <v>34</v>
      </c>
      <c r="L513" t="s">
        <v>35</v>
      </c>
      <c r="M513" t="s">
        <v>29</v>
      </c>
      <c r="N513" t="s">
        <v>30</v>
      </c>
      <c r="O513">
        <v>37219</v>
      </c>
      <c r="P513" t="s">
        <v>1988</v>
      </c>
      <c r="Q513" s="2">
        <v>0.03</v>
      </c>
      <c r="R513" s="2">
        <v>0</v>
      </c>
      <c r="S513" s="2">
        <v>0</v>
      </c>
      <c r="T513" t="s">
        <v>1987</v>
      </c>
      <c r="U513" s="6">
        <v>32196</v>
      </c>
      <c r="V513" s="2">
        <v>47037015631</v>
      </c>
      <c r="W513" s="2" t="s">
        <v>68</v>
      </c>
      <c r="X513" s="1">
        <v>45658</v>
      </c>
      <c r="Y513" s="2">
        <v>100</v>
      </c>
      <c r="Z513" s="2">
        <v>0</v>
      </c>
      <c r="AA513" s="2">
        <v>100</v>
      </c>
    </row>
    <row r="514" spans="1:27" x14ac:dyDescent="0.3">
      <c r="A514" s="4" t="s">
        <v>1943</v>
      </c>
      <c r="B514" s="2" t="str">
        <f>"17600002900"</f>
        <v>17600002900</v>
      </c>
      <c r="C514" s="2" t="s">
        <v>1989</v>
      </c>
      <c r="D514" t="s">
        <v>1945</v>
      </c>
      <c r="E514" s="2" t="s">
        <v>30</v>
      </c>
      <c r="F514" s="2">
        <v>37013</v>
      </c>
      <c r="G514" s="2" t="s">
        <v>152</v>
      </c>
      <c r="H514" t="s">
        <v>280</v>
      </c>
      <c r="I514" s="6">
        <v>26846</v>
      </c>
      <c r="J514" s="2" t="s">
        <v>1990</v>
      </c>
      <c r="K514" s="2" t="s">
        <v>34</v>
      </c>
      <c r="L514" t="s">
        <v>35</v>
      </c>
      <c r="M514" t="s">
        <v>29</v>
      </c>
      <c r="N514" t="s">
        <v>30</v>
      </c>
      <c r="O514">
        <v>37219</v>
      </c>
      <c r="P514" t="s">
        <v>1991</v>
      </c>
      <c r="Q514" s="2">
        <v>4.63</v>
      </c>
      <c r="R514" s="2">
        <v>0</v>
      </c>
      <c r="S514" s="2">
        <v>0</v>
      </c>
      <c r="T514" t="s">
        <v>1992</v>
      </c>
      <c r="U514" s="6">
        <v>25591</v>
      </c>
      <c r="V514" s="2">
        <v>47037015631</v>
      </c>
      <c r="W514" s="2" t="s">
        <v>68</v>
      </c>
      <c r="X514" s="1">
        <v>45658</v>
      </c>
      <c r="Y514" s="2">
        <v>11600</v>
      </c>
      <c r="Z514" s="2">
        <v>0</v>
      </c>
      <c r="AA514" s="2">
        <v>11600</v>
      </c>
    </row>
    <row r="515" spans="1:27" x14ac:dyDescent="0.3">
      <c r="A515" s="4" t="s">
        <v>1993</v>
      </c>
      <c r="B515" s="2" t="str">
        <f>"07400002600"</f>
        <v>07400002600</v>
      </c>
      <c r="C515" s="2" t="s">
        <v>1994</v>
      </c>
      <c r="D515" t="s">
        <v>866</v>
      </c>
      <c r="E515" s="2" t="s">
        <v>30</v>
      </c>
      <c r="F515" s="2">
        <v>37115</v>
      </c>
      <c r="G515" s="2" t="s">
        <v>31</v>
      </c>
      <c r="H515" t="s">
        <v>32</v>
      </c>
      <c r="I515" s="6">
        <v>41026</v>
      </c>
      <c r="J515" s="2" t="s">
        <v>1995</v>
      </c>
      <c r="K515" s="2">
        <v>198000</v>
      </c>
      <c r="L515" t="s">
        <v>35</v>
      </c>
      <c r="M515" t="s">
        <v>29</v>
      </c>
      <c r="N515" t="s">
        <v>30</v>
      </c>
      <c r="O515">
        <v>37219</v>
      </c>
      <c r="P515" t="s">
        <v>1996</v>
      </c>
      <c r="Q515" s="2">
        <v>1.1299999999999999</v>
      </c>
      <c r="R515" s="2">
        <v>0</v>
      </c>
      <c r="S515" s="2">
        <v>0</v>
      </c>
      <c r="T515" t="s">
        <v>1997</v>
      </c>
      <c r="U515" s="6">
        <v>33750</v>
      </c>
      <c r="V515" s="2">
        <v>47037010601</v>
      </c>
      <c r="W515" s="2" t="s">
        <v>38</v>
      </c>
      <c r="X515" s="1">
        <v>45658</v>
      </c>
      <c r="Y515" s="2">
        <v>92400</v>
      </c>
      <c r="Z515" s="2">
        <v>0</v>
      </c>
      <c r="AA515" s="2">
        <v>92400</v>
      </c>
    </row>
    <row r="516" spans="1:27" x14ac:dyDescent="0.3">
      <c r="A516" s="4" t="s">
        <v>1993</v>
      </c>
      <c r="B516" s="2" t="str">
        <f>"05201010700"</f>
        <v>05201010700</v>
      </c>
      <c r="C516" s="2" t="s">
        <v>1998</v>
      </c>
      <c r="D516" t="s">
        <v>866</v>
      </c>
      <c r="E516" s="2" t="s">
        <v>30</v>
      </c>
      <c r="F516" s="2">
        <v>37115</v>
      </c>
      <c r="G516" s="2" t="s">
        <v>64</v>
      </c>
      <c r="H516" t="s">
        <v>1999</v>
      </c>
      <c r="I516" s="6">
        <v>42530</v>
      </c>
      <c r="J516" s="2" t="s">
        <v>2000</v>
      </c>
      <c r="K516" s="2">
        <v>0</v>
      </c>
      <c r="L516" t="s">
        <v>343</v>
      </c>
      <c r="M516" t="s">
        <v>29</v>
      </c>
      <c r="N516" t="s">
        <v>30</v>
      </c>
      <c r="O516">
        <v>37201</v>
      </c>
      <c r="P516" t="s">
        <v>2001</v>
      </c>
      <c r="Q516" s="2">
        <v>0.35</v>
      </c>
      <c r="R516" s="2">
        <v>83</v>
      </c>
      <c r="S516" s="2">
        <v>165</v>
      </c>
      <c r="T516" t="s">
        <v>1997</v>
      </c>
      <c r="U516" s="6">
        <v>33750</v>
      </c>
      <c r="V516" s="2">
        <v>47037010701</v>
      </c>
      <c r="W516" s="2" t="s">
        <v>837</v>
      </c>
      <c r="X516" s="1">
        <v>45658</v>
      </c>
      <c r="Y516" s="2">
        <v>5200</v>
      </c>
      <c r="Z516" s="2">
        <v>0</v>
      </c>
      <c r="AA516" s="2">
        <v>5200</v>
      </c>
    </row>
    <row r="517" spans="1:27" x14ac:dyDescent="0.3">
      <c r="A517" s="4" t="s">
        <v>1993</v>
      </c>
      <c r="B517" s="2" t="str">
        <f>"04314015100"</f>
        <v>04314015100</v>
      </c>
      <c r="C517" s="2" t="s">
        <v>2002</v>
      </c>
      <c r="D517" t="s">
        <v>866</v>
      </c>
      <c r="E517" s="2" t="s">
        <v>30</v>
      </c>
      <c r="F517" s="2">
        <v>37115</v>
      </c>
      <c r="G517" s="2" t="s">
        <v>64</v>
      </c>
      <c r="H517" t="s">
        <v>99</v>
      </c>
      <c r="I517" s="6">
        <v>27417</v>
      </c>
      <c r="J517" s="2" t="s">
        <v>2003</v>
      </c>
      <c r="K517" s="2">
        <v>208</v>
      </c>
      <c r="L517" t="s">
        <v>35</v>
      </c>
      <c r="M517" t="s">
        <v>29</v>
      </c>
      <c r="N517" t="s">
        <v>30</v>
      </c>
      <c r="O517">
        <v>37219</v>
      </c>
      <c r="P517" t="s">
        <v>2004</v>
      </c>
      <c r="Q517" s="2">
        <v>0.04</v>
      </c>
      <c r="R517" s="2">
        <v>15</v>
      </c>
      <c r="S517" s="2">
        <v>145</v>
      </c>
      <c r="T517" t="s">
        <v>2003</v>
      </c>
      <c r="U517" s="6">
        <v>27417</v>
      </c>
      <c r="V517" s="2">
        <v>47037010701</v>
      </c>
      <c r="W517" s="2" t="s">
        <v>837</v>
      </c>
      <c r="X517" s="1">
        <v>45658</v>
      </c>
      <c r="Y517" s="2">
        <v>800</v>
      </c>
      <c r="Z517" s="2">
        <v>0</v>
      </c>
      <c r="AA517" s="2">
        <v>800</v>
      </c>
    </row>
    <row r="518" spans="1:27" x14ac:dyDescent="0.3">
      <c r="A518" s="4" t="s">
        <v>1993</v>
      </c>
      <c r="B518" s="2" t="str">
        <f>"05203003500"</f>
        <v>05203003500</v>
      </c>
      <c r="C518" s="2" t="s">
        <v>2005</v>
      </c>
      <c r="D518" t="s">
        <v>866</v>
      </c>
      <c r="E518" s="2" t="s">
        <v>30</v>
      </c>
      <c r="F518" s="2">
        <v>37115</v>
      </c>
      <c r="G518" s="2" t="s">
        <v>64</v>
      </c>
      <c r="H518" t="s">
        <v>99</v>
      </c>
      <c r="I518" s="6">
        <v>36972</v>
      </c>
      <c r="J518" s="2" t="s">
        <v>2006</v>
      </c>
      <c r="K518" s="2">
        <v>480</v>
      </c>
      <c r="L518" t="s">
        <v>35</v>
      </c>
      <c r="M518" t="s">
        <v>29</v>
      </c>
      <c r="N518" t="s">
        <v>30</v>
      </c>
      <c r="O518">
        <v>37219</v>
      </c>
      <c r="P518" t="s">
        <v>2007</v>
      </c>
      <c r="Q518" s="2">
        <v>0.02</v>
      </c>
      <c r="R518" s="2">
        <v>50</v>
      </c>
      <c r="S518" s="2">
        <v>50</v>
      </c>
      <c r="T518" t="s">
        <v>2008</v>
      </c>
      <c r="U518" s="6">
        <v>16614</v>
      </c>
      <c r="V518" s="2">
        <v>47037010602</v>
      </c>
      <c r="W518" s="2" t="s">
        <v>837</v>
      </c>
      <c r="X518" s="1">
        <v>45658</v>
      </c>
      <c r="Y518" s="2">
        <v>900</v>
      </c>
      <c r="Z518" s="2">
        <v>0</v>
      </c>
      <c r="AA518" s="2">
        <v>900</v>
      </c>
    </row>
    <row r="519" spans="1:27" x14ac:dyDescent="0.3">
      <c r="A519" s="4" t="s">
        <v>1993</v>
      </c>
      <c r="B519" s="2" t="str">
        <f>"05203006500"</f>
        <v>05203006500</v>
      </c>
      <c r="C519" s="2" t="s">
        <v>2009</v>
      </c>
      <c r="D519" t="s">
        <v>866</v>
      </c>
      <c r="E519" s="2" t="s">
        <v>30</v>
      </c>
      <c r="F519" s="2">
        <v>37115</v>
      </c>
      <c r="G519" s="2" t="s">
        <v>64</v>
      </c>
      <c r="H519" t="s">
        <v>99</v>
      </c>
      <c r="I519" s="6">
        <v>38082</v>
      </c>
      <c r="J519" s="2" t="s">
        <v>2010</v>
      </c>
      <c r="K519" s="2">
        <v>10652</v>
      </c>
      <c r="L519" t="s">
        <v>35</v>
      </c>
      <c r="M519" t="s">
        <v>29</v>
      </c>
      <c r="N519" t="s">
        <v>30</v>
      </c>
      <c r="O519">
        <v>37219</v>
      </c>
      <c r="P519" t="s">
        <v>2011</v>
      </c>
      <c r="Q519" s="2">
        <v>0.23</v>
      </c>
      <c r="R519" s="2">
        <v>200</v>
      </c>
      <c r="S519" s="2">
        <v>50</v>
      </c>
      <c r="T519" t="s">
        <v>2012</v>
      </c>
      <c r="U519" s="6">
        <v>16424</v>
      </c>
      <c r="V519" s="2">
        <v>47037010602</v>
      </c>
      <c r="W519" s="2" t="s">
        <v>837</v>
      </c>
      <c r="X519" s="1">
        <v>45658</v>
      </c>
      <c r="Y519" s="2">
        <v>78900</v>
      </c>
      <c r="Z519" s="2">
        <v>0</v>
      </c>
      <c r="AA519" s="2">
        <v>78900</v>
      </c>
    </row>
    <row r="520" spans="1:27" x14ac:dyDescent="0.3">
      <c r="A520" s="4" t="s">
        <v>1993</v>
      </c>
      <c r="B520" s="2" t="str">
        <f>"04216017600"</f>
        <v>04216017600</v>
      </c>
      <c r="C520" s="2" t="s">
        <v>2013</v>
      </c>
      <c r="D520" t="s">
        <v>866</v>
      </c>
      <c r="E520" s="2" t="s">
        <v>30</v>
      </c>
      <c r="F520" s="2">
        <v>37115</v>
      </c>
      <c r="G520" s="2" t="s">
        <v>147</v>
      </c>
      <c r="H520" t="s">
        <v>1131</v>
      </c>
      <c r="I520" s="6">
        <v>28535</v>
      </c>
      <c r="J520" s="2" t="s">
        <v>2014</v>
      </c>
      <c r="K520" s="2" t="s">
        <v>34</v>
      </c>
      <c r="L520" t="s">
        <v>35</v>
      </c>
      <c r="M520" t="s">
        <v>29</v>
      </c>
      <c r="N520" t="s">
        <v>30</v>
      </c>
      <c r="O520">
        <v>37219</v>
      </c>
      <c r="P520" t="s">
        <v>2015</v>
      </c>
      <c r="Q520" s="2">
        <v>0.64</v>
      </c>
      <c r="R520" s="2">
        <v>173</v>
      </c>
      <c r="S520" s="2">
        <v>147</v>
      </c>
      <c r="T520" t="s">
        <v>2016</v>
      </c>
      <c r="U520" s="6">
        <v>28493</v>
      </c>
      <c r="V520" s="2">
        <v>47037010701</v>
      </c>
      <c r="W520" s="2" t="s">
        <v>837</v>
      </c>
      <c r="X520" s="1">
        <v>45658</v>
      </c>
      <c r="Y520" s="2">
        <v>223000</v>
      </c>
      <c r="Z520" s="2">
        <v>0</v>
      </c>
      <c r="AA520" s="2">
        <v>223000</v>
      </c>
    </row>
    <row r="521" spans="1:27" x14ac:dyDescent="0.3">
      <c r="A521" s="4" t="s">
        <v>1993</v>
      </c>
      <c r="B521" s="2" t="str">
        <f>"05104005800"</f>
        <v>05104005800</v>
      </c>
      <c r="C521" s="2" t="s">
        <v>2017</v>
      </c>
      <c r="D521" t="s">
        <v>866</v>
      </c>
      <c r="E521" s="2" t="s">
        <v>30</v>
      </c>
      <c r="F521" s="2">
        <v>37115</v>
      </c>
      <c r="G521" s="2" t="s">
        <v>152</v>
      </c>
      <c r="H521" t="s">
        <v>2018</v>
      </c>
      <c r="I521" s="6">
        <v>23704</v>
      </c>
      <c r="J521" s="2" t="s">
        <v>2019</v>
      </c>
      <c r="K521" s="2" t="s">
        <v>34</v>
      </c>
      <c r="L521" t="s">
        <v>35</v>
      </c>
      <c r="M521" t="s">
        <v>29</v>
      </c>
      <c r="N521" t="s">
        <v>30</v>
      </c>
      <c r="O521">
        <v>37219</v>
      </c>
      <c r="P521" t="s">
        <v>2020</v>
      </c>
      <c r="Q521" s="2">
        <v>6.34</v>
      </c>
      <c r="R521" s="2">
        <v>222</v>
      </c>
      <c r="S521" s="2">
        <v>352</v>
      </c>
      <c r="T521" t="s">
        <v>2021</v>
      </c>
      <c r="U521" s="6">
        <v>40842</v>
      </c>
      <c r="V521" s="2">
        <v>47037010701</v>
      </c>
      <c r="W521" s="2" t="s">
        <v>837</v>
      </c>
      <c r="X521" s="1">
        <v>45658</v>
      </c>
      <c r="Y521" s="2">
        <v>2761700</v>
      </c>
      <c r="Z521" s="2">
        <v>0</v>
      </c>
      <c r="AA521" s="2">
        <v>2761700</v>
      </c>
    </row>
    <row r="522" spans="1:27" x14ac:dyDescent="0.3">
      <c r="A522" s="4" t="s">
        <v>1993</v>
      </c>
      <c r="B522" s="2" t="str">
        <f>"04305000500"</f>
        <v>04305000500</v>
      </c>
      <c r="C522" s="2" t="s">
        <v>2022</v>
      </c>
      <c r="D522" t="s">
        <v>866</v>
      </c>
      <c r="E522" s="2" t="s">
        <v>30</v>
      </c>
      <c r="F522" s="2">
        <v>37115</v>
      </c>
      <c r="G522" s="2" t="s">
        <v>152</v>
      </c>
      <c r="H522" t="s">
        <v>176</v>
      </c>
      <c r="I522" s="6">
        <v>20634</v>
      </c>
      <c r="J522" s="2" t="s">
        <v>2023</v>
      </c>
      <c r="K522" s="2" t="s">
        <v>34</v>
      </c>
      <c r="L522" t="s">
        <v>178</v>
      </c>
      <c r="M522" t="s">
        <v>29</v>
      </c>
      <c r="N522" t="s">
        <v>30</v>
      </c>
      <c r="O522">
        <v>37246</v>
      </c>
      <c r="P522" t="s">
        <v>2024</v>
      </c>
      <c r="Q522" s="2">
        <v>0.08</v>
      </c>
      <c r="R522" s="2">
        <v>65</v>
      </c>
      <c r="S522" s="2">
        <v>62</v>
      </c>
      <c r="T522" t="s">
        <v>2023</v>
      </c>
      <c r="U522" s="6">
        <v>20634</v>
      </c>
      <c r="V522" s="2">
        <v>47037010401</v>
      </c>
      <c r="W522" s="2" t="s">
        <v>837</v>
      </c>
      <c r="X522" s="1">
        <v>45658</v>
      </c>
      <c r="Y522" s="2">
        <v>32200</v>
      </c>
      <c r="Z522" s="2">
        <v>0</v>
      </c>
      <c r="AA522" s="2">
        <v>32200</v>
      </c>
    </row>
    <row r="523" spans="1:27" x14ac:dyDescent="0.3">
      <c r="A523" s="4" t="s">
        <v>1993</v>
      </c>
      <c r="B523" s="2" t="str">
        <f>"04216008700"</f>
        <v>04216008700</v>
      </c>
      <c r="C523" s="2" t="s">
        <v>2025</v>
      </c>
      <c r="D523" t="s">
        <v>866</v>
      </c>
      <c r="E523" s="2" t="s">
        <v>30</v>
      </c>
      <c r="F523" s="2">
        <v>37115</v>
      </c>
      <c r="G523" s="2" t="s">
        <v>152</v>
      </c>
      <c r="H523" t="s">
        <v>176</v>
      </c>
      <c r="I523" s="6">
        <v>18490</v>
      </c>
      <c r="J523" s="2" t="s">
        <v>2026</v>
      </c>
      <c r="K523" s="2" t="s">
        <v>34</v>
      </c>
      <c r="L523" t="s">
        <v>178</v>
      </c>
      <c r="M523" t="s">
        <v>29</v>
      </c>
      <c r="N523" t="s">
        <v>30</v>
      </c>
      <c r="O523">
        <v>37246</v>
      </c>
      <c r="P523" t="s">
        <v>2027</v>
      </c>
      <c r="Q523" s="2">
        <v>1.41</v>
      </c>
      <c r="R523" s="2">
        <v>180</v>
      </c>
      <c r="S523" s="2">
        <v>343</v>
      </c>
      <c r="T523" t="s">
        <v>2026</v>
      </c>
      <c r="U523" s="6">
        <v>18490</v>
      </c>
      <c r="V523" s="2">
        <v>47037010701</v>
      </c>
      <c r="W523" s="2" t="s">
        <v>837</v>
      </c>
      <c r="X523" s="1">
        <v>45658</v>
      </c>
      <c r="Y523" s="2">
        <v>493900</v>
      </c>
      <c r="Z523" s="2">
        <v>0</v>
      </c>
      <c r="AA523" s="2">
        <v>493900</v>
      </c>
    </row>
    <row r="524" spans="1:27" x14ac:dyDescent="0.3">
      <c r="A524" s="4" t="s">
        <v>1993</v>
      </c>
      <c r="B524" s="2" t="str">
        <f>"05202026900"</f>
        <v>05202026900</v>
      </c>
      <c r="C524" s="2" t="s">
        <v>2028</v>
      </c>
      <c r="D524" t="s">
        <v>866</v>
      </c>
      <c r="E524" s="2" t="s">
        <v>30</v>
      </c>
      <c r="F524" s="2">
        <v>37115</v>
      </c>
      <c r="G524" s="2" t="s">
        <v>152</v>
      </c>
      <c r="H524" t="s">
        <v>176</v>
      </c>
      <c r="I524" s="6">
        <v>19831</v>
      </c>
      <c r="J524" s="2" t="s">
        <v>2029</v>
      </c>
      <c r="K524" s="2" t="s">
        <v>34</v>
      </c>
      <c r="L524" t="s">
        <v>178</v>
      </c>
      <c r="M524" t="s">
        <v>29</v>
      </c>
      <c r="N524" t="s">
        <v>30</v>
      </c>
      <c r="O524">
        <v>37246</v>
      </c>
      <c r="P524" t="s">
        <v>2030</v>
      </c>
      <c r="Q524" s="2">
        <v>0.41</v>
      </c>
      <c r="R524" s="2">
        <v>140</v>
      </c>
      <c r="S524" s="2">
        <v>158</v>
      </c>
      <c r="T524" t="s">
        <v>2029</v>
      </c>
      <c r="U524" s="6">
        <v>19831</v>
      </c>
      <c r="V524" s="2">
        <v>47037010602</v>
      </c>
      <c r="W524" s="2" t="s">
        <v>837</v>
      </c>
      <c r="X524" s="1">
        <v>45658</v>
      </c>
      <c r="Y524" s="2">
        <v>127400</v>
      </c>
      <c r="Z524" s="2">
        <v>0</v>
      </c>
      <c r="AA524" s="2">
        <v>127400</v>
      </c>
    </row>
    <row r="525" spans="1:27" x14ac:dyDescent="0.3">
      <c r="A525" s="4" t="s">
        <v>1993</v>
      </c>
      <c r="B525" s="2" t="str">
        <f>"04313024400"</f>
        <v>04313024400</v>
      </c>
      <c r="C525" s="2" t="s">
        <v>2031</v>
      </c>
      <c r="D525" t="s">
        <v>866</v>
      </c>
      <c r="E525" s="2" t="s">
        <v>30</v>
      </c>
      <c r="F525" s="2">
        <v>37115</v>
      </c>
      <c r="G525" s="2" t="s">
        <v>152</v>
      </c>
      <c r="H525" t="s">
        <v>176</v>
      </c>
      <c r="I525" s="6">
        <v>14377</v>
      </c>
      <c r="J525" s="2" t="s">
        <v>2032</v>
      </c>
      <c r="K525" s="2" t="s">
        <v>34</v>
      </c>
      <c r="L525" t="s">
        <v>178</v>
      </c>
      <c r="M525" t="s">
        <v>29</v>
      </c>
      <c r="N525" t="s">
        <v>30</v>
      </c>
      <c r="O525">
        <v>37246</v>
      </c>
      <c r="P525" t="s">
        <v>2033</v>
      </c>
      <c r="Q525" s="2">
        <v>0.32</v>
      </c>
      <c r="R525" s="2">
        <v>50</v>
      </c>
      <c r="S525" s="2">
        <v>291</v>
      </c>
      <c r="T525" t="s">
        <v>2032</v>
      </c>
      <c r="U525" s="6">
        <v>14377</v>
      </c>
      <c r="V525" s="2">
        <v>47037010701</v>
      </c>
      <c r="W525" s="2" t="s">
        <v>837</v>
      </c>
      <c r="X525" s="1">
        <v>45658</v>
      </c>
      <c r="Y525" s="2">
        <v>101900</v>
      </c>
      <c r="Z525" s="2">
        <v>0</v>
      </c>
      <c r="AA525" s="2">
        <v>101900</v>
      </c>
    </row>
    <row r="526" spans="1:27" x14ac:dyDescent="0.3">
      <c r="A526" s="4" t="s">
        <v>1993</v>
      </c>
      <c r="B526" s="2" t="str">
        <f>"04310005701"</f>
        <v>04310005701</v>
      </c>
      <c r="C526" s="2" t="s">
        <v>2034</v>
      </c>
      <c r="D526" t="s">
        <v>866</v>
      </c>
      <c r="E526" s="2" t="s">
        <v>30</v>
      </c>
      <c r="F526" s="2">
        <v>37115</v>
      </c>
      <c r="G526" s="2" t="s">
        <v>152</v>
      </c>
      <c r="H526" t="s">
        <v>176</v>
      </c>
      <c r="I526" s="6">
        <v>23098</v>
      </c>
      <c r="J526" s="2" t="s">
        <v>2035</v>
      </c>
      <c r="K526" s="2" t="s">
        <v>34</v>
      </c>
      <c r="L526" t="s">
        <v>178</v>
      </c>
      <c r="M526" t="s">
        <v>29</v>
      </c>
      <c r="N526" t="s">
        <v>30</v>
      </c>
      <c r="O526">
        <v>37246</v>
      </c>
      <c r="P526" t="s">
        <v>2036</v>
      </c>
      <c r="Q526" s="2">
        <v>0.45</v>
      </c>
      <c r="R526" s="2">
        <v>100</v>
      </c>
      <c r="S526" s="2">
        <v>200</v>
      </c>
      <c r="T526" t="s">
        <v>2035</v>
      </c>
      <c r="U526" s="6">
        <v>23098</v>
      </c>
      <c r="V526" s="2">
        <v>47037010402</v>
      </c>
      <c r="W526" s="2" t="s">
        <v>837</v>
      </c>
      <c r="X526" s="1">
        <v>45658</v>
      </c>
      <c r="Y526" s="2">
        <v>93500</v>
      </c>
      <c r="Z526" s="2">
        <v>0</v>
      </c>
      <c r="AA526" s="2">
        <v>93500</v>
      </c>
    </row>
    <row r="527" spans="1:27" x14ac:dyDescent="0.3">
      <c r="A527" s="4" t="s">
        <v>1993</v>
      </c>
      <c r="B527" s="2" t="str">
        <f>"07400003401"</f>
        <v>07400003401</v>
      </c>
      <c r="C527" s="2" t="s">
        <v>2037</v>
      </c>
      <c r="D527" t="s">
        <v>866</v>
      </c>
      <c r="E527" s="2" t="s">
        <v>30</v>
      </c>
      <c r="F527" s="2">
        <v>37115</v>
      </c>
      <c r="G527" s="2" t="s">
        <v>194</v>
      </c>
      <c r="H527" t="s">
        <v>2038</v>
      </c>
      <c r="I527" s="6">
        <v>23567</v>
      </c>
      <c r="J527" s="2" t="s">
        <v>2039</v>
      </c>
      <c r="K527" s="2" t="s">
        <v>34</v>
      </c>
      <c r="L527" t="s">
        <v>35</v>
      </c>
      <c r="M527" t="s">
        <v>29</v>
      </c>
      <c r="N527" t="s">
        <v>30</v>
      </c>
      <c r="O527">
        <v>37219</v>
      </c>
      <c r="P527" t="s">
        <v>2040</v>
      </c>
      <c r="Q527" s="2">
        <v>635.02</v>
      </c>
      <c r="R527" s="2">
        <v>0</v>
      </c>
      <c r="S527" s="2">
        <v>0</v>
      </c>
      <c r="T527" t="s">
        <v>2041</v>
      </c>
      <c r="U527" s="6">
        <v>41367</v>
      </c>
      <c r="V527" s="2">
        <v>47037010601</v>
      </c>
      <c r="W527" s="2" t="s">
        <v>38</v>
      </c>
      <c r="X527" s="1">
        <v>45658</v>
      </c>
      <c r="Y527" s="2">
        <v>7104700</v>
      </c>
      <c r="Z527" s="2">
        <v>334200</v>
      </c>
      <c r="AA527" s="2">
        <v>6770500</v>
      </c>
    </row>
    <row r="528" spans="1:27" x14ac:dyDescent="0.3">
      <c r="A528" s="4" t="s">
        <v>1993</v>
      </c>
      <c r="B528" s="2" t="str">
        <f>"04310003400"</f>
        <v>04310003400</v>
      </c>
      <c r="C528" s="2" t="s">
        <v>2042</v>
      </c>
      <c r="D528" t="s">
        <v>866</v>
      </c>
      <c r="E528" s="2" t="s">
        <v>30</v>
      </c>
      <c r="F528" s="2">
        <v>37115</v>
      </c>
      <c r="G528" s="2" t="s">
        <v>200</v>
      </c>
      <c r="H528" t="s">
        <v>2043</v>
      </c>
      <c r="I528" s="6">
        <v>32188</v>
      </c>
      <c r="J528" s="2" t="s">
        <v>2044</v>
      </c>
      <c r="K528" s="2" t="s">
        <v>34</v>
      </c>
      <c r="L528" t="s">
        <v>35</v>
      </c>
      <c r="M528" t="s">
        <v>29</v>
      </c>
      <c r="N528" t="s">
        <v>30</v>
      </c>
      <c r="O528">
        <v>37219</v>
      </c>
      <c r="P528" t="s">
        <v>2045</v>
      </c>
      <c r="Q528" s="2">
        <v>30.58</v>
      </c>
      <c r="R528" s="2">
        <v>0</v>
      </c>
      <c r="S528" s="2">
        <v>0</v>
      </c>
      <c r="T528" t="s">
        <v>278</v>
      </c>
      <c r="U528" s="6">
        <v>36579</v>
      </c>
      <c r="V528" s="2">
        <v>47037010402</v>
      </c>
      <c r="W528" s="2" t="s">
        <v>837</v>
      </c>
      <c r="X528" s="1">
        <v>45658</v>
      </c>
      <c r="Y528" s="2">
        <v>764500</v>
      </c>
      <c r="Z528" s="2">
        <v>0</v>
      </c>
      <c r="AA528" s="2">
        <v>764500</v>
      </c>
    </row>
    <row r="529" spans="1:27" x14ac:dyDescent="0.3">
      <c r="A529" s="4" t="s">
        <v>1993</v>
      </c>
      <c r="B529" s="2" t="str">
        <f>"05313002800"</f>
        <v>05313002800</v>
      </c>
      <c r="C529" s="2" t="s">
        <v>2046</v>
      </c>
      <c r="D529" t="s">
        <v>866</v>
      </c>
      <c r="E529" s="2" t="s">
        <v>30</v>
      </c>
      <c r="F529" s="2">
        <v>37115</v>
      </c>
      <c r="G529" s="2" t="s">
        <v>64</v>
      </c>
      <c r="H529" t="s">
        <v>211</v>
      </c>
      <c r="I529" s="6">
        <v>42129</v>
      </c>
      <c r="J529" s="2" t="s">
        <v>2047</v>
      </c>
      <c r="K529" s="2">
        <v>0</v>
      </c>
      <c r="L529" t="s">
        <v>35</v>
      </c>
      <c r="M529" t="s">
        <v>29</v>
      </c>
      <c r="N529" t="s">
        <v>30</v>
      </c>
      <c r="O529">
        <v>37219</v>
      </c>
      <c r="P529" t="s">
        <v>2048</v>
      </c>
      <c r="Q529" s="2">
        <v>1.1299999999999999</v>
      </c>
      <c r="R529" s="2">
        <v>96</v>
      </c>
      <c r="S529" s="2">
        <v>501</v>
      </c>
      <c r="T529" t="s">
        <v>2049</v>
      </c>
      <c r="U529" s="6">
        <v>24931</v>
      </c>
      <c r="V529" s="2">
        <v>47037010601</v>
      </c>
      <c r="W529" s="2" t="s">
        <v>38</v>
      </c>
      <c r="X529" s="1">
        <v>45658</v>
      </c>
      <c r="Y529" s="2">
        <v>105000</v>
      </c>
      <c r="Z529" s="2">
        <v>0</v>
      </c>
      <c r="AA529" s="2">
        <v>105000</v>
      </c>
    </row>
    <row r="530" spans="1:27" x14ac:dyDescent="0.3">
      <c r="A530" s="4" t="s">
        <v>1993</v>
      </c>
      <c r="B530" s="2" t="str">
        <f>"05313002801"</f>
        <v>05313002801</v>
      </c>
      <c r="C530" s="2" t="s">
        <v>2050</v>
      </c>
      <c r="D530" t="s">
        <v>866</v>
      </c>
      <c r="E530" s="2" t="s">
        <v>30</v>
      </c>
      <c r="F530" s="2">
        <v>37115</v>
      </c>
      <c r="G530" s="2" t="s">
        <v>524</v>
      </c>
      <c r="H530" t="s">
        <v>211</v>
      </c>
      <c r="I530" s="6">
        <v>42129</v>
      </c>
      <c r="J530" s="2" t="s">
        <v>2047</v>
      </c>
      <c r="K530" s="2">
        <v>0</v>
      </c>
      <c r="L530" t="s">
        <v>35</v>
      </c>
      <c r="M530" t="s">
        <v>29</v>
      </c>
      <c r="N530" t="s">
        <v>30</v>
      </c>
      <c r="O530">
        <v>37219</v>
      </c>
      <c r="P530" t="s">
        <v>2051</v>
      </c>
      <c r="Q530" s="2">
        <v>0.78</v>
      </c>
      <c r="R530" s="2">
        <v>68</v>
      </c>
      <c r="S530" s="2">
        <v>501</v>
      </c>
      <c r="T530" t="s">
        <v>2052</v>
      </c>
      <c r="U530" s="6">
        <v>24495</v>
      </c>
      <c r="V530" s="2">
        <v>47037010601</v>
      </c>
      <c r="W530" s="2" t="s">
        <v>38</v>
      </c>
      <c r="X530" s="1">
        <v>45658</v>
      </c>
      <c r="Y530" s="2">
        <v>105000</v>
      </c>
      <c r="Z530" s="2">
        <v>0</v>
      </c>
      <c r="AA530" s="2">
        <v>105000</v>
      </c>
    </row>
    <row r="531" spans="1:27" x14ac:dyDescent="0.3">
      <c r="A531" s="4" t="s">
        <v>1993</v>
      </c>
      <c r="B531" s="2" t="str">
        <f>"05313002900"</f>
        <v>05313002900</v>
      </c>
      <c r="C531" s="2" t="s">
        <v>2053</v>
      </c>
      <c r="D531" t="s">
        <v>866</v>
      </c>
      <c r="E531" s="2" t="s">
        <v>30</v>
      </c>
      <c r="F531" s="2">
        <v>37115</v>
      </c>
      <c r="G531" s="2" t="s">
        <v>64</v>
      </c>
      <c r="H531" t="s">
        <v>211</v>
      </c>
      <c r="I531" s="6">
        <v>42129</v>
      </c>
      <c r="J531" s="2" t="s">
        <v>2047</v>
      </c>
      <c r="K531" s="2">
        <v>0</v>
      </c>
      <c r="L531" t="s">
        <v>35</v>
      </c>
      <c r="M531" t="s">
        <v>29</v>
      </c>
      <c r="N531" t="s">
        <v>30</v>
      </c>
      <c r="O531">
        <v>37219</v>
      </c>
      <c r="P531" t="s">
        <v>2054</v>
      </c>
      <c r="Q531" s="2">
        <v>8.34</v>
      </c>
      <c r="R531" s="2">
        <v>0</v>
      </c>
      <c r="S531" s="2">
        <v>0</v>
      </c>
      <c r="T531" t="s">
        <v>2055</v>
      </c>
      <c r="U531" s="6">
        <v>24586</v>
      </c>
      <c r="V531" s="2">
        <v>47037010601</v>
      </c>
      <c r="W531" s="2" t="s">
        <v>38</v>
      </c>
      <c r="X531" s="1">
        <v>45658</v>
      </c>
      <c r="Y531" s="2">
        <v>648000</v>
      </c>
      <c r="Z531" s="2">
        <v>0</v>
      </c>
      <c r="AA531" s="2">
        <v>648000</v>
      </c>
    </row>
    <row r="532" spans="1:27" x14ac:dyDescent="0.3">
      <c r="A532" s="4" t="s">
        <v>1993</v>
      </c>
      <c r="B532" s="2" t="str">
        <f>"04300000500"</f>
        <v>04300000500</v>
      </c>
      <c r="C532" s="2" t="s">
        <v>2056</v>
      </c>
      <c r="D532" t="s">
        <v>866</v>
      </c>
      <c r="E532" s="2" t="s">
        <v>30</v>
      </c>
      <c r="F532" s="2">
        <v>37115</v>
      </c>
      <c r="G532" s="2" t="s">
        <v>152</v>
      </c>
      <c r="H532" t="s">
        <v>2057</v>
      </c>
      <c r="I532" s="6">
        <v>19004</v>
      </c>
      <c r="J532" s="2" t="s">
        <v>2058</v>
      </c>
      <c r="K532" s="2" t="s">
        <v>34</v>
      </c>
      <c r="L532" t="s">
        <v>35</v>
      </c>
      <c r="M532" t="s">
        <v>29</v>
      </c>
      <c r="N532" t="s">
        <v>30</v>
      </c>
      <c r="O532">
        <v>37219</v>
      </c>
      <c r="P532" t="s">
        <v>2059</v>
      </c>
      <c r="Q532" s="2">
        <v>20.81</v>
      </c>
      <c r="R532" s="2">
        <v>0</v>
      </c>
      <c r="S532" s="2">
        <v>0</v>
      </c>
      <c r="T532" t="s">
        <v>2058</v>
      </c>
      <c r="U532" s="6">
        <v>19004</v>
      </c>
      <c r="V532" s="2">
        <v>47037010402</v>
      </c>
      <c r="W532" s="2" t="s">
        <v>837</v>
      </c>
      <c r="X532" s="1">
        <v>45658</v>
      </c>
      <c r="Y532" s="2">
        <v>2913400</v>
      </c>
      <c r="Z532" s="2">
        <v>0</v>
      </c>
      <c r="AA532" s="2">
        <v>2913400</v>
      </c>
    </row>
    <row r="533" spans="1:27" x14ac:dyDescent="0.3">
      <c r="A533" s="4" t="s">
        <v>1993</v>
      </c>
      <c r="B533" s="2" t="str">
        <f>"04315017100"</f>
        <v>04315017100</v>
      </c>
      <c r="C533" s="2" t="s">
        <v>2060</v>
      </c>
      <c r="D533" t="s">
        <v>866</v>
      </c>
      <c r="E533" s="2" t="s">
        <v>30</v>
      </c>
      <c r="F533" s="2">
        <v>37115</v>
      </c>
      <c r="G533" s="2" t="s">
        <v>64</v>
      </c>
      <c r="H533" t="s">
        <v>249</v>
      </c>
      <c r="I533" s="6">
        <v>38685</v>
      </c>
      <c r="J533" s="2" t="s">
        <v>2061</v>
      </c>
      <c r="K533" s="2">
        <v>78500</v>
      </c>
      <c r="L533" t="s">
        <v>35</v>
      </c>
      <c r="M533" t="s">
        <v>29</v>
      </c>
      <c r="N533" t="s">
        <v>30</v>
      </c>
      <c r="O533">
        <v>37219</v>
      </c>
      <c r="P533" t="s">
        <v>2062</v>
      </c>
      <c r="Q533" s="2">
        <v>0.87</v>
      </c>
      <c r="R533" s="2">
        <v>100</v>
      </c>
      <c r="S533" s="2">
        <v>400</v>
      </c>
      <c r="T533" t="s">
        <v>2063</v>
      </c>
      <c r="U533" s="6">
        <v>22484</v>
      </c>
      <c r="V533" s="2">
        <v>47037010602</v>
      </c>
      <c r="W533" s="2" t="s">
        <v>38</v>
      </c>
      <c r="X533" s="1">
        <v>45658</v>
      </c>
      <c r="Y533" s="2">
        <v>147000</v>
      </c>
      <c r="Z533" s="2">
        <v>0</v>
      </c>
      <c r="AA533" s="2">
        <v>147000</v>
      </c>
    </row>
    <row r="534" spans="1:27" x14ac:dyDescent="0.3">
      <c r="A534" s="4" t="s">
        <v>1993</v>
      </c>
      <c r="B534" s="2" t="str">
        <f>"04315017200"</f>
        <v>04315017200</v>
      </c>
      <c r="C534" s="2" t="s">
        <v>2060</v>
      </c>
      <c r="D534" t="s">
        <v>866</v>
      </c>
      <c r="E534" s="2" t="s">
        <v>30</v>
      </c>
      <c r="F534" s="2">
        <v>37115</v>
      </c>
      <c r="G534" s="2" t="s">
        <v>64</v>
      </c>
      <c r="H534" t="s">
        <v>249</v>
      </c>
      <c r="I534" s="6">
        <v>38685</v>
      </c>
      <c r="J534" s="2" t="s">
        <v>2061</v>
      </c>
      <c r="K534" s="2">
        <v>78500</v>
      </c>
      <c r="L534" t="s">
        <v>35</v>
      </c>
      <c r="M534" t="s">
        <v>29</v>
      </c>
      <c r="N534" t="s">
        <v>30</v>
      </c>
      <c r="O534">
        <v>37219</v>
      </c>
      <c r="P534" t="s">
        <v>2062</v>
      </c>
      <c r="Q534" s="2">
        <v>0.87</v>
      </c>
      <c r="R534" s="2">
        <v>100</v>
      </c>
      <c r="S534" s="2">
        <v>400</v>
      </c>
      <c r="T534" t="s">
        <v>2064</v>
      </c>
      <c r="U534" s="6">
        <v>20565</v>
      </c>
      <c r="V534" s="2">
        <v>47037010602</v>
      </c>
      <c r="W534" s="2" t="s">
        <v>38</v>
      </c>
      <c r="X534" s="1">
        <v>45658</v>
      </c>
      <c r="Y534" s="2">
        <v>147000</v>
      </c>
      <c r="Z534" s="2">
        <v>0</v>
      </c>
      <c r="AA534" s="2">
        <v>147000</v>
      </c>
    </row>
    <row r="535" spans="1:27" x14ac:dyDescent="0.3">
      <c r="A535" s="4" t="s">
        <v>1993</v>
      </c>
      <c r="B535" s="2" t="str">
        <f>"04315017300"</f>
        <v>04315017300</v>
      </c>
      <c r="C535" s="2" t="s">
        <v>2065</v>
      </c>
      <c r="D535" t="s">
        <v>866</v>
      </c>
      <c r="E535" s="2" t="s">
        <v>30</v>
      </c>
      <c r="F535" s="2">
        <v>37115</v>
      </c>
      <c r="G535" s="2" t="s">
        <v>64</v>
      </c>
      <c r="H535" t="s">
        <v>249</v>
      </c>
      <c r="I535" s="6">
        <v>38685</v>
      </c>
      <c r="J535" s="2" t="s">
        <v>2061</v>
      </c>
      <c r="K535" s="2">
        <v>78500</v>
      </c>
      <c r="L535" t="s">
        <v>35</v>
      </c>
      <c r="M535" t="s">
        <v>29</v>
      </c>
      <c r="N535" t="s">
        <v>30</v>
      </c>
      <c r="O535">
        <v>37219</v>
      </c>
      <c r="P535" t="s">
        <v>2062</v>
      </c>
      <c r="Q535" s="2">
        <v>0.87</v>
      </c>
      <c r="R535" s="2">
        <v>100</v>
      </c>
      <c r="S535" s="2">
        <v>400</v>
      </c>
      <c r="T535" t="s">
        <v>2066</v>
      </c>
      <c r="U535" s="6">
        <v>26044</v>
      </c>
      <c r="V535" s="2">
        <v>47037010602</v>
      </c>
      <c r="W535" s="2" t="s">
        <v>38</v>
      </c>
      <c r="X535" s="1">
        <v>45658</v>
      </c>
      <c r="Y535" s="2">
        <v>147000</v>
      </c>
      <c r="Z535" s="2">
        <v>0</v>
      </c>
      <c r="AA535" s="2">
        <v>147000</v>
      </c>
    </row>
    <row r="536" spans="1:27" x14ac:dyDescent="0.3">
      <c r="A536" s="4" t="s">
        <v>1993</v>
      </c>
      <c r="B536" s="2" t="str">
        <f>"04305001600"</f>
        <v>04305001600</v>
      </c>
      <c r="C536" s="2" t="s">
        <v>2067</v>
      </c>
      <c r="D536" t="s">
        <v>866</v>
      </c>
      <c r="E536" s="2" t="s">
        <v>30</v>
      </c>
      <c r="F536" s="2">
        <v>37115</v>
      </c>
      <c r="G536" s="2" t="s">
        <v>253</v>
      </c>
      <c r="H536" t="s">
        <v>2068</v>
      </c>
      <c r="I536" s="6">
        <v>13739</v>
      </c>
      <c r="J536" s="2" t="s">
        <v>2069</v>
      </c>
      <c r="K536" s="2" t="s">
        <v>34</v>
      </c>
      <c r="L536" t="s">
        <v>35</v>
      </c>
      <c r="M536" t="s">
        <v>29</v>
      </c>
      <c r="N536" t="s">
        <v>30</v>
      </c>
      <c r="O536">
        <v>37219</v>
      </c>
      <c r="P536" t="s">
        <v>2070</v>
      </c>
      <c r="Q536" s="2">
        <v>9.23</v>
      </c>
      <c r="R536" s="2">
        <v>0</v>
      </c>
      <c r="S536" s="2">
        <v>0</v>
      </c>
      <c r="T536" t="s">
        <v>2071</v>
      </c>
      <c r="U536" s="6">
        <v>36594</v>
      </c>
      <c r="V536" s="2">
        <v>47037010401</v>
      </c>
      <c r="W536" s="2" t="s">
        <v>837</v>
      </c>
      <c r="X536" s="1">
        <v>45658</v>
      </c>
      <c r="Y536" s="2">
        <v>230800</v>
      </c>
      <c r="Z536" s="2">
        <v>0</v>
      </c>
      <c r="AA536" s="2">
        <v>230800</v>
      </c>
    </row>
    <row r="537" spans="1:27" x14ac:dyDescent="0.3">
      <c r="A537" s="4" t="s">
        <v>1993</v>
      </c>
      <c r="B537" s="2" t="str">
        <f>"05200003000"</f>
        <v>05200003000</v>
      </c>
      <c r="C537" s="2" t="s">
        <v>2072</v>
      </c>
      <c r="D537" t="s">
        <v>866</v>
      </c>
      <c r="E537" s="2" t="s">
        <v>30</v>
      </c>
      <c r="F537" s="2">
        <v>37115</v>
      </c>
      <c r="G537" s="2" t="s">
        <v>253</v>
      </c>
      <c r="H537" t="s">
        <v>2073</v>
      </c>
      <c r="I537" s="6">
        <v>22719</v>
      </c>
      <c r="J537" s="2" t="s">
        <v>2074</v>
      </c>
      <c r="K537" s="2" t="s">
        <v>34</v>
      </c>
      <c r="L537" t="s">
        <v>35</v>
      </c>
      <c r="M537" t="s">
        <v>29</v>
      </c>
      <c r="N537" t="s">
        <v>30</v>
      </c>
      <c r="O537">
        <v>37219</v>
      </c>
      <c r="P537" t="s">
        <v>2075</v>
      </c>
      <c r="Q537" s="2">
        <v>30.85</v>
      </c>
      <c r="R537" s="2">
        <v>0</v>
      </c>
      <c r="S537" s="2">
        <v>0</v>
      </c>
      <c r="T537" t="s">
        <v>1997</v>
      </c>
      <c r="U537" s="6">
        <v>33750</v>
      </c>
      <c r="V537" s="2">
        <v>47037010602</v>
      </c>
      <c r="W537" s="2" t="s">
        <v>38</v>
      </c>
      <c r="X537" s="1">
        <v>45658</v>
      </c>
      <c r="Y537" s="2">
        <v>2282900</v>
      </c>
      <c r="Z537" s="2">
        <v>0</v>
      </c>
      <c r="AA537" s="2">
        <v>2282900</v>
      </c>
    </row>
    <row r="538" spans="1:27" x14ac:dyDescent="0.3">
      <c r="A538" s="4" t="s">
        <v>1993</v>
      </c>
      <c r="B538" s="2" t="str">
        <f>"05216008200"</f>
        <v>05216008200</v>
      </c>
      <c r="C538" s="2" t="s">
        <v>2076</v>
      </c>
      <c r="D538" t="s">
        <v>866</v>
      </c>
      <c r="E538" s="2" t="s">
        <v>30</v>
      </c>
      <c r="F538" s="2">
        <v>37115</v>
      </c>
      <c r="G538" s="2" t="s">
        <v>253</v>
      </c>
      <c r="H538" t="s">
        <v>2073</v>
      </c>
      <c r="I538" s="6">
        <v>19295</v>
      </c>
      <c r="J538" s="2" t="s">
        <v>2077</v>
      </c>
      <c r="K538" s="2" t="s">
        <v>34</v>
      </c>
      <c r="L538" t="s">
        <v>35</v>
      </c>
      <c r="M538" t="s">
        <v>29</v>
      </c>
      <c r="N538" t="s">
        <v>30</v>
      </c>
      <c r="O538">
        <v>37219</v>
      </c>
      <c r="P538" t="s">
        <v>2078</v>
      </c>
      <c r="Q538" s="2">
        <v>12.4</v>
      </c>
      <c r="R538" s="2">
        <v>0</v>
      </c>
      <c r="S538" s="2">
        <v>0</v>
      </c>
      <c r="T538" t="s">
        <v>1997</v>
      </c>
      <c r="U538" s="6">
        <v>33750</v>
      </c>
      <c r="V538" s="2">
        <v>47037010601</v>
      </c>
      <c r="W538" s="2" t="s">
        <v>38</v>
      </c>
      <c r="X538" s="1">
        <v>45658</v>
      </c>
      <c r="Y538" s="2">
        <v>347200</v>
      </c>
      <c r="Z538" s="2">
        <v>0</v>
      </c>
      <c r="AA538" s="2">
        <v>347200</v>
      </c>
    </row>
    <row r="539" spans="1:27" x14ac:dyDescent="0.3">
      <c r="A539" s="4" t="s">
        <v>1993</v>
      </c>
      <c r="B539" s="2" t="str">
        <f>"03410006300"</f>
        <v>03410006300</v>
      </c>
      <c r="C539" s="2" t="s">
        <v>2079</v>
      </c>
      <c r="D539" t="s">
        <v>866</v>
      </c>
      <c r="E539" s="2" t="s">
        <v>30</v>
      </c>
      <c r="F539" s="2">
        <v>37115</v>
      </c>
      <c r="G539" s="2" t="s">
        <v>64</v>
      </c>
      <c r="H539" t="s">
        <v>280</v>
      </c>
      <c r="I539" s="6">
        <v>41358</v>
      </c>
      <c r="J539" s="2" t="s">
        <v>2080</v>
      </c>
      <c r="K539" s="2">
        <v>39950</v>
      </c>
      <c r="L539" t="s">
        <v>35</v>
      </c>
      <c r="M539" t="s">
        <v>29</v>
      </c>
      <c r="N539" t="s">
        <v>30</v>
      </c>
      <c r="O539">
        <v>37219</v>
      </c>
      <c r="P539" t="s">
        <v>2081</v>
      </c>
      <c r="Q539" s="2">
        <v>1.45</v>
      </c>
      <c r="R539" s="2">
        <v>110</v>
      </c>
      <c r="S539" s="2">
        <v>0</v>
      </c>
      <c r="T539" t="s">
        <v>2082</v>
      </c>
      <c r="U539" s="6">
        <v>41358</v>
      </c>
      <c r="V539" s="2">
        <v>47037010401</v>
      </c>
      <c r="W539" s="2" t="s">
        <v>38</v>
      </c>
      <c r="X539" s="1">
        <v>45658</v>
      </c>
      <c r="Y539" s="2">
        <v>91400</v>
      </c>
      <c r="Z539" s="2">
        <v>0</v>
      </c>
      <c r="AA539" s="2">
        <v>91400</v>
      </c>
    </row>
    <row r="540" spans="1:27" x14ac:dyDescent="0.3">
      <c r="A540" s="4" t="s">
        <v>1993</v>
      </c>
      <c r="B540" s="2" t="str">
        <f>"04311021200"</f>
        <v>04311021200</v>
      </c>
      <c r="C540" s="2" t="s">
        <v>2083</v>
      </c>
      <c r="D540" t="s">
        <v>866</v>
      </c>
      <c r="E540" s="2" t="s">
        <v>30</v>
      </c>
      <c r="F540" s="2">
        <v>37115</v>
      </c>
      <c r="G540" s="2" t="s">
        <v>64</v>
      </c>
      <c r="H540" t="s">
        <v>280</v>
      </c>
      <c r="I540" s="6">
        <v>35312</v>
      </c>
      <c r="J540" s="2" t="s">
        <v>2084</v>
      </c>
      <c r="K540" s="2">
        <v>1194</v>
      </c>
      <c r="L540" t="s">
        <v>35</v>
      </c>
      <c r="M540" t="s">
        <v>29</v>
      </c>
      <c r="N540" t="s">
        <v>30</v>
      </c>
      <c r="O540">
        <v>37219</v>
      </c>
      <c r="P540" t="s">
        <v>2085</v>
      </c>
      <c r="Q540" s="2">
        <v>0.26</v>
      </c>
      <c r="R540" s="2">
        <v>60</v>
      </c>
      <c r="S540" s="2">
        <v>188</v>
      </c>
      <c r="T540" t="s">
        <v>2086</v>
      </c>
      <c r="U540" s="6">
        <v>30841</v>
      </c>
      <c r="V540" s="2">
        <v>47037010402</v>
      </c>
      <c r="W540" s="2" t="s">
        <v>837</v>
      </c>
      <c r="X540" s="1">
        <v>45658</v>
      </c>
      <c r="Y540" s="2">
        <v>93500</v>
      </c>
      <c r="Z540" s="2">
        <v>0</v>
      </c>
      <c r="AA540" s="2">
        <v>93500</v>
      </c>
    </row>
    <row r="541" spans="1:27" x14ac:dyDescent="0.3">
      <c r="A541" s="4" t="s">
        <v>1993</v>
      </c>
      <c r="B541" s="2" t="str">
        <f>"04311021300"</f>
        <v>04311021300</v>
      </c>
      <c r="C541" s="2" t="s">
        <v>2087</v>
      </c>
      <c r="D541" t="s">
        <v>866</v>
      </c>
      <c r="E541" s="2" t="s">
        <v>30</v>
      </c>
      <c r="F541" s="2">
        <v>37115</v>
      </c>
      <c r="G541" s="2" t="s">
        <v>64</v>
      </c>
      <c r="H541" t="s">
        <v>280</v>
      </c>
      <c r="I541" s="6">
        <v>35312</v>
      </c>
      <c r="J541" s="2" t="s">
        <v>2088</v>
      </c>
      <c r="K541" s="2">
        <v>1194</v>
      </c>
      <c r="L541" t="s">
        <v>35</v>
      </c>
      <c r="M541" t="s">
        <v>29</v>
      </c>
      <c r="N541" t="s">
        <v>30</v>
      </c>
      <c r="O541">
        <v>37219</v>
      </c>
      <c r="P541" t="s">
        <v>2089</v>
      </c>
      <c r="Q541" s="2">
        <v>0.26</v>
      </c>
      <c r="R541" s="2">
        <v>60</v>
      </c>
      <c r="S541" s="2">
        <v>188</v>
      </c>
      <c r="T541" t="s">
        <v>2086</v>
      </c>
      <c r="U541" s="6">
        <v>30841</v>
      </c>
      <c r="V541" s="2">
        <v>47037010402</v>
      </c>
      <c r="W541" s="2" t="s">
        <v>837</v>
      </c>
      <c r="X541" s="1">
        <v>45658</v>
      </c>
      <c r="Y541" s="2">
        <v>93500</v>
      </c>
      <c r="Z541" s="2">
        <v>0</v>
      </c>
      <c r="AA541" s="2">
        <v>93500</v>
      </c>
    </row>
    <row r="542" spans="1:27" x14ac:dyDescent="0.3">
      <c r="A542" s="4" t="s">
        <v>1993</v>
      </c>
      <c r="B542" s="2" t="str">
        <f>"04311021400"</f>
        <v>04311021400</v>
      </c>
      <c r="C542" s="2" t="s">
        <v>2090</v>
      </c>
      <c r="D542" t="s">
        <v>866</v>
      </c>
      <c r="E542" s="2" t="s">
        <v>30</v>
      </c>
      <c r="F542" s="2">
        <v>37115</v>
      </c>
      <c r="G542" s="2" t="s">
        <v>64</v>
      </c>
      <c r="H542" t="s">
        <v>280</v>
      </c>
      <c r="I542" s="6">
        <v>35312</v>
      </c>
      <c r="J542" s="2" t="s">
        <v>2091</v>
      </c>
      <c r="K542" s="2">
        <v>340</v>
      </c>
      <c r="L542" t="s">
        <v>35</v>
      </c>
      <c r="M542" t="s">
        <v>29</v>
      </c>
      <c r="N542" t="s">
        <v>30</v>
      </c>
      <c r="O542">
        <v>37219</v>
      </c>
      <c r="P542" t="s">
        <v>2092</v>
      </c>
      <c r="Q542" s="2">
        <v>0.26</v>
      </c>
      <c r="R542" s="2">
        <v>60</v>
      </c>
      <c r="S542" s="2">
        <v>188</v>
      </c>
      <c r="T542" t="s">
        <v>2086</v>
      </c>
      <c r="U542" s="6">
        <v>30841</v>
      </c>
      <c r="V542" s="2">
        <v>47037010402</v>
      </c>
      <c r="W542" s="2" t="s">
        <v>837</v>
      </c>
      <c r="X542" s="1">
        <v>45658</v>
      </c>
      <c r="Y542" s="2">
        <v>93500</v>
      </c>
      <c r="Z542" s="2">
        <v>0</v>
      </c>
      <c r="AA542" s="2">
        <v>93500</v>
      </c>
    </row>
    <row r="543" spans="1:27" x14ac:dyDescent="0.3">
      <c r="A543" s="4" t="s">
        <v>1993</v>
      </c>
      <c r="B543" s="2" t="str">
        <f>"04313007900"</f>
        <v>04313007900</v>
      </c>
      <c r="C543" s="2" t="s">
        <v>2093</v>
      </c>
      <c r="D543" t="s">
        <v>866</v>
      </c>
      <c r="E543" s="2" t="s">
        <v>30</v>
      </c>
      <c r="F543" s="2">
        <v>37115</v>
      </c>
      <c r="G543" s="2" t="s">
        <v>64</v>
      </c>
      <c r="H543" t="s">
        <v>280</v>
      </c>
      <c r="I543" s="6">
        <v>42536</v>
      </c>
      <c r="J543" s="2" t="s">
        <v>2094</v>
      </c>
      <c r="K543" s="2">
        <v>0</v>
      </c>
      <c r="L543" t="s">
        <v>343</v>
      </c>
      <c r="M543" t="s">
        <v>29</v>
      </c>
      <c r="N543" t="s">
        <v>30</v>
      </c>
      <c r="O543">
        <v>37201</v>
      </c>
      <c r="P543" t="s">
        <v>2095</v>
      </c>
      <c r="Q543" s="2">
        <v>0.17</v>
      </c>
      <c r="R543" s="2">
        <v>50</v>
      </c>
      <c r="S543" s="2">
        <v>150</v>
      </c>
      <c r="T543" t="s">
        <v>2096</v>
      </c>
      <c r="U543" s="6">
        <v>13547</v>
      </c>
      <c r="V543" s="2">
        <v>47037010701</v>
      </c>
      <c r="W543" s="2" t="s">
        <v>837</v>
      </c>
      <c r="X543" s="1">
        <v>45658</v>
      </c>
      <c r="Y543" s="2">
        <v>90000</v>
      </c>
      <c r="Z543" s="2">
        <v>0</v>
      </c>
      <c r="AA543" s="2">
        <v>90000</v>
      </c>
    </row>
    <row r="544" spans="1:27" x14ac:dyDescent="0.3">
      <c r="A544" s="4" t="s">
        <v>1993</v>
      </c>
      <c r="B544" s="2" t="str">
        <f>"04313035200"</f>
        <v>04313035200</v>
      </c>
      <c r="C544" s="2" t="s">
        <v>2097</v>
      </c>
      <c r="D544" t="s">
        <v>866</v>
      </c>
      <c r="E544" s="2" t="s">
        <v>30</v>
      </c>
      <c r="F544" s="2">
        <v>37115</v>
      </c>
      <c r="G544" s="2" t="s">
        <v>64</v>
      </c>
      <c r="H544" t="s">
        <v>280</v>
      </c>
      <c r="I544" s="6">
        <v>42571</v>
      </c>
      <c r="J544" s="2" t="s">
        <v>2098</v>
      </c>
      <c r="K544" s="2">
        <v>0</v>
      </c>
      <c r="L544" t="s">
        <v>1041</v>
      </c>
      <c r="M544" t="s">
        <v>29</v>
      </c>
      <c r="N544" t="s">
        <v>30</v>
      </c>
      <c r="O544">
        <v>37201</v>
      </c>
      <c r="P544" t="s">
        <v>2099</v>
      </c>
      <c r="Q544" s="2">
        <v>0.08</v>
      </c>
      <c r="R544" s="2">
        <v>25</v>
      </c>
      <c r="S544" s="2">
        <v>150</v>
      </c>
      <c r="T544" t="s">
        <v>2100</v>
      </c>
      <c r="U544" s="6">
        <v>16364</v>
      </c>
      <c r="V544" s="2">
        <v>47037010701</v>
      </c>
      <c r="W544" s="2" t="s">
        <v>837</v>
      </c>
      <c r="X544" s="1">
        <v>45658</v>
      </c>
      <c r="Y544" s="2">
        <v>81000</v>
      </c>
      <c r="Z544" s="2">
        <v>0</v>
      </c>
      <c r="AA544" s="2">
        <v>81000</v>
      </c>
    </row>
    <row r="545" spans="1:27" x14ac:dyDescent="0.3">
      <c r="A545" s="4" t="s">
        <v>1993</v>
      </c>
      <c r="B545" s="2" t="str">
        <f>"04313035300"</f>
        <v>04313035300</v>
      </c>
      <c r="C545" s="2" t="s">
        <v>2101</v>
      </c>
      <c r="D545" t="s">
        <v>866</v>
      </c>
      <c r="E545" s="2" t="s">
        <v>30</v>
      </c>
      <c r="F545" s="2">
        <v>37115</v>
      </c>
      <c r="G545" s="2" t="s">
        <v>64</v>
      </c>
      <c r="H545" t="s">
        <v>280</v>
      </c>
      <c r="I545" s="6">
        <v>42530</v>
      </c>
      <c r="J545" s="2" t="s">
        <v>2102</v>
      </c>
      <c r="K545" s="2">
        <v>0</v>
      </c>
      <c r="L545" t="s">
        <v>35</v>
      </c>
      <c r="M545" t="s">
        <v>29</v>
      </c>
      <c r="N545" t="s">
        <v>30</v>
      </c>
      <c r="O545">
        <v>37219</v>
      </c>
      <c r="P545" t="s">
        <v>2099</v>
      </c>
      <c r="Q545" s="2">
        <v>0.08</v>
      </c>
      <c r="R545" s="2">
        <v>25</v>
      </c>
      <c r="S545" s="2">
        <v>150</v>
      </c>
      <c r="T545" t="s">
        <v>2103</v>
      </c>
      <c r="U545" s="6">
        <v>27249</v>
      </c>
      <c r="V545" s="2">
        <v>47037010701</v>
      </c>
      <c r="W545" s="2" t="s">
        <v>837</v>
      </c>
      <c r="X545" s="1">
        <v>45658</v>
      </c>
      <c r="Y545" s="2">
        <v>81000</v>
      </c>
      <c r="Z545" s="2">
        <v>0</v>
      </c>
      <c r="AA545" s="2">
        <v>81000</v>
      </c>
    </row>
    <row r="546" spans="1:27" x14ac:dyDescent="0.3">
      <c r="A546" s="4" t="s">
        <v>1993</v>
      </c>
      <c r="B546" s="2" t="str">
        <f>"04313035400"</f>
        <v>04313035400</v>
      </c>
      <c r="C546" s="2" t="s">
        <v>2104</v>
      </c>
      <c r="D546" t="s">
        <v>866</v>
      </c>
      <c r="E546" s="2" t="s">
        <v>30</v>
      </c>
      <c r="F546" s="2">
        <v>37115</v>
      </c>
      <c r="G546" s="2" t="s">
        <v>64</v>
      </c>
      <c r="H546" t="s">
        <v>280</v>
      </c>
      <c r="I546" s="6">
        <v>42965</v>
      </c>
      <c r="J546" s="2" t="s">
        <v>2105</v>
      </c>
      <c r="K546" s="2" t="s">
        <v>34</v>
      </c>
      <c r="L546" t="s">
        <v>343</v>
      </c>
      <c r="M546" t="s">
        <v>29</v>
      </c>
      <c r="N546" t="s">
        <v>30</v>
      </c>
      <c r="O546">
        <v>37201</v>
      </c>
      <c r="P546" t="s">
        <v>2106</v>
      </c>
      <c r="Q546" s="2">
        <v>0.17</v>
      </c>
      <c r="R546" s="2">
        <v>50</v>
      </c>
      <c r="S546" s="2">
        <v>150</v>
      </c>
      <c r="T546" t="s">
        <v>2107</v>
      </c>
      <c r="U546" s="6">
        <v>21718</v>
      </c>
      <c r="V546" s="2">
        <v>47037010701</v>
      </c>
      <c r="W546" s="2" t="s">
        <v>837</v>
      </c>
      <c r="X546" s="1">
        <v>45658</v>
      </c>
      <c r="Y546" s="2">
        <v>90000</v>
      </c>
      <c r="Z546" s="2">
        <v>0</v>
      </c>
      <c r="AA546" s="2">
        <v>90000</v>
      </c>
    </row>
    <row r="547" spans="1:27" x14ac:dyDescent="0.3">
      <c r="A547" s="4" t="s">
        <v>1993</v>
      </c>
      <c r="B547" s="2" t="str">
        <f>"04313035000"</f>
        <v>04313035000</v>
      </c>
      <c r="C547" s="2" t="s">
        <v>2108</v>
      </c>
      <c r="D547" t="s">
        <v>866</v>
      </c>
      <c r="E547" s="2" t="s">
        <v>30</v>
      </c>
      <c r="F547" s="2">
        <v>37115</v>
      </c>
      <c r="G547" s="2" t="s">
        <v>64</v>
      </c>
      <c r="H547" t="s">
        <v>280</v>
      </c>
      <c r="I547" s="6">
        <v>42557</v>
      </c>
      <c r="J547" s="2" t="s">
        <v>2109</v>
      </c>
      <c r="K547" s="2">
        <v>0</v>
      </c>
      <c r="L547" t="s">
        <v>1041</v>
      </c>
      <c r="M547" t="s">
        <v>29</v>
      </c>
      <c r="N547" t="s">
        <v>30</v>
      </c>
      <c r="O547">
        <v>37201</v>
      </c>
      <c r="P547" t="s">
        <v>2110</v>
      </c>
      <c r="Q547" s="2">
        <v>7.0000000000000007E-2</v>
      </c>
      <c r="R547" s="2">
        <v>50</v>
      </c>
      <c r="S547" s="2">
        <v>50</v>
      </c>
      <c r="T547" t="s">
        <v>2111</v>
      </c>
      <c r="U547" s="6">
        <v>23422</v>
      </c>
      <c r="V547" s="2">
        <v>47037010701</v>
      </c>
      <c r="W547" s="2" t="s">
        <v>837</v>
      </c>
      <c r="X547" s="1">
        <v>45658</v>
      </c>
      <c r="Y547" s="2">
        <v>81000</v>
      </c>
      <c r="Z547" s="2">
        <v>0</v>
      </c>
      <c r="AA547" s="2">
        <v>81000</v>
      </c>
    </row>
    <row r="548" spans="1:27" x14ac:dyDescent="0.3">
      <c r="A548" s="4" t="s">
        <v>1993</v>
      </c>
      <c r="B548" s="2" t="str">
        <f>"04313030400"</f>
        <v>04313030400</v>
      </c>
      <c r="C548" s="2" t="s">
        <v>2112</v>
      </c>
      <c r="D548" t="s">
        <v>866</v>
      </c>
      <c r="E548" s="2" t="s">
        <v>30</v>
      </c>
      <c r="F548" s="2">
        <v>37115</v>
      </c>
      <c r="G548" s="2" t="s">
        <v>77</v>
      </c>
      <c r="H548" t="s">
        <v>280</v>
      </c>
      <c r="I548" s="6">
        <v>45666</v>
      </c>
      <c r="J548" s="2" t="s">
        <v>2113</v>
      </c>
      <c r="K548" s="2" t="s">
        <v>34</v>
      </c>
      <c r="L548" t="s">
        <v>315</v>
      </c>
      <c r="M548" t="s">
        <v>29</v>
      </c>
      <c r="N548" t="s">
        <v>30</v>
      </c>
      <c r="O548">
        <v>37208</v>
      </c>
      <c r="P548" t="s">
        <v>2114</v>
      </c>
      <c r="Q548" s="2">
        <v>0.17</v>
      </c>
      <c r="R548" s="2">
        <v>50</v>
      </c>
      <c r="S548" s="2">
        <v>164</v>
      </c>
      <c r="T548" t="s">
        <v>2115</v>
      </c>
      <c r="U548" s="6">
        <v>27155</v>
      </c>
      <c r="V548" s="2">
        <v>47037010701</v>
      </c>
      <c r="W548" s="2" t="s">
        <v>837</v>
      </c>
      <c r="X548" s="1">
        <v>45658</v>
      </c>
      <c r="Y548" s="2">
        <v>273000</v>
      </c>
      <c r="Z548" s="2">
        <v>205500</v>
      </c>
      <c r="AA548" s="2">
        <v>67500</v>
      </c>
    </row>
    <row r="549" spans="1:27" x14ac:dyDescent="0.3">
      <c r="A549" s="4" t="s">
        <v>1993</v>
      </c>
      <c r="B549" s="2" t="str">
        <f>"05201010900"</f>
        <v>05201010900</v>
      </c>
      <c r="C549" s="2" t="s">
        <v>2116</v>
      </c>
      <c r="D549" t="s">
        <v>866</v>
      </c>
      <c r="E549" s="2" t="s">
        <v>30</v>
      </c>
      <c r="F549" s="2">
        <v>37115</v>
      </c>
      <c r="G549" s="2" t="s">
        <v>64</v>
      </c>
      <c r="H549" t="s">
        <v>280</v>
      </c>
      <c r="I549" s="6">
        <v>42524</v>
      </c>
      <c r="J549" s="2" t="s">
        <v>2117</v>
      </c>
      <c r="K549" s="2">
        <v>0</v>
      </c>
      <c r="L549" t="s">
        <v>35</v>
      </c>
      <c r="M549" t="s">
        <v>29</v>
      </c>
      <c r="N549" t="s">
        <v>30</v>
      </c>
      <c r="O549">
        <v>37219</v>
      </c>
      <c r="P549" t="s">
        <v>2118</v>
      </c>
      <c r="Q549" s="2">
        <v>0.28999999999999998</v>
      </c>
      <c r="R549" s="2">
        <v>75</v>
      </c>
      <c r="S549" s="2">
        <v>165</v>
      </c>
      <c r="T549" t="s">
        <v>1997</v>
      </c>
      <c r="U549" s="6">
        <v>33750</v>
      </c>
      <c r="V549" s="2">
        <v>47037010701</v>
      </c>
      <c r="W549" s="2" t="s">
        <v>837</v>
      </c>
      <c r="X549" s="1">
        <v>45658</v>
      </c>
      <c r="Y549" s="2">
        <v>5200</v>
      </c>
      <c r="Z549" s="2">
        <v>0</v>
      </c>
      <c r="AA549" s="2">
        <v>5200</v>
      </c>
    </row>
    <row r="550" spans="1:27" x14ac:dyDescent="0.3">
      <c r="A550" s="4" t="s">
        <v>1993</v>
      </c>
      <c r="B550" s="2" t="str">
        <f>"05201010800"</f>
        <v>05201010800</v>
      </c>
      <c r="C550" s="2" t="s">
        <v>2119</v>
      </c>
      <c r="D550" t="s">
        <v>866</v>
      </c>
      <c r="E550" s="2" t="s">
        <v>30</v>
      </c>
      <c r="F550" s="2">
        <v>37115</v>
      </c>
      <c r="G550" s="2" t="s">
        <v>64</v>
      </c>
      <c r="H550" t="s">
        <v>280</v>
      </c>
      <c r="I550" s="6">
        <v>42556</v>
      </c>
      <c r="J550" s="2" t="s">
        <v>2120</v>
      </c>
      <c r="K550" s="2">
        <v>0</v>
      </c>
      <c r="L550" t="s">
        <v>343</v>
      </c>
      <c r="M550" t="s">
        <v>29</v>
      </c>
      <c r="N550" t="s">
        <v>30</v>
      </c>
      <c r="O550">
        <v>37201</v>
      </c>
      <c r="P550" t="s">
        <v>2121</v>
      </c>
      <c r="Q550" s="2">
        <v>0.35</v>
      </c>
      <c r="R550" s="2">
        <v>83</v>
      </c>
      <c r="S550" s="2">
        <v>165</v>
      </c>
      <c r="T550" t="s">
        <v>1997</v>
      </c>
      <c r="U550" s="6">
        <v>33750</v>
      </c>
      <c r="V550" s="2">
        <v>47037010701</v>
      </c>
      <c r="W550" s="2" t="s">
        <v>837</v>
      </c>
      <c r="X550" s="1">
        <v>45658</v>
      </c>
      <c r="Y550" s="2">
        <v>5200</v>
      </c>
      <c r="Z550" s="2">
        <v>0</v>
      </c>
      <c r="AA550" s="2">
        <v>5200</v>
      </c>
    </row>
    <row r="551" spans="1:27" x14ac:dyDescent="0.3">
      <c r="A551" s="4" t="s">
        <v>1993</v>
      </c>
      <c r="B551" s="2" t="str">
        <f>"05201010600"</f>
        <v>05201010600</v>
      </c>
      <c r="C551" s="2" t="s">
        <v>2122</v>
      </c>
      <c r="D551" t="s">
        <v>866</v>
      </c>
      <c r="E551" s="2" t="s">
        <v>30</v>
      </c>
      <c r="F551" s="2">
        <v>37115</v>
      </c>
      <c r="G551" s="2" t="s">
        <v>64</v>
      </c>
      <c r="H551" t="s">
        <v>280</v>
      </c>
      <c r="I551" s="6">
        <v>42530</v>
      </c>
      <c r="J551" s="2" t="s">
        <v>2123</v>
      </c>
      <c r="K551" s="2">
        <v>0</v>
      </c>
      <c r="L551" t="s">
        <v>343</v>
      </c>
      <c r="M551" t="s">
        <v>29</v>
      </c>
      <c r="N551" t="s">
        <v>30</v>
      </c>
      <c r="O551">
        <v>37201</v>
      </c>
      <c r="P551" t="s">
        <v>2124</v>
      </c>
      <c r="Q551" s="2">
        <v>0.35</v>
      </c>
      <c r="R551" s="2">
        <v>83</v>
      </c>
      <c r="S551" s="2">
        <v>165</v>
      </c>
      <c r="T551" t="s">
        <v>1997</v>
      </c>
      <c r="U551" s="6">
        <v>33750</v>
      </c>
      <c r="V551" s="2">
        <v>47037010701</v>
      </c>
      <c r="W551" s="2" t="s">
        <v>837</v>
      </c>
      <c r="X551" s="1">
        <v>45658</v>
      </c>
      <c r="Y551" s="2">
        <v>5200</v>
      </c>
      <c r="Z551" s="2">
        <v>0</v>
      </c>
      <c r="AA551" s="2">
        <v>5200</v>
      </c>
    </row>
    <row r="552" spans="1:27" x14ac:dyDescent="0.3">
      <c r="A552" s="4" t="s">
        <v>1993</v>
      </c>
      <c r="B552" s="2" t="str">
        <f>"05207005000"</f>
        <v>05207005000</v>
      </c>
      <c r="C552" s="2" t="s">
        <v>2125</v>
      </c>
      <c r="D552" t="s">
        <v>866</v>
      </c>
      <c r="E552" s="2" t="s">
        <v>30</v>
      </c>
      <c r="F552" s="2">
        <v>37115</v>
      </c>
      <c r="G552" s="2" t="s">
        <v>64</v>
      </c>
      <c r="H552" t="s">
        <v>280</v>
      </c>
      <c r="I552" s="6">
        <v>41424</v>
      </c>
      <c r="J552" s="2" t="s">
        <v>2126</v>
      </c>
      <c r="K552" s="2">
        <v>0</v>
      </c>
      <c r="L552" t="s">
        <v>35</v>
      </c>
      <c r="M552" t="s">
        <v>29</v>
      </c>
      <c r="N552" t="s">
        <v>30</v>
      </c>
      <c r="O552">
        <v>37219</v>
      </c>
      <c r="P552" t="s">
        <v>2127</v>
      </c>
      <c r="Q552" s="2">
        <v>1.02</v>
      </c>
      <c r="R552" s="2">
        <v>115</v>
      </c>
      <c r="S552" s="2">
        <v>370</v>
      </c>
      <c r="T552" t="s">
        <v>2128</v>
      </c>
      <c r="U552" s="6">
        <v>22103</v>
      </c>
      <c r="V552" s="2">
        <v>47037010601</v>
      </c>
      <c r="W552" s="2" t="s">
        <v>38</v>
      </c>
      <c r="X552" s="1">
        <v>45658</v>
      </c>
      <c r="Y552" s="2">
        <v>74300</v>
      </c>
      <c r="Z552" s="2">
        <v>0</v>
      </c>
      <c r="AA552" s="2">
        <v>74300</v>
      </c>
    </row>
    <row r="553" spans="1:27" x14ac:dyDescent="0.3">
      <c r="A553" s="4" t="s">
        <v>1993</v>
      </c>
      <c r="B553" s="2" t="str">
        <f>"05207005200"</f>
        <v>05207005200</v>
      </c>
      <c r="C553" s="2" t="s">
        <v>2129</v>
      </c>
      <c r="D553" t="s">
        <v>866</v>
      </c>
      <c r="E553" s="2" t="s">
        <v>30</v>
      </c>
      <c r="F553" s="2">
        <v>37115</v>
      </c>
      <c r="G553" s="2" t="s">
        <v>64</v>
      </c>
      <c r="H553" t="s">
        <v>280</v>
      </c>
      <c r="I553" s="6">
        <v>41705</v>
      </c>
      <c r="J553" s="2" t="s">
        <v>2130</v>
      </c>
      <c r="K553" s="2">
        <v>0</v>
      </c>
      <c r="L553" t="s">
        <v>35</v>
      </c>
      <c r="M553" t="s">
        <v>29</v>
      </c>
      <c r="N553" t="s">
        <v>30</v>
      </c>
      <c r="O553">
        <v>37219</v>
      </c>
      <c r="P553" t="s">
        <v>2131</v>
      </c>
      <c r="Q553" s="2">
        <v>1.24</v>
      </c>
      <c r="R553" s="2">
        <v>206</v>
      </c>
      <c r="S553" s="2">
        <v>324</v>
      </c>
      <c r="T553" t="s">
        <v>2132</v>
      </c>
      <c r="U553" s="6">
        <v>20410</v>
      </c>
      <c r="V553" s="2">
        <v>47037010601</v>
      </c>
      <c r="W553" s="2" t="s">
        <v>38</v>
      </c>
      <c r="X553" s="1">
        <v>45658</v>
      </c>
      <c r="Y553" s="2">
        <v>144000</v>
      </c>
      <c r="Z553" s="2">
        <v>0</v>
      </c>
      <c r="AA553" s="2">
        <v>144000</v>
      </c>
    </row>
    <row r="554" spans="1:27" x14ac:dyDescent="0.3">
      <c r="A554" s="4" t="s">
        <v>1993</v>
      </c>
      <c r="B554" s="2" t="str">
        <f>"05211003800"</f>
        <v>05211003800</v>
      </c>
      <c r="C554" s="2" t="s">
        <v>2133</v>
      </c>
      <c r="D554" t="s">
        <v>866</v>
      </c>
      <c r="E554" s="2" t="s">
        <v>30</v>
      </c>
      <c r="F554" s="2">
        <v>37115</v>
      </c>
      <c r="G554" s="2" t="s">
        <v>64</v>
      </c>
      <c r="H554" t="s">
        <v>280</v>
      </c>
      <c r="I554" s="6">
        <v>41403</v>
      </c>
      <c r="J554" s="2" t="s">
        <v>2134</v>
      </c>
      <c r="K554" s="2" t="s">
        <v>34</v>
      </c>
      <c r="L554" t="s">
        <v>35</v>
      </c>
      <c r="M554" t="s">
        <v>29</v>
      </c>
      <c r="N554" t="s">
        <v>30</v>
      </c>
      <c r="O554">
        <v>37219</v>
      </c>
      <c r="P554" t="s">
        <v>2135</v>
      </c>
      <c r="Q554" s="2">
        <v>0.8</v>
      </c>
      <c r="R554" s="2">
        <v>110</v>
      </c>
      <c r="S554" s="2">
        <v>328</v>
      </c>
      <c r="T554" t="s">
        <v>2136</v>
      </c>
      <c r="U554" s="6">
        <v>25359</v>
      </c>
      <c r="V554" s="2">
        <v>47037010601</v>
      </c>
      <c r="W554" s="2" t="s">
        <v>38</v>
      </c>
      <c r="X554" s="1">
        <v>45658</v>
      </c>
      <c r="Y554" s="2">
        <v>129600</v>
      </c>
      <c r="Z554" s="2">
        <v>0</v>
      </c>
      <c r="AA554" s="2">
        <v>129600</v>
      </c>
    </row>
    <row r="555" spans="1:27" x14ac:dyDescent="0.3">
      <c r="A555" s="4" t="s">
        <v>1993</v>
      </c>
      <c r="B555" s="2" t="str">
        <f>"05216011000"</f>
        <v>05216011000</v>
      </c>
      <c r="C555" s="2" t="s">
        <v>2137</v>
      </c>
      <c r="D555" t="s">
        <v>866</v>
      </c>
      <c r="E555" s="2" t="s">
        <v>30</v>
      </c>
      <c r="F555" s="2">
        <v>37115</v>
      </c>
      <c r="G555" s="2" t="s">
        <v>64</v>
      </c>
      <c r="H555" t="s">
        <v>280</v>
      </c>
      <c r="I555" s="6">
        <v>25118</v>
      </c>
      <c r="J555" s="2" t="s">
        <v>2138</v>
      </c>
      <c r="K555" s="2">
        <v>0</v>
      </c>
      <c r="L555" t="s">
        <v>35</v>
      </c>
      <c r="M555" t="s">
        <v>29</v>
      </c>
      <c r="N555" t="s">
        <v>30</v>
      </c>
      <c r="O555">
        <v>37219</v>
      </c>
      <c r="P555" t="s">
        <v>2139</v>
      </c>
      <c r="Q555" s="2">
        <v>1.2</v>
      </c>
      <c r="R555" s="2">
        <v>0</v>
      </c>
      <c r="S555" s="2">
        <v>0</v>
      </c>
      <c r="T555" t="s">
        <v>2138</v>
      </c>
      <c r="U555" s="6">
        <v>25118</v>
      </c>
      <c r="V555" s="2">
        <v>47037010601</v>
      </c>
      <c r="W555" s="2" t="s">
        <v>38</v>
      </c>
      <c r="X555" s="1">
        <v>45658</v>
      </c>
      <c r="Y555" s="2">
        <v>125000</v>
      </c>
      <c r="Z555" s="2">
        <v>0</v>
      </c>
      <c r="AA555" s="2">
        <v>125000</v>
      </c>
    </row>
    <row r="556" spans="1:27" x14ac:dyDescent="0.3">
      <c r="A556" s="4" t="s">
        <v>1993</v>
      </c>
      <c r="B556" s="2" t="str">
        <f>"05305003500"</f>
        <v>05305003500</v>
      </c>
      <c r="C556" s="2" t="s">
        <v>2140</v>
      </c>
      <c r="D556" t="s">
        <v>866</v>
      </c>
      <c r="E556" s="2" t="s">
        <v>30</v>
      </c>
      <c r="F556" s="2">
        <v>37115</v>
      </c>
      <c r="G556" s="2" t="s">
        <v>64</v>
      </c>
      <c r="H556" t="s">
        <v>280</v>
      </c>
      <c r="I556" s="6">
        <v>43368</v>
      </c>
      <c r="J556" s="2" t="s">
        <v>2141</v>
      </c>
      <c r="K556" s="2">
        <v>0</v>
      </c>
      <c r="L556" t="s">
        <v>343</v>
      </c>
      <c r="M556" t="s">
        <v>29</v>
      </c>
      <c r="N556" t="s">
        <v>30</v>
      </c>
      <c r="O556">
        <v>37201</v>
      </c>
      <c r="P556" t="s">
        <v>2142</v>
      </c>
      <c r="Q556" s="2">
        <v>0.46</v>
      </c>
      <c r="R556" s="2">
        <v>133</v>
      </c>
      <c r="S556" s="2">
        <v>260</v>
      </c>
      <c r="T556" t="s">
        <v>2143</v>
      </c>
      <c r="U556" s="6">
        <v>26134</v>
      </c>
      <c r="V556" s="2">
        <v>47037010601</v>
      </c>
      <c r="W556" s="2" t="s">
        <v>38</v>
      </c>
      <c r="X556" s="1">
        <v>45658</v>
      </c>
      <c r="Y556" s="2">
        <v>105000</v>
      </c>
      <c r="Z556" s="2">
        <v>0</v>
      </c>
      <c r="AA556" s="2">
        <v>105000</v>
      </c>
    </row>
    <row r="557" spans="1:27" x14ac:dyDescent="0.3">
      <c r="A557" s="4" t="s">
        <v>1993</v>
      </c>
      <c r="B557" s="2" t="str">
        <f>"04313030300"</f>
        <v>04313030300</v>
      </c>
      <c r="C557" s="2" t="s">
        <v>2108</v>
      </c>
      <c r="D557" t="s">
        <v>866</v>
      </c>
      <c r="E557" s="2" t="s">
        <v>30</v>
      </c>
      <c r="F557" s="2">
        <v>37115</v>
      </c>
      <c r="G557" s="2" t="s">
        <v>64</v>
      </c>
      <c r="H557" t="s">
        <v>280</v>
      </c>
      <c r="I557" s="6">
        <v>45666</v>
      </c>
      <c r="J557" s="2" t="s">
        <v>2113</v>
      </c>
      <c r="K557" s="2" t="s">
        <v>34</v>
      </c>
      <c r="L557" t="s">
        <v>315</v>
      </c>
      <c r="M557" t="s">
        <v>29</v>
      </c>
      <c r="N557" t="s">
        <v>30</v>
      </c>
      <c r="O557">
        <v>37208</v>
      </c>
      <c r="P557" t="s">
        <v>2144</v>
      </c>
      <c r="Q557" s="2">
        <v>0.18</v>
      </c>
      <c r="R557" s="2">
        <v>15</v>
      </c>
      <c r="S557" s="2">
        <v>164</v>
      </c>
      <c r="T557" t="s">
        <v>2145</v>
      </c>
      <c r="U557" s="6">
        <v>26578</v>
      </c>
      <c r="V557" s="2">
        <v>47037010701</v>
      </c>
      <c r="W557" s="2" t="s">
        <v>837</v>
      </c>
      <c r="X557" s="1">
        <v>45658</v>
      </c>
      <c r="Y557" s="2">
        <v>45000</v>
      </c>
      <c r="Z557" s="2">
        <v>0</v>
      </c>
      <c r="AA557" s="2">
        <v>45000</v>
      </c>
    </row>
    <row r="558" spans="1:27" x14ac:dyDescent="0.3">
      <c r="A558" s="4" t="s">
        <v>1993</v>
      </c>
      <c r="B558" s="2" t="str">
        <f>"04313026200"</f>
        <v>04313026200</v>
      </c>
      <c r="C558" s="2" t="s">
        <v>2146</v>
      </c>
      <c r="D558" t="s">
        <v>866</v>
      </c>
      <c r="E558" s="2" t="s">
        <v>30</v>
      </c>
      <c r="F558" s="2">
        <v>37115</v>
      </c>
      <c r="G558" s="2" t="s">
        <v>64</v>
      </c>
      <c r="H558" t="s">
        <v>280</v>
      </c>
      <c r="I558" s="6">
        <v>42115</v>
      </c>
      <c r="J558" s="2" t="s">
        <v>2147</v>
      </c>
      <c r="K558" s="2">
        <v>0</v>
      </c>
      <c r="L558" t="s">
        <v>35</v>
      </c>
      <c r="M558" t="s">
        <v>29</v>
      </c>
      <c r="N558" t="s">
        <v>30</v>
      </c>
      <c r="O558">
        <v>37219</v>
      </c>
      <c r="P558" t="s">
        <v>2148</v>
      </c>
      <c r="Q558" s="2">
        <v>0.16</v>
      </c>
      <c r="R558" s="2">
        <v>30</v>
      </c>
      <c r="S558" s="2">
        <v>140</v>
      </c>
      <c r="T558" t="s">
        <v>2149</v>
      </c>
      <c r="U558" s="6">
        <v>18924</v>
      </c>
      <c r="V558" s="2">
        <v>47037010701</v>
      </c>
      <c r="W558" s="2" t="s">
        <v>837</v>
      </c>
      <c r="X558" s="1">
        <v>45658</v>
      </c>
      <c r="Y558" s="2">
        <v>13500</v>
      </c>
      <c r="Z558" s="2">
        <v>0</v>
      </c>
      <c r="AA558" s="2">
        <v>13500</v>
      </c>
    </row>
    <row r="559" spans="1:27" x14ac:dyDescent="0.3">
      <c r="A559" s="4" t="s">
        <v>1993</v>
      </c>
      <c r="B559" s="2" t="str">
        <f>"05201006900"</f>
        <v>05201006900</v>
      </c>
      <c r="C559" s="2" t="s">
        <v>2150</v>
      </c>
      <c r="D559" t="s">
        <v>866</v>
      </c>
      <c r="E559" s="2" t="s">
        <v>30</v>
      </c>
      <c r="F559" s="2">
        <v>37115</v>
      </c>
      <c r="G559" s="2" t="s">
        <v>194</v>
      </c>
      <c r="H559" t="s">
        <v>280</v>
      </c>
      <c r="I559" s="6">
        <v>43609</v>
      </c>
      <c r="J559" s="2" t="s">
        <v>2151</v>
      </c>
      <c r="K559" s="2">
        <v>0</v>
      </c>
      <c r="L559" t="s">
        <v>315</v>
      </c>
      <c r="M559" t="s">
        <v>29</v>
      </c>
      <c r="N559" t="s">
        <v>30</v>
      </c>
      <c r="O559">
        <v>37208</v>
      </c>
      <c r="P559" t="s">
        <v>2152</v>
      </c>
      <c r="Q559" s="2">
        <v>0.2</v>
      </c>
      <c r="R559" s="2">
        <v>75</v>
      </c>
      <c r="S559" s="2">
        <v>128</v>
      </c>
      <c r="T559" t="s">
        <v>2153</v>
      </c>
      <c r="U559" s="6">
        <v>32422</v>
      </c>
      <c r="V559" s="2">
        <v>47037010701</v>
      </c>
      <c r="W559" s="2" t="s">
        <v>837</v>
      </c>
      <c r="X559" s="1">
        <v>45658</v>
      </c>
      <c r="Y559" s="2">
        <v>4500</v>
      </c>
      <c r="Z559" s="2">
        <v>0</v>
      </c>
      <c r="AA559" s="2">
        <v>4500</v>
      </c>
    </row>
    <row r="560" spans="1:27" x14ac:dyDescent="0.3">
      <c r="A560" s="4" t="s">
        <v>1993</v>
      </c>
      <c r="B560" s="2" t="str">
        <f>"05201006800"</f>
        <v>05201006800</v>
      </c>
      <c r="C560" s="2" t="s">
        <v>2150</v>
      </c>
      <c r="D560" t="s">
        <v>866</v>
      </c>
      <c r="E560" s="2" t="s">
        <v>30</v>
      </c>
      <c r="F560" s="2">
        <v>37115</v>
      </c>
      <c r="G560" s="2" t="s">
        <v>64</v>
      </c>
      <c r="H560" t="s">
        <v>280</v>
      </c>
      <c r="I560" s="6">
        <v>43609</v>
      </c>
      <c r="J560" s="2" t="s">
        <v>2151</v>
      </c>
      <c r="K560" s="2">
        <v>0</v>
      </c>
      <c r="L560" t="s">
        <v>315</v>
      </c>
      <c r="M560" t="s">
        <v>29</v>
      </c>
      <c r="N560" t="s">
        <v>30</v>
      </c>
      <c r="O560">
        <v>37208</v>
      </c>
      <c r="P560" t="s">
        <v>2154</v>
      </c>
      <c r="Q560" s="2">
        <v>0.15</v>
      </c>
      <c r="R560" s="2">
        <v>50</v>
      </c>
      <c r="S560" s="2">
        <v>135</v>
      </c>
      <c r="T560" t="s">
        <v>2155</v>
      </c>
      <c r="U560" s="6">
        <v>19784</v>
      </c>
      <c r="V560" s="2">
        <v>47037010701</v>
      </c>
      <c r="W560" s="2" t="s">
        <v>837</v>
      </c>
      <c r="X560" s="1">
        <v>45658</v>
      </c>
      <c r="Y560" s="2">
        <v>4500</v>
      </c>
      <c r="Z560" s="2">
        <v>0</v>
      </c>
      <c r="AA560" s="2">
        <v>4500</v>
      </c>
    </row>
    <row r="561" spans="1:27" x14ac:dyDescent="0.3">
      <c r="A561" s="4" t="s">
        <v>1993</v>
      </c>
      <c r="B561" s="2" t="str">
        <f>"05201008000"</f>
        <v>05201008000</v>
      </c>
      <c r="C561" s="2" t="s">
        <v>2156</v>
      </c>
      <c r="D561" t="s">
        <v>866</v>
      </c>
      <c r="E561" s="2" t="s">
        <v>30</v>
      </c>
      <c r="F561" s="2">
        <v>37115</v>
      </c>
      <c r="G561" s="2" t="s">
        <v>64</v>
      </c>
      <c r="H561" t="s">
        <v>280</v>
      </c>
      <c r="I561" s="6">
        <v>42572</v>
      </c>
      <c r="J561" s="2" t="s">
        <v>2157</v>
      </c>
      <c r="K561" s="2">
        <v>0</v>
      </c>
      <c r="L561" t="s">
        <v>1041</v>
      </c>
      <c r="M561" t="s">
        <v>29</v>
      </c>
      <c r="N561" t="s">
        <v>30</v>
      </c>
      <c r="O561">
        <v>37201</v>
      </c>
      <c r="P561" t="s">
        <v>2158</v>
      </c>
      <c r="Q561" s="2">
        <v>0.22</v>
      </c>
      <c r="R561" s="2">
        <v>50</v>
      </c>
      <c r="S561" s="2">
        <v>195</v>
      </c>
      <c r="T561" t="s">
        <v>2159</v>
      </c>
      <c r="U561" s="6">
        <v>17630</v>
      </c>
      <c r="V561" s="2">
        <v>47037010701</v>
      </c>
      <c r="W561" s="2" t="s">
        <v>837</v>
      </c>
      <c r="X561" s="1">
        <v>45658</v>
      </c>
      <c r="Y561" s="2">
        <v>51800</v>
      </c>
      <c r="Z561" s="2">
        <v>0</v>
      </c>
      <c r="AA561" s="2">
        <v>51800</v>
      </c>
    </row>
    <row r="562" spans="1:27" x14ac:dyDescent="0.3">
      <c r="A562" s="4" t="s">
        <v>1993</v>
      </c>
      <c r="B562" s="2" t="str">
        <f>"06200009700"</f>
        <v>06200009700</v>
      </c>
      <c r="C562" s="2" t="s">
        <v>2160</v>
      </c>
      <c r="D562" t="s">
        <v>866</v>
      </c>
      <c r="E562" s="2" t="s">
        <v>30</v>
      </c>
      <c r="F562" s="2">
        <v>37115</v>
      </c>
      <c r="G562" s="2" t="s">
        <v>64</v>
      </c>
      <c r="H562" t="s">
        <v>280</v>
      </c>
      <c r="I562" s="6">
        <v>31726</v>
      </c>
      <c r="J562" s="2" t="s">
        <v>2161</v>
      </c>
      <c r="K562" s="2">
        <v>11900</v>
      </c>
      <c r="L562" t="s">
        <v>35</v>
      </c>
      <c r="M562" t="s">
        <v>29</v>
      </c>
      <c r="N562" t="s">
        <v>30</v>
      </c>
      <c r="O562">
        <v>37219</v>
      </c>
      <c r="P562" t="s">
        <v>2162</v>
      </c>
      <c r="Q562" s="2">
        <v>1.2</v>
      </c>
      <c r="R562" s="2">
        <v>138</v>
      </c>
      <c r="S562" s="2">
        <v>329</v>
      </c>
      <c r="T562" t="s">
        <v>2163</v>
      </c>
      <c r="U562" s="6">
        <v>24762</v>
      </c>
      <c r="V562" s="2">
        <v>47037010601</v>
      </c>
      <c r="W562" s="2" t="s">
        <v>38</v>
      </c>
      <c r="X562" s="1">
        <v>45658</v>
      </c>
      <c r="Y562" s="2">
        <v>25000</v>
      </c>
      <c r="Z562" s="2">
        <v>0</v>
      </c>
      <c r="AA562" s="2">
        <v>25000</v>
      </c>
    </row>
    <row r="563" spans="1:27" x14ac:dyDescent="0.3">
      <c r="A563" s="4" t="s">
        <v>1993</v>
      </c>
      <c r="B563" s="2" t="str">
        <f>"04301008300"</f>
        <v>04301008300</v>
      </c>
      <c r="C563" s="2" t="s">
        <v>2164</v>
      </c>
      <c r="D563" t="s">
        <v>866</v>
      </c>
      <c r="E563" s="2" t="s">
        <v>30</v>
      </c>
      <c r="F563" s="2">
        <v>37115</v>
      </c>
      <c r="G563" s="2" t="s">
        <v>64</v>
      </c>
      <c r="H563" t="s">
        <v>280</v>
      </c>
      <c r="I563" s="6">
        <v>41355</v>
      </c>
      <c r="J563" s="2" t="s">
        <v>2165</v>
      </c>
      <c r="K563" s="2">
        <v>0</v>
      </c>
      <c r="L563" t="s">
        <v>35</v>
      </c>
      <c r="M563" t="s">
        <v>29</v>
      </c>
      <c r="N563" t="s">
        <v>30</v>
      </c>
      <c r="O563">
        <v>37219</v>
      </c>
      <c r="P563" t="s">
        <v>2166</v>
      </c>
      <c r="Q563" s="2">
        <v>0.34</v>
      </c>
      <c r="R563" s="2">
        <v>132</v>
      </c>
      <c r="S563" s="2">
        <v>135</v>
      </c>
      <c r="T563" t="s">
        <v>2167</v>
      </c>
      <c r="U563" s="6">
        <v>20516</v>
      </c>
      <c r="V563" s="2">
        <v>47037010401</v>
      </c>
      <c r="W563" s="2" t="s">
        <v>837</v>
      </c>
      <c r="X563" s="1">
        <v>45658</v>
      </c>
      <c r="Y563" s="2">
        <v>93500</v>
      </c>
      <c r="Z563" s="2">
        <v>0</v>
      </c>
      <c r="AA563" s="2">
        <v>93500</v>
      </c>
    </row>
    <row r="564" spans="1:27" x14ac:dyDescent="0.3">
      <c r="A564" s="4" t="s">
        <v>1993</v>
      </c>
      <c r="B564" s="2" t="str">
        <f>"05201006500"</f>
        <v>05201006500</v>
      </c>
      <c r="C564" s="2" t="s">
        <v>2168</v>
      </c>
      <c r="D564" t="s">
        <v>866</v>
      </c>
      <c r="E564" s="2" t="s">
        <v>30</v>
      </c>
      <c r="F564" s="2">
        <v>37115</v>
      </c>
      <c r="G564" s="2" t="s">
        <v>64</v>
      </c>
      <c r="H564" t="s">
        <v>280</v>
      </c>
      <c r="I564" s="6">
        <v>43018</v>
      </c>
      <c r="J564" s="2" t="s">
        <v>2169</v>
      </c>
      <c r="K564" s="2" t="s">
        <v>34</v>
      </c>
      <c r="L564" t="s">
        <v>343</v>
      </c>
      <c r="M564" t="s">
        <v>29</v>
      </c>
      <c r="N564" t="s">
        <v>30</v>
      </c>
      <c r="O564">
        <v>37201</v>
      </c>
      <c r="P564" t="s">
        <v>2170</v>
      </c>
      <c r="Q564" s="2">
        <v>0.18</v>
      </c>
      <c r="R564" s="2">
        <v>50</v>
      </c>
      <c r="S564" s="2">
        <v>160</v>
      </c>
      <c r="T564" t="s">
        <v>2171</v>
      </c>
      <c r="U564" s="6">
        <v>23700</v>
      </c>
      <c r="V564" s="2">
        <v>47037010701</v>
      </c>
      <c r="W564" s="2" t="s">
        <v>837</v>
      </c>
      <c r="X564" s="1">
        <v>45658</v>
      </c>
      <c r="Y564" s="2">
        <v>90000</v>
      </c>
      <c r="Z564" s="2">
        <v>0</v>
      </c>
      <c r="AA564" s="2">
        <v>90000</v>
      </c>
    </row>
    <row r="565" spans="1:27" x14ac:dyDescent="0.3">
      <c r="A565" s="4" t="s">
        <v>1993</v>
      </c>
      <c r="B565" s="2" t="str">
        <f>"05201008400"</f>
        <v>05201008400</v>
      </c>
      <c r="C565" s="2" t="s">
        <v>2172</v>
      </c>
      <c r="D565" t="s">
        <v>866</v>
      </c>
      <c r="E565" s="2" t="s">
        <v>30</v>
      </c>
      <c r="F565" s="2">
        <v>37115</v>
      </c>
      <c r="G565" s="2" t="s">
        <v>64</v>
      </c>
      <c r="H565" t="s">
        <v>280</v>
      </c>
      <c r="I565" s="6">
        <v>42509</v>
      </c>
      <c r="J565" s="2" t="s">
        <v>2173</v>
      </c>
      <c r="K565" s="2">
        <v>0</v>
      </c>
      <c r="L565" t="s">
        <v>35</v>
      </c>
      <c r="M565" t="s">
        <v>29</v>
      </c>
      <c r="N565" t="s">
        <v>30</v>
      </c>
      <c r="O565">
        <v>37219</v>
      </c>
      <c r="P565" t="s">
        <v>2174</v>
      </c>
      <c r="Q565" s="2">
        <v>0.38</v>
      </c>
      <c r="R565" s="2">
        <v>100</v>
      </c>
      <c r="S565" s="2">
        <v>165</v>
      </c>
      <c r="T565" t="s">
        <v>2175</v>
      </c>
      <c r="U565" s="6">
        <v>41969</v>
      </c>
      <c r="V565" s="2">
        <v>47037010701</v>
      </c>
      <c r="W565" s="2" t="s">
        <v>837</v>
      </c>
      <c r="X565" s="1">
        <v>45658</v>
      </c>
      <c r="Y565" s="2">
        <v>62100</v>
      </c>
      <c r="Z565" s="2">
        <v>0</v>
      </c>
      <c r="AA565" s="2">
        <v>62100</v>
      </c>
    </row>
    <row r="566" spans="1:27" x14ac:dyDescent="0.3">
      <c r="A566" s="4" t="s">
        <v>1993</v>
      </c>
      <c r="B566" s="2" t="str">
        <f>"04301014800"</f>
        <v>04301014800</v>
      </c>
      <c r="C566" s="2" t="s">
        <v>2176</v>
      </c>
      <c r="D566" t="s">
        <v>866</v>
      </c>
      <c r="E566" s="2" t="s">
        <v>30</v>
      </c>
      <c r="F566" s="2">
        <v>37115</v>
      </c>
      <c r="G566" s="2" t="s">
        <v>64</v>
      </c>
      <c r="H566" t="s">
        <v>280</v>
      </c>
      <c r="I566" s="6">
        <v>41495</v>
      </c>
      <c r="J566" s="2" t="s">
        <v>2177</v>
      </c>
      <c r="K566" s="2">
        <v>0</v>
      </c>
      <c r="L566" t="s">
        <v>35</v>
      </c>
      <c r="M566" t="s">
        <v>29</v>
      </c>
      <c r="N566" t="s">
        <v>30</v>
      </c>
      <c r="O566">
        <v>37219</v>
      </c>
      <c r="P566" t="s">
        <v>2178</v>
      </c>
      <c r="Q566" s="2">
        <v>0.21</v>
      </c>
      <c r="R566" s="2">
        <v>71</v>
      </c>
      <c r="S566" s="2">
        <v>101</v>
      </c>
      <c r="T566" t="s">
        <v>2179</v>
      </c>
      <c r="U566" s="6">
        <v>28941</v>
      </c>
      <c r="V566" s="2">
        <v>47037010401</v>
      </c>
      <c r="W566" s="2" t="s">
        <v>837</v>
      </c>
      <c r="X566" s="1">
        <v>45658</v>
      </c>
      <c r="Y566" s="2">
        <v>85000</v>
      </c>
      <c r="Z566" s="2">
        <v>0</v>
      </c>
      <c r="AA566" s="2">
        <v>85000</v>
      </c>
    </row>
    <row r="567" spans="1:27" x14ac:dyDescent="0.3">
      <c r="A567" s="4" t="s">
        <v>1993</v>
      </c>
      <c r="B567" s="2" t="str">
        <f>"04301015900"</f>
        <v>04301015900</v>
      </c>
      <c r="C567" s="2" t="s">
        <v>2180</v>
      </c>
      <c r="D567" t="s">
        <v>866</v>
      </c>
      <c r="E567" s="2" t="s">
        <v>30</v>
      </c>
      <c r="F567" s="2">
        <v>37115</v>
      </c>
      <c r="G567" s="2" t="s">
        <v>64</v>
      </c>
      <c r="H567" t="s">
        <v>280</v>
      </c>
      <c r="I567" s="6">
        <v>41394</v>
      </c>
      <c r="J567" s="2" t="s">
        <v>2181</v>
      </c>
      <c r="K567" s="2">
        <v>107000</v>
      </c>
      <c r="L567" t="s">
        <v>35</v>
      </c>
      <c r="M567" t="s">
        <v>29</v>
      </c>
      <c r="N567" t="s">
        <v>30</v>
      </c>
      <c r="O567">
        <v>37219</v>
      </c>
      <c r="P567" t="s">
        <v>2182</v>
      </c>
      <c r="Q567" s="2">
        <v>0.2</v>
      </c>
      <c r="R567" s="2">
        <v>67</v>
      </c>
      <c r="S567" s="2">
        <v>101</v>
      </c>
      <c r="T567" t="s">
        <v>2179</v>
      </c>
      <c r="U567" s="6">
        <v>28941</v>
      </c>
      <c r="V567" s="2">
        <v>47037010401</v>
      </c>
      <c r="W567" s="2" t="s">
        <v>837</v>
      </c>
      <c r="X567" s="1">
        <v>45658</v>
      </c>
      <c r="Y567" s="2">
        <v>85000</v>
      </c>
      <c r="Z567" s="2">
        <v>0</v>
      </c>
      <c r="AA567" s="2">
        <v>85000</v>
      </c>
    </row>
    <row r="568" spans="1:27" x14ac:dyDescent="0.3">
      <c r="A568" s="4" t="s">
        <v>1993</v>
      </c>
      <c r="B568" s="2" t="str">
        <f>"04311020600"</f>
        <v>04311020600</v>
      </c>
      <c r="C568" s="2" t="s">
        <v>2183</v>
      </c>
      <c r="D568" t="s">
        <v>866</v>
      </c>
      <c r="E568" s="2" t="s">
        <v>30</v>
      </c>
      <c r="F568" s="2">
        <v>37115</v>
      </c>
      <c r="G568" s="2" t="s">
        <v>64</v>
      </c>
      <c r="H568" t="s">
        <v>280</v>
      </c>
      <c r="I568" s="6">
        <v>35312</v>
      </c>
      <c r="J568" s="2" t="s">
        <v>2184</v>
      </c>
      <c r="K568" s="2">
        <v>1194</v>
      </c>
      <c r="L568" t="s">
        <v>35</v>
      </c>
      <c r="M568" t="s">
        <v>29</v>
      </c>
      <c r="N568" t="s">
        <v>30</v>
      </c>
      <c r="O568">
        <v>37219</v>
      </c>
      <c r="P568" t="s">
        <v>2185</v>
      </c>
      <c r="Q568" s="2">
        <v>0.22</v>
      </c>
      <c r="R568" s="2">
        <v>50</v>
      </c>
      <c r="S568" s="2">
        <v>188</v>
      </c>
      <c r="T568" t="s">
        <v>2086</v>
      </c>
      <c r="U568" s="6">
        <v>30841</v>
      </c>
      <c r="V568" s="2">
        <v>47037010402</v>
      </c>
      <c r="W568" s="2" t="s">
        <v>837</v>
      </c>
      <c r="X568" s="1">
        <v>45658</v>
      </c>
      <c r="Y568" s="2">
        <v>93500</v>
      </c>
      <c r="Z568" s="2">
        <v>0</v>
      </c>
      <c r="AA568" s="2">
        <v>93500</v>
      </c>
    </row>
    <row r="569" spans="1:27" x14ac:dyDescent="0.3">
      <c r="A569" s="4" t="s">
        <v>1993</v>
      </c>
      <c r="B569" s="2" t="str">
        <f>"04311020700"</f>
        <v>04311020700</v>
      </c>
      <c r="C569" s="2" t="s">
        <v>2186</v>
      </c>
      <c r="D569" t="s">
        <v>866</v>
      </c>
      <c r="E569" s="2" t="s">
        <v>30</v>
      </c>
      <c r="F569" s="2">
        <v>37115</v>
      </c>
      <c r="G569" s="2" t="s">
        <v>64</v>
      </c>
      <c r="H569" t="s">
        <v>280</v>
      </c>
      <c r="I569" s="6">
        <v>35312</v>
      </c>
      <c r="J569" s="2" t="s">
        <v>2187</v>
      </c>
      <c r="K569" s="2">
        <v>1194</v>
      </c>
      <c r="L569" t="s">
        <v>35</v>
      </c>
      <c r="M569" t="s">
        <v>29</v>
      </c>
      <c r="N569" t="s">
        <v>30</v>
      </c>
      <c r="O569">
        <v>37219</v>
      </c>
      <c r="P569" t="s">
        <v>2188</v>
      </c>
      <c r="Q569" s="2">
        <v>0.22</v>
      </c>
      <c r="R569" s="2">
        <v>50</v>
      </c>
      <c r="S569" s="2">
        <v>188</v>
      </c>
      <c r="T569" t="s">
        <v>2086</v>
      </c>
      <c r="U569" s="6">
        <v>30841</v>
      </c>
      <c r="V569" s="2">
        <v>47037010402</v>
      </c>
      <c r="W569" s="2" t="s">
        <v>837</v>
      </c>
      <c r="X569" s="1">
        <v>45658</v>
      </c>
      <c r="Y569" s="2">
        <v>93500</v>
      </c>
      <c r="Z569" s="2">
        <v>0</v>
      </c>
      <c r="AA569" s="2">
        <v>93500</v>
      </c>
    </row>
    <row r="570" spans="1:27" x14ac:dyDescent="0.3">
      <c r="A570" s="4" t="s">
        <v>1993</v>
      </c>
      <c r="B570" s="2" t="str">
        <f>"04311020800"</f>
        <v>04311020800</v>
      </c>
      <c r="C570" s="2" t="s">
        <v>2189</v>
      </c>
      <c r="D570" t="s">
        <v>866</v>
      </c>
      <c r="E570" s="2" t="s">
        <v>30</v>
      </c>
      <c r="F570" s="2">
        <v>37115</v>
      </c>
      <c r="G570" s="2" t="s">
        <v>64</v>
      </c>
      <c r="H570" t="s">
        <v>280</v>
      </c>
      <c r="I570" s="6">
        <v>35312</v>
      </c>
      <c r="J570" s="2" t="s">
        <v>2190</v>
      </c>
      <c r="K570" s="2">
        <v>1194</v>
      </c>
      <c r="L570" t="s">
        <v>35</v>
      </c>
      <c r="M570" t="s">
        <v>29</v>
      </c>
      <c r="N570" t="s">
        <v>30</v>
      </c>
      <c r="O570">
        <v>37219</v>
      </c>
      <c r="P570" t="s">
        <v>2191</v>
      </c>
      <c r="Q570" s="2">
        <v>0.22</v>
      </c>
      <c r="R570" s="2">
        <v>50</v>
      </c>
      <c r="S570" s="2">
        <v>188</v>
      </c>
      <c r="T570" t="s">
        <v>2086</v>
      </c>
      <c r="U570" s="6">
        <v>30841</v>
      </c>
      <c r="V570" s="2">
        <v>47037010402</v>
      </c>
      <c r="W570" s="2" t="s">
        <v>837</v>
      </c>
      <c r="X570" s="1">
        <v>45658</v>
      </c>
      <c r="Y570" s="2">
        <v>93500</v>
      </c>
      <c r="Z570" s="2">
        <v>0</v>
      </c>
      <c r="AA570" s="2">
        <v>93500</v>
      </c>
    </row>
    <row r="571" spans="1:27" x14ac:dyDescent="0.3">
      <c r="A571" s="4" t="s">
        <v>1993</v>
      </c>
      <c r="B571" s="2" t="str">
        <f>"04311021100"</f>
        <v>04311021100</v>
      </c>
      <c r="C571" s="2" t="s">
        <v>2192</v>
      </c>
      <c r="D571" t="s">
        <v>866</v>
      </c>
      <c r="E571" s="2" t="s">
        <v>30</v>
      </c>
      <c r="F571" s="2">
        <v>37115</v>
      </c>
      <c r="G571" s="2" t="s">
        <v>64</v>
      </c>
      <c r="H571" t="s">
        <v>280</v>
      </c>
      <c r="I571" s="6">
        <v>35312</v>
      </c>
      <c r="J571" s="2" t="s">
        <v>2193</v>
      </c>
      <c r="K571" s="2">
        <v>1194</v>
      </c>
      <c r="L571" t="s">
        <v>35</v>
      </c>
      <c r="M571" t="s">
        <v>29</v>
      </c>
      <c r="N571" t="s">
        <v>30</v>
      </c>
      <c r="O571">
        <v>37219</v>
      </c>
      <c r="P571" t="s">
        <v>2194</v>
      </c>
      <c r="Q571" s="2">
        <v>0.22</v>
      </c>
      <c r="R571" s="2">
        <v>50</v>
      </c>
      <c r="S571" s="2">
        <v>188</v>
      </c>
      <c r="T571" t="s">
        <v>2086</v>
      </c>
      <c r="U571" s="6">
        <v>30841</v>
      </c>
      <c r="V571" s="2">
        <v>47037010402</v>
      </c>
      <c r="W571" s="2" t="s">
        <v>837</v>
      </c>
      <c r="X571" s="1">
        <v>45658</v>
      </c>
      <c r="Y571" s="2">
        <v>93500</v>
      </c>
      <c r="Z571" s="2">
        <v>0</v>
      </c>
      <c r="AA571" s="2">
        <v>93500</v>
      </c>
    </row>
    <row r="572" spans="1:27" x14ac:dyDescent="0.3">
      <c r="A572" s="4" t="s">
        <v>1993</v>
      </c>
      <c r="B572" s="2" t="str">
        <f>"04313008000"</f>
        <v>04313008000</v>
      </c>
      <c r="C572" s="2" t="s">
        <v>2195</v>
      </c>
      <c r="D572" t="s">
        <v>866</v>
      </c>
      <c r="E572" s="2" t="s">
        <v>30</v>
      </c>
      <c r="F572" s="2">
        <v>37115</v>
      </c>
      <c r="G572" s="2" t="s">
        <v>41</v>
      </c>
      <c r="H572" t="s">
        <v>1084</v>
      </c>
      <c r="I572" s="6">
        <v>42549</v>
      </c>
      <c r="J572" s="2" t="s">
        <v>2196</v>
      </c>
      <c r="K572" s="2">
        <v>0</v>
      </c>
      <c r="L572" t="s">
        <v>35</v>
      </c>
      <c r="M572" t="s">
        <v>29</v>
      </c>
      <c r="N572" t="s">
        <v>30</v>
      </c>
      <c r="O572">
        <v>37219</v>
      </c>
      <c r="P572" t="s">
        <v>2197</v>
      </c>
      <c r="Q572" s="2">
        <v>0.17</v>
      </c>
      <c r="R572" s="2">
        <v>50</v>
      </c>
      <c r="S572" s="2">
        <v>150</v>
      </c>
      <c r="T572" t="s">
        <v>2198</v>
      </c>
      <c r="U572" s="6">
        <v>27205</v>
      </c>
      <c r="V572" s="2">
        <v>47037010701</v>
      </c>
      <c r="W572" s="2" t="s">
        <v>837</v>
      </c>
      <c r="X572" s="1">
        <v>45658</v>
      </c>
      <c r="Y572" s="2">
        <v>21000</v>
      </c>
      <c r="Z572" s="2">
        <v>0</v>
      </c>
      <c r="AA572" s="2">
        <v>21000</v>
      </c>
    </row>
    <row r="573" spans="1:27" x14ac:dyDescent="0.3">
      <c r="A573" s="4" t="s">
        <v>1993</v>
      </c>
      <c r="B573" s="2" t="str">
        <f>"04313034900"</f>
        <v>04313034900</v>
      </c>
      <c r="C573" s="2" t="s">
        <v>2108</v>
      </c>
      <c r="D573" t="s">
        <v>866</v>
      </c>
      <c r="E573" s="2" t="s">
        <v>30</v>
      </c>
      <c r="F573" s="2">
        <v>37115</v>
      </c>
      <c r="G573" s="2" t="s">
        <v>64</v>
      </c>
      <c r="H573" t="s">
        <v>1084</v>
      </c>
      <c r="I573" s="6">
        <v>42527</v>
      </c>
      <c r="J573" s="2" t="s">
        <v>2199</v>
      </c>
      <c r="K573" s="2">
        <v>0</v>
      </c>
      <c r="L573" t="s">
        <v>35</v>
      </c>
      <c r="M573" t="s">
        <v>29</v>
      </c>
      <c r="N573" t="s">
        <v>30</v>
      </c>
      <c r="O573">
        <v>37219</v>
      </c>
      <c r="P573" t="s">
        <v>2200</v>
      </c>
      <c r="Q573" s="2">
        <v>0.09</v>
      </c>
      <c r="R573" s="2">
        <v>50</v>
      </c>
      <c r="S573" s="2">
        <v>99</v>
      </c>
      <c r="T573" t="s">
        <v>2201</v>
      </c>
      <c r="U573" s="6">
        <v>23422</v>
      </c>
      <c r="V573" s="2">
        <v>47037010701</v>
      </c>
      <c r="W573" s="2" t="s">
        <v>837</v>
      </c>
      <c r="X573" s="1">
        <v>45658</v>
      </c>
      <c r="Y573" s="2">
        <v>4100</v>
      </c>
      <c r="Z573" s="2">
        <v>0</v>
      </c>
      <c r="AA573" s="2">
        <v>4100</v>
      </c>
    </row>
    <row r="574" spans="1:27" x14ac:dyDescent="0.3">
      <c r="A574" s="4" t="s">
        <v>1993</v>
      </c>
      <c r="B574" s="2" t="str">
        <f>"04313034700"</f>
        <v>04313034700</v>
      </c>
      <c r="C574" s="2" t="s">
        <v>2202</v>
      </c>
      <c r="D574" t="s">
        <v>866</v>
      </c>
      <c r="E574" s="2" t="s">
        <v>30</v>
      </c>
      <c r="F574" s="2">
        <v>37115</v>
      </c>
      <c r="G574" s="2" t="s">
        <v>64</v>
      </c>
      <c r="H574" t="s">
        <v>1084</v>
      </c>
      <c r="I574" s="6">
        <v>42527</v>
      </c>
      <c r="J574" s="2" t="s">
        <v>2199</v>
      </c>
      <c r="K574" s="2">
        <v>0</v>
      </c>
      <c r="L574" t="s">
        <v>35</v>
      </c>
      <c r="M574" t="s">
        <v>29</v>
      </c>
      <c r="N574" t="s">
        <v>30</v>
      </c>
      <c r="O574">
        <v>37219</v>
      </c>
      <c r="P574" t="s">
        <v>2203</v>
      </c>
      <c r="Q574" s="2">
        <v>0.23</v>
      </c>
      <c r="R574" s="2">
        <v>100</v>
      </c>
      <c r="S574" s="2">
        <v>122</v>
      </c>
      <c r="T574" t="s">
        <v>278</v>
      </c>
      <c r="U574" s="6">
        <v>34086</v>
      </c>
      <c r="V574" s="2">
        <v>47037010701</v>
      </c>
      <c r="W574" s="2" t="s">
        <v>837</v>
      </c>
      <c r="X574" s="1">
        <v>45658</v>
      </c>
      <c r="Y574" s="2">
        <v>103500</v>
      </c>
      <c r="Z574" s="2">
        <v>0</v>
      </c>
      <c r="AA574" s="2">
        <v>103500</v>
      </c>
    </row>
    <row r="575" spans="1:27" x14ac:dyDescent="0.3">
      <c r="A575" s="4" t="s">
        <v>1993</v>
      </c>
      <c r="B575" s="2" t="str">
        <f>"04313035500"</f>
        <v>04313035500</v>
      </c>
      <c r="C575" s="2" t="s">
        <v>2204</v>
      </c>
      <c r="D575" t="s">
        <v>866</v>
      </c>
      <c r="E575" s="2" t="s">
        <v>30</v>
      </c>
      <c r="F575" s="2">
        <v>37115</v>
      </c>
      <c r="G575" s="2" t="s">
        <v>64</v>
      </c>
      <c r="H575" t="s">
        <v>379</v>
      </c>
      <c r="I575" s="6">
        <v>42985</v>
      </c>
      <c r="J575" s="2" t="s">
        <v>2205</v>
      </c>
      <c r="K575" s="2">
        <v>0</v>
      </c>
      <c r="L575" t="s">
        <v>651</v>
      </c>
      <c r="M575" t="s">
        <v>29</v>
      </c>
      <c r="N575" t="s">
        <v>30</v>
      </c>
      <c r="O575">
        <v>37208</v>
      </c>
      <c r="P575" t="s">
        <v>2206</v>
      </c>
      <c r="Q575" s="2">
        <v>0.17</v>
      </c>
      <c r="R575" s="2">
        <v>50</v>
      </c>
      <c r="S575" s="2">
        <v>150</v>
      </c>
      <c r="T575" t="s">
        <v>2207</v>
      </c>
      <c r="U575" s="6">
        <v>13246</v>
      </c>
      <c r="V575" s="2">
        <v>47037010701</v>
      </c>
      <c r="W575" s="2" t="s">
        <v>837</v>
      </c>
      <c r="X575" s="1">
        <v>45658</v>
      </c>
      <c r="Y575" s="2">
        <v>90000</v>
      </c>
      <c r="Z575" s="2">
        <v>0</v>
      </c>
      <c r="AA575" s="2">
        <v>90000</v>
      </c>
    </row>
    <row r="576" spans="1:27" x14ac:dyDescent="0.3">
      <c r="A576" s="4" t="s">
        <v>1993</v>
      </c>
      <c r="B576" s="2" t="str">
        <f>"05201011100"</f>
        <v>05201011100</v>
      </c>
      <c r="C576" s="2" t="s">
        <v>2208</v>
      </c>
      <c r="D576" t="s">
        <v>866</v>
      </c>
      <c r="E576" s="2" t="s">
        <v>30</v>
      </c>
      <c r="F576" s="2">
        <v>37115</v>
      </c>
      <c r="G576" s="2" t="s">
        <v>64</v>
      </c>
      <c r="H576" t="s">
        <v>379</v>
      </c>
      <c r="I576" s="6">
        <v>43507</v>
      </c>
      <c r="J576" s="2" t="s">
        <v>2209</v>
      </c>
      <c r="K576" s="2">
        <v>0</v>
      </c>
      <c r="L576" t="s">
        <v>1104</v>
      </c>
      <c r="M576" t="s">
        <v>29</v>
      </c>
      <c r="N576" t="s">
        <v>30</v>
      </c>
      <c r="O576">
        <v>37208</v>
      </c>
      <c r="P576" t="s">
        <v>2210</v>
      </c>
      <c r="Q576" s="2">
        <v>0.2</v>
      </c>
      <c r="R576" s="2">
        <v>53</v>
      </c>
      <c r="S576" s="2">
        <v>165</v>
      </c>
      <c r="T576" t="s">
        <v>1997</v>
      </c>
      <c r="U576" s="6">
        <v>33750</v>
      </c>
      <c r="V576" s="2">
        <v>47037010701</v>
      </c>
      <c r="W576" s="2" t="s">
        <v>837</v>
      </c>
      <c r="X576" s="1">
        <v>45658</v>
      </c>
      <c r="Y576" s="2">
        <v>4500</v>
      </c>
      <c r="Z576" s="2">
        <v>0</v>
      </c>
      <c r="AA576" s="2">
        <v>4500</v>
      </c>
    </row>
    <row r="577" spans="1:27" x14ac:dyDescent="0.3">
      <c r="A577" s="4" t="s">
        <v>1993</v>
      </c>
      <c r="B577" s="2" t="str">
        <f>"05201011000"</f>
        <v>05201011000</v>
      </c>
      <c r="C577" s="2" t="s">
        <v>2208</v>
      </c>
      <c r="D577" t="s">
        <v>866</v>
      </c>
      <c r="E577" s="2" t="s">
        <v>30</v>
      </c>
      <c r="F577" s="2">
        <v>37115</v>
      </c>
      <c r="G577" s="2" t="s">
        <v>64</v>
      </c>
      <c r="H577" t="s">
        <v>379</v>
      </c>
      <c r="I577" s="6">
        <v>43507</v>
      </c>
      <c r="J577" s="2" t="s">
        <v>2209</v>
      </c>
      <c r="K577" s="2" t="s">
        <v>34</v>
      </c>
      <c r="L577" t="s">
        <v>1104</v>
      </c>
      <c r="M577" t="s">
        <v>29</v>
      </c>
      <c r="N577" t="s">
        <v>30</v>
      </c>
      <c r="O577">
        <v>37208</v>
      </c>
      <c r="P577" t="s">
        <v>2211</v>
      </c>
      <c r="Q577" s="2">
        <v>0.1</v>
      </c>
      <c r="R577" s="2">
        <v>25</v>
      </c>
      <c r="S577" s="2">
        <v>165</v>
      </c>
      <c r="T577" t="s">
        <v>1997</v>
      </c>
      <c r="U577" s="6">
        <v>33750</v>
      </c>
      <c r="V577" s="2">
        <v>47037010701</v>
      </c>
      <c r="W577" s="2" t="s">
        <v>837</v>
      </c>
      <c r="X577" s="1">
        <v>45658</v>
      </c>
      <c r="Y577" s="2">
        <v>4100</v>
      </c>
      <c r="Z577" s="2">
        <v>0</v>
      </c>
      <c r="AA577" s="2">
        <v>4100</v>
      </c>
    </row>
    <row r="578" spans="1:27" x14ac:dyDescent="0.3">
      <c r="A578" s="4" t="s">
        <v>1993</v>
      </c>
      <c r="B578" s="2" t="str">
        <f>"04300002600"</f>
        <v>04300002600</v>
      </c>
      <c r="C578" s="2" t="s">
        <v>2212</v>
      </c>
      <c r="D578" t="s">
        <v>866</v>
      </c>
      <c r="E578" s="2" t="s">
        <v>30</v>
      </c>
      <c r="F578" s="2">
        <v>37115</v>
      </c>
      <c r="G578" s="2" t="s">
        <v>152</v>
      </c>
      <c r="H578" t="s">
        <v>2213</v>
      </c>
      <c r="I578" s="6">
        <v>40519</v>
      </c>
      <c r="J578" s="2" t="s">
        <v>2214</v>
      </c>
      <c r="K578" s="2">
        <v>0</v>
      </c>
      <c r="L578" t="s">
        <v>35</v>
      </c>
      <c r="M578" t="s">
        <v>29</v>
      </c>
      <c r="N578" t="s">
        <v>30</v>
      </c>
      <c r="O578">
        <v>37219</v>
      </c>
      <c r="P578" t="s">
        <v>2215</v>
      </c>
      <c r="Q578" s="2">
        <v>41.54</v>
      </c>
      <c r="R578" s="2">
        <v>1401</v>
      </c>
      <c r="S578" s="2">
        <v>0</v>
      </c>
      <c r="T578" t="s">
        <v>2216</v>
      </c>
      <c r="U578" s="6">
        <v>41568</v>
      </c>
      <c r="V578" s="2">
        <v>47037010401</v>
      </c>
      <c r="W578" s="2" t="s">
        <v>837</v>
      </c>
      <c r="X578" s="1">
        <v>45658</v>
      </c>
      <c r="Y578" s="2">
        <v>25676000</v>
      </c>
      <c r="Z578" s="2">
        <v>19860400</v>
      </c>
      <c r="AA578" s="2">
        <v>5815600</v>
      </c>
    </row>
    <row r="579" spans="1:27" x14ac:dyDescent="0.3">
      <c r="A579" s="3">
        <v>10</v>
      </c>
      <c r="B579" s="2" t="str">
        <f>"02713001000"</f>
        <v>02713001000</v>
      </c>
      <c r="C579" s="2" t="s">
        <v>2217</v>
      </c>
      <c r="D579" t="s">
        <v>866</v>
      </c>
      <c r="E579" s="2" t="s">
        <v>30</v>
      </c>
      <c r="F579" s="2">
        <v>37115</v>
      </c>
      <c r="G579" s="2" t="s">
        <v>64</v>
      </c>
      <c r="H579" t="s">
        <v>99</v>
      </c>
      <c r="I579" s="6">
        <v>41444</v>
      </c>
      <c r="J579" s="2" t="s">
        <v>2218</v>
      </c>
      <c r="K579" s="2">
        <v>1071</v>
      </c>
      <c r="L579" t="s">
        <v>35</v>
      </c>
      <c r="M579" t="s">
        <v>29</v>
      </c>
      <c r="N579" t="s">
        <v>30</v>
      </c>
      <c r="O579">
        <v>37219</v>
      </c>
      <c r="P579" t="s">
        <v>2219</v>
      </c>
      <c r="Q579" s="2">
        <v>5.15</v>
      </c>
      <c r="R579" s="2">
        <v>0</v>
      </c>
      <c r="S579" s="2">
        <v>0</v>
      </c>
      <c r="T579" t="s">
        <v>2220</v>
      </c>
      <c r="U579" s="6">
        <v>19995</v>
      </c>
      <c r="V579" s="2">
        <v>47037010401</v>
      </c>
      <c r="W579" s="2" t="s">
        <v>38</v>
      </c>
      <c r="X579" s="1">
        <v>45658</v>
      </c>
      <c r="Y579" s="2">
        <v>19300</v>
      </c>
      <c r="Z579" s="2">
        <v>0</v>
      </c>
      <c r="AA579" s="2">
        <v>19300</v>
      </c>
    </row>
    <row r="580" spans="1:27" x14ac:dyDescent="0.3">
      <c r="A580" s="3">
        <v>10</v>
      </c>
      <c r="B580" s="2" t="str">
        <f>"03409013400"</f>
        <v>03409013400</v>
      </c>
      <c r="C580" s="2" t="s">
        <v>2221</v>
      </c>
      <c r="D580" t="s">
        <v>866</v>
      </c>
      <c r="E580" s="2" t="s">
        <v>30</v>
      </c>
      <c r="F580" s="2">
        <v>37115</v>
      </c>
      <c r="G580" s="2" t="s">
        <v>41</v>
      </c>
      <c r="H580" t="s">
        <v>99</v>
      </c>
      <c r="I580" s="6">
        <v>38301</v>
      </c>
      <c r="J580" s="2" t="s">
        <v>2222</v>
      </c>
      <c r="K580" s="2">
        <v>920</v>
      </c>
      <c r="L580" t="s">
        <v>35</v>
      </c>
      <c r="M580" t="s">
        <v>29</v>
      </c>
      <c r="N580" t="s">
        <v>30</v>
      </c>
      <c r="O580">
        <v>37219</v>
      </c>
      <c r="P580" t="s">
        <v>2223</v>
      </c>
      <c r="Q580" s="2">
        <v>0.06</v>
      </c>
      <c r="R580" s="2">
        <v>25</v>
      </c>
      <c r="S580" s="2">
        <v>110</v>
      </c>
      <c r="T580" t="s">
        <v>2224</v>
      </c>
      <c r="U580" s="6">
        <v>25182</v>
      </c>
      <c r="V580" s="2">
        <v>47037010401</v>
      </c>
      <c r="W580" s="2" t="s">
        <v>38</v>
      </c>
      <c r="X580" s="1">
        <v>45658</v>
      </c>
      <c r="Y580" s="2">
        <v>20600</v>
      </c>
      <c r="Z580" s="2">
        <v>0</v>
      </c>
      <c r="AA580" s="2">
        <v>20600</v>
      </c>
    </row>
    <row r="581" spans="1:27" x14ac:dyDescent="0.3">
      <c r="A581" s="3">
        <v>10</v>
      </c>
      <c r="B581" s="2" t="str">
        <f>"03316000700"</f>
        <v>03316000700</v>
      </c>
      <c r="C581" s="2" t="s">
        <v>2225</v>
      </c>
      <c r="D581" t="s">
        <v>866</v>
      </c>
      <c r="E581" s="2" t="s">
        <v>30</v>
      </c>
      <c r="F581" s="2">
        <v>37115</v>
      </c>
      <c r="G581" s="2" t="s">
        <v>64</v>
      </c>
      <c r="H581" t="s">
        <v>99</v>
      </c>
      <c r="I581" s="6">
        <v>41472</v>
      </c>
      <c r="J581" s="2" t="s">
        <v>2226</v>
      </c>
      <c r="K581" s="2">
        <v>422</v>
      </c>
      <c r="L581" t="s">
        <v>35</v>
      </c>
      <c r="M581" t="s">
        <v>29</v>
      </c>
      <c r="N581" t="s">
        <v>30</v>
      </c>
      <c r="O581">
        <v>37219</v>
      </c>
      <c r="P581" t="s">
        <v>2227</v>
      </c>
      <c r="Q581" s="2">
        <v>0.06</v>
      </c>
      <c r="R581" s="2">
        <v>20</v>
      </c>
      <c r="S581" s="2">
        <v>52</v>
      </c>
      <c r="T581" t="s">
        <v>2228</v>
      </c>
      <c r="U581" s="6">
        <v>22810</v>
      </c>
      <c r="V581" s="2">
        <v>47037010801</v>
      </c>
      <c r="W581" s="2" t="s">
        <v>38</v>
      </c>
      <c r="X581" s="1">
        <v>45658</v>
      </c>
      <c r="Y581" s="2">
        <v>800</v>
      </c>
      <c r="Z581" s="2">
        <v>0</v>
      </c>
      <c r="AA581" s="2">
        <v>800</v>
      </c>
    </row>
    <row r="582" spans="1:27" x14ac:dyDescent="0.3">
      <c r="A582" s="3">
        <v>10</v>
      </c>
      <c r="B582" s="2" t="str">
        <f>"00300001101"</f>
        <v>00300001101</v>
      </c>
      <c r="C582" s="2" t="s">
        <v>2229</v>
      </c>
      <c r="D582" t="s">
        <v>990</v>
      </c>
      <c r="E582" s="2" t="s">
        <v>30</v>
      </c>
      <c r="F582" s="2">
        <v>37072</v>
      </c>
      <c r="G582" s="2" t="s">
        <v>64</v>
      </c>
      <c r="H582" t="s">
        <v>99</v>
      </c>
      <c r="I582" s="6">
        <v>40891</v>
      </c>
      <c r="J582" s="2" t="s">
        <v>2230</v>
      </c>
      <c r="K582" s="2">
        <v>20918</v>
      </c>
      <c r="L582" t="s">
        <v>35</v>
      </c>
      <c r="M582" t="s">
        <v>29</v>
      </c>
      <c r="N582" t="s">
        <v>30</v>
      </c>
      <c r="O582">
        <v>37219</v>
      </c>
      <c r="P582" t="s">
        <v>2231</v>
      </c>
      <c r="Q582" s="2">
        <v>0.82</v>
      </c>
      <c r="R582" s="2">
        <v>95</v>
      </c>
      <c r="S582" s="2">
        <v>287</v>
      </c>
      <c r="T582" t="s">
        <v>2232</v>
      </c>
      <c r="U582" s="6">
        <v>33829</v>
      </c>
      <c r="V582" s="2">
        <v>47037010202</v>
      </c>
      <c r="W582" s="2" t="s">
        <v>38</v>
      </c>
      <c r="X582" s="1">
        <v>45658</v>
      </c>
      <c r="Y582" s="2">
        <v>20800</v>
      </c>
      <c r="Z582" s="2">
        <v>0</v>
      </c>
      <c r="AA582" s="2">
        <v>20800</v>
      </c>
    </row>
    <row r="583" spans="1:27" x14ac:dyDescent="0.3">
      <c r="A583" s="3">
        <v>10</v>
      </c>
      <c r="B583" s="2" t="str">
        <f>"00600003608"</f>
        <v>00600003608</v>
      </c>
      <c r="C583" s="2" t="s">
        <v>2233</v>
      </c>
      <c r="D583" t="s">
        <v>990</v>
      </c>
      <c r="E583" s="2" t="s">
        <v>30</v>
      </c>
      <c r="F583" s="2">
        <v>37072</v>
      </c>
      <c r="G583" s="2" t="s">
        <v>31</v>
      </c>
      <c r="H583" t="s">
        <v>99</v>
      </c>
      <c r="I583" s="6">
        <v>41472</v>
      </c>
      <c r="J583" s="2" t="s">
        <v>2234</v>
      </c>
      <c r="K583" s="2">
        <v>384</v>
      </c>
      <c r="L583" t="s">
        <v>35</v>
      </c>
      <c r="M583" t="s">
        <v>29</v>
      </c>
      <c r="N583" t="s">
        <v>30</v>
      </c>
      <c r="O583">
        <v>37219</v>
      </c>
      <c r="P583" t="s">
        <v>2235</v>
      </c>
      <c r="Q583" s="2">
        <v>0.18</v>
      </c>
      <c r="R583" s="2">
        <v>107</v>
      </c>
      <c r="S583" s="2">
        <v>80</v>
      </c>
      <c r="T583" t="s">
        <v>2236</v>
      </c>
      <c r="U583" s="6">
        <v>23800</v>
      </c>
      <c r="V583" s="2">
        <v>47037010202</v>
      </c>
      <c r="W583" s="2" t="s">
        <v>38</v>
      </c>
      <c r="X583" s="1">
        <v>45658</v>
      </c>
      <c r="Y583" s="2">
        <v>700</v>
      </c>
      <c r="Z583" s="2">
        <v>0</v>
      </c>
      <c r="AA583" s="2">
        <v>700</v>
      </c>
    </row>
    <row r="584" spans="1:27" x14ac:dyDescent="0.3">
      <c r="A584" s="3">
        <v>10</v>
      </c>
      <c r="B584" s="2" t="str">
        <f>"00600006500"</f>
        <v>00600006500</v>
      </c>
      <c r="C584" s="2" t="s">
        <v>2237</v>
      </c>
      <c r="D584" t="s">
        <v>990</v>
      </c>
      <c r="E584" s="2" t="s">
        <v>30</v>
      </c>
      <c r="F584" s="2">
        <v>37072</v>
      </c>
      <c r="G584" s="2" t="s">
        <v>31</v>
      </c>
      <c r="H584" t="s">
        <v>99</v>
      </c>
      <c r="I584" s="6">
        <v>41472</v>
      </c>
      <c r="J584" s="2" t="s">
        <v>2238</v>
      </c>
      <c r="K584" s="2">
        <v>384</v>
      </c>
      <c r="L584" t="s">
        <v>35</v>
      </c>
      <c r="M584" t="s">
        <v>29</v>
      </c>
      <c r="N584" t="s">
        <v>30</v>
      </c>
      <c r="O584">
        <v>37219</v>
      </c>
      <c r="P584" t="s">
        <v>2239</v>
      </c>
      <c r="Q584" s="2">
        <v>0.14000000000000001</v>
      </c>
      <c r="R584" s="2">
        <v>100</v>
      </c>
      <c r="S584" s="2">
        <v>70</v>
      </c>
      <c r="T584" t="s">
        <v>2240</v>
      </c>
      <c r="U584" s="6">
        <v>23884</v>
      </c>
      <c r="V584" s="2">
        <v>47037010202</v>
      </c>
      <c r="W584" s="2" t="s">
        <v>38</v>
      </c>
      <c r="X584" s="1">
        <v>45658</v>
      </c>
      <c r="Y584" s="2">
        <v>500</v>
      </c>
      <c r="Z584" s="2">
        <v>0</v>
      </c>
      <c r="AA584" s="2">
        <v>500</v>
      </c>
    </row>
    <row r="585" spans="1:27" x14ac:dyDescent="0.3">
      <c r="A585" s="3">
        <v>10</v>
      </c>
      <c r="B585" s="2" t="str">
        <f>"00600002303"</f>
        <v>00600002303</v>
      </c>
      <c r="C585" s="2" t="s">
        <v>2241</v>
      </c>
      <c r="D585" t="s">
        <v>990</v>
      </c>
      <c r="E585" s="2" t="s">
        <v>30</v>
      </c>
      <c r="F585" s="2">
        <v>37072</v>
      </c>
      <c r="G585" s="2" t="s">
        <v>31</v>
      </c>
      <c r="H585" t="s">
        <v>99</v>
      </c>
      <c r="I585" s="6">
        <v>41472</v>
      </c>
      <c r="J585" s="2" t="s">
        <v>2242</v>
      </c>
      <c r="K585" s="2">
        <v>376</v>
      </c>
      <c r="L585" t="s">
        <v>35</v>
      </c>
      <c r="M585" t="s">
        <v>29</v>
      </c>
      <c r="N585" t="s">
        <v>30</v>
      </c>
      <c r="O585">
        <v>37219</v>
      </c>
      <c r="P585" t="s">
        <v>2243</v>
      </c>
      <c r="Q585" s="2">
        <v>0.18</v>
      </c>
      <c r="R585" s="2">
        <v>150</v>
      </c>
      <c r="S585" s="2">
        <v>70</v>
      </c>
      <c r="T585" t="s">
        <v>2244</v>
      </c>
      <c r="U585" s="6">
        <v>23705</v>
      </c>
      <c r="V585" s="2">
        <v>47037010202</v>
      </c>
      <c r="W585" s="2" t="s">
        <v>38</v>
      </c>
      <c r="X585" s="1">
        <v>45658</v>
      </c>
      <c r="Y585" s="2">
        <v>700</v>
      </c>
      <c r="Z585" s="2">
        <v>0</v>
      </c>
      <c r="AA585" s="2">
        <v>700</v>
      </c>
    </row>
    <row r="586" spans="1:27" x14ac:dyDescent="0.3">
      <c r="A586" s="3">
        <v>10</v>
      </c>
      <c r="B586" s="2" t="str">
        <f>"01800012500"</f>
        <v>01800012500</v>
      </c>
      <c r="C586" s="2" t="s">
        <v>2245</v>
      </c>
      <c r="D586" t="s">
        <v>990</v>
      </c>
      <c r="E586" s="2" t="s">
        <v>30</v>
      </c>
      <c r="F586" s="2">
        <v>37072</v>
      </c>
      <c r="G586" s="2" t="s">
        <v>31</v>
      </c>
      <c r="H586" t="s">
        <v>518</v>
      </c>
      <c r="I586" s="6">
        <v>43185</v>
      </c>
      <c r="J586" s="2" t="s">
        <v>2246</v>
      </c>
      <c r="K586" s="2" t="s">
        <v>34</v>
      </c>
      <c r="L586" t="s">
        <v>2247</v>
      </c>
      <c r="M586" t="s">
        <v>29</v>
      </c>
      <c r="N586" t="s">
        <v>30</v>
      </c>
      <c r="O586">
        <v>37219</v>
      </c>
      <c r="P586" t="s">
        <v>2248</v>
      </c>
      <c r="Q586" s="2">
        <v>11.34</v>
      </c>
      <c r="R586" s="2">
        <v>0</v>
      </c>
      <c r="S586" s="2">
        <v>0</v>
      </c>
      <c r="T586" t="s">
        <v>2249</v>
      </c>
      <c r="U586" s="6">
        <v>33217</v>
      </c>
      <c r="V586" s="2">
        <v>47037010202</v>
      </c>
      <c r="W586" s="2" t="s">
        <v>38</v>
      </c>
      <c r="X586" s="1">
        <v>45658</v>
      </c>
      <c r="Y586" s="2">
        <v>306700</v>
      </c>
      <c r="Z586" s="2">
        <v>0</v>
      </c>
      <c r="AA586" s="2">
        <v>306700</v>
      </c>
    </row>
    <row r="587" spans="1:27" x14ac:dyDescent="0.3">
      <c r="A587" s="3">
        <v>10</v>
      </c>
      <c r="B587" s="2" t="str">
        <f>"01804000700"</f>
        <v>01804000700</v>
      </c>
      <c r="C587" s="2" t="s">
        <v>2250</v>
      </c>
      <c r="D587" t="s">
        <v>990</v>
      </c>
      <c r="E587" s="2" t="s">
        <v>30</v>
      </c>
      <c r="F587" s="2">
        <v>37072</v>
      </c>
      <c r="G587" s="2" t="s">
        <v>31</v>
      </c>
      <c r="H587" t="s">
        <v>518</v>
      </c>
      <c r="I587" s="6">
        <v>43185</v>
      </c>
      <c r="J587" s="2" t="s">
        <v>2246</v>
      </c>
      <c r="K587" s="2" t="s">
        <v>34</v>
      </c>
      <c r="L587" t="s">
        <v>2247</v>
      </c>
      <c r="M587" t="s">
        <v>29</v>
      </c>
      <c r="N587" t="s">
        <v>30</v>
      </c>
      <c r="O587">
        <v>37219</v>
      </c>
      <c r="P587" t="s">
        <v>2251</v>
      </c>
      <c r="Q587" s="2">
        <v>3.9</v>
      </c>
      <c r="R587" s="2">
        <v>0</v>
      </c>
      <c r="S587" s="2">
        <v>0</v>
      </c>
      <c r="T587" t="s">
        <v>2252</v>
      </c>
      <c r="U587" s="6">
        <v>23686</v>
      </c>
      <c r="V587" s="2">
        <v>47037010202</v>
      </c>
      <c r="W587" s="2" t="s">
        <v>38</v>
      </c>
      <c r="X587" s="1">
        <v>45658</v>
      </c>
      <c r="Y587" s="2">
        <v>128700</v>
      </c>
      <c r="Z587" s="2">
        <v>0</v>
      </c>
      <c r="AA587" s="2">
        <v>128700</v>
      </c>
    </row>
    <row r="588" spans="1:27" x14ac:dyDescent="0.3">
      <c r="A588" s="3">
        <v>10</v>
      </c>
      <c r="B588" s="2" t="str">
        <f>"01808000300"</f>
        <v>01808000300</v>
      </c>
      <c r="C588" s="2" t="s">
        <v>2253</v>
      </c>
      <c r="D588" t="s">
        <v>990</v>
      </c>
      <c r="E588" s="2" t="s">
        <v>30</v>
      </c>
      <c r="F588" s="2">
        <v>37072</v>
      </c>
      <c r="G588" s="2" t="s">
        <v>31</v>
      </c>
      <c r="H588" t="s">
        <v>518</v>
      </c>
      <c r="I588" s="6">
        <v>43185</v>
      </c>
      <c r="J588" s="2" t="s">
        <v>2246</v>
      </c>
      <c r="K588" s="2" t="s">
        <v>34</v>
      </c>
      <c r="L588" t="s">
        <v>2247</v>
      </c>
      <c r="M588" t="s">
        <v>29</v>
      </c>
      <c r="N588" t="s">
        <v>30</v>
      </c>
      <c r="O588">
        <v>37219</v>
      </c>
      <c r="P588" t="s">
        <v>2254</v>
      </c>
      <c r="Q588" s="2">
        <v>3.92</v>
      </c>
      <c r="R588" s="2">
        <v>0</v>
      </c>
      <c r="S588" s="2">
        <v>0</v>
      </c>
      <c r="T588" t="s">
        <v>2252</v>
      </c>
      <c r="U588" s="6">
        <v>23686</v>
      </c>
      <c r="V588" s="2">
        <v>47037010202</v>
      </c>
      <c r="W588" s="2" t="s">
        <v>38</v>
      </c>
      <c r="X588" s="1">
        <v>45658</v>
      </c>
      <c r="Y588" s="2">
        <v>129400</v>
      </c>
      <c r="Z588" s="2">
        <v>0</v>
      </c>
      <c r="AA588" s="2">
        <v>129400</v>
      </c>
    </row>
    <row r="589" spans="1:27" x14ac:dyDescent="0.3">
      <c r="A589" s="3">
        <v>10</v>
      </c>
      <c r="B589" s="2" t="str">
        <f>"01816015500"</f>
        <v>01816015500</v>
      </c>
      <c r="C589" s="2" t="s">
        <v>2255</v>
      </c>
      <c r="D589" t="s">
        <v>990</v>
      </c>
      <c r="E589" s="2" t="s">
        <v>30</v>
      </c>
      <c r="F589" s="2">
        <v>37072</v>
      </c>
      <c r="G589" s="2" t="s">
        <v>152</v>
      </c>
      <c r="H589" t="s">
        <v>176</v>
      </c>
      <c r="I589" s="6">
        <v>17119</v>
      </c>
      <c r="J589" s="2" t="s">
        <v>2256</v>
      </c>
      <c r="K589" s="2" t="s">
        <v>34</v>
      </c>
      <c r="L589" t="s">
        <v>178</v>
      </c>
      <c r="M589" t="s">
        <v>29</v>
      </c>
      <c r="N589" t="s">
        <v>30</v>
      </c>
      <c r="O589">
        <v>37246</v>
      </c>
      <c r="P589" t="s">
        <v>2257</v>
      </c>
      <c r="Q589" s="2">
        <v>0.23</v>
      </c>
      <c r="R589" s="2">
        <v>100</v>
      </c>
      <c r="S589" s="2">
        <v>102</v>
      </c>
      <c r="T589" t="s">
        <v>2256</v>
      </c>
      <c r="U589" s="6">
        <v>17119</v>
      </c>
      <c r="V589" s="2">
        <v>47037010301</v>
      </c>
      <c r="W589" s="2" t="s">
        <v>2258</v>
      </c>
      <c r="X589" s="1">
        <v>45658</v>
      </c>
      <c r="Y589" s="2">
        <v>80000</v>
      </c>
      <c r="Z589" s="2">
        <v>0</v>
      </c>
      <c r="AA589" s="2">
        <v>80000</v>
      </c>
    </row>
    <row r="590" spans="1:27" x14ac:dyDescent="0.3">
      <c r="A590" s="3">
        <v>10</v>
      </c>
      <c r="B590" s="2" t="str">
        <f>"02500006500"</f>
        <v>02500006500</v>
      </c>
      <c r="C590" s="2" t="s">
        <v>2259</v>
      </c>
      <c r="D590" t="s">
        <v>990</v>
      </c>
      <c r="E590" s="2" t="s">
        <v>30</v>
      </c>
      <c r="F590" s="2">
        <v>37072</v>
      </c>
      <c r="G590" s="2" t="s">
        <v>41</v>
      </c>
      <c r="H590" t="s">
        <v>176</v>
      </c>
      <c r="I590" s="6">
        <v>19907</v>
      </c>
      <c r="J590" s="2" t="s">
        <v>2260</v>
      </c>
      <c r="K590" s="2" t="s">
        <v>34</v>
      </c>
      <c r="L590" t="s">
        <v>178</v>
      </c>
      <c r="M590" t="s">
        <v>29</v>
      </c>
      <c r="N590" t="s">
        <v>30</v>
      </c>
      <c r="O590">
        <v>37246</v>
      </c>
      <c r="P590" t="s">
        <v>2261</v>
      </c>
      <c r="Q590" s="2">
        <v>0.43</v>
      </c>
      <c r="R590" s="2">
        <v>29</v>
      </c>
      <c r="S590" s="2">
        <v>392</v>
      </c>
      <c r="T590" t="s">
        <v>2260</v>
      </c>
      <c r="U590" s="6">
        <v>19907</v>
      </c>
      <c r="V590" s="2">
        <v>47037010301</v>
      </c>
      <c r="W590" s="2" t="s">
        <v>2258</v>
      </c>
      <c r="X590" s="1">
        <v>45658</v>
      </c>
      <c r="Y590" s="2">
        <v>93700</v>
      </c>
      <c r="Z590" s="2">
        <v>0</v>
      </c>
      <c r="AA590" s="2">
        <v>93700</v>
      </c>
    </row>
    <row r="591" spans="1:27" x14ac:dyDescent="0.3">
      <c r="A591" s="3">
        <v>10</v>
      </c>
      <c r="B591" s="2" t="str">
        <f>"03311000100"</f>
        <v>03311000100</v>
      </c>
      <c r="C591" s="2" t="s">
        <v>2262</v>
      </c>
      <c r="D591" t="s">
        <v>990</v>
      </c>
      <c r="E591" s="2" t="s">
        <v>30</v>
      </c>
      <c r="F591" s="2">
        <v>37072</v>
      </c>
      <c r="G591" s="2" t="s">
        <v>152</v>
      </c>
      <c r="H591" t="s">
        <v>176</v>
      </c>
      <c r="I591" s="6">
        <v>22783</v>
      </c>
      <c r="J591" s="2" t="s">
        <v>2263</v>
      </c>
      <c r="K591" s="2" t="s">
        <v>34</v>
      </c>
      <c r="L591" t="s">
        <v>178</v>
      </c>
      <c r="M591" t="s">
        <v>29</v>
      </c>
      <c r="N591" t="s">
        <v>30</v>
      </c>
      <c r="O591">
        <v>37246</v>
      </c>
      <c r="P591" t="s">
        <v>2264</v>
      </c>
      <c r="Q591" s="2">
        <v>1.1200000000000001</v>
      </c>
      <c r="R591" s="2">
        <v>80</v>
      </c>
      <c r="S591" s="2">
        <v>115</v>
      </c>
      <c r="T591" t="s">
        <v>2265</v>
      </c>
      <c r="U591" s="6">
        <v>36517</v>
      </c>
      <c r="V591" s="2">
        <v>47037010201</v>
      </c>
      <c r="W591" s="2" t="s">
        <v>38</v>
      </c>
      <c r="X591" s="1">
        <v>45658</v>
      </c>
      <c r="Y591" s="2">
        <v>69000</v>
      </c>
      <c r="Z591" s="2">
        <v>0</v>
      </c>
      <c r="AA591" s="2">
        <v>69000</v>
      </c>
    </row>
    <row r="592" spans="1:27" x14ac:dyDescent="0.3">
      <c r="A592" s="3">
        <v>10</v>
      </c>
      <c r="B592" s="2" t="str">
        <f>"04204002700"</f>
        <v>04204002700</v>
      </c>
      <c r="C592" s="2" t="s">
        <v>2266</v>
      </c>
      <c r="D592" t="s">
        <v>866</v>
      </c>
      <c r="E592" s="2" t="s">
        <v>30</v>
      </c>
      <c r="F592" s="2">
        <v>37115</v>
      </c>
      <c r="G592" s="2" t="s">
        <v>2267</v>
      </c>
      <c r="H592" t="s">
        <v>176</v>
      </c>
      <c r="I592" s="6">
        <v>33898</v>
      </c>
      <c r="J592" s="2" t="s">
        <v>2268</v>
      </c>
      <c r="K592" s="2">
        <v>0</v>
      </c>
      <c r="L592" t="s">
        <v>178</v>
      </c>
      <c r="M592" t="s">
        <v>29</v>
      </c>
      <c r="N592" t="s">
        <v>30</v>
      </c>
      <c r="O592">
        <v>37246</v>
      </c>
      <c r="P592" t="s">
        <v>2269</v>
      </c>
      <c r="Q592" s="2">
        <v>3.84</v>
      </c>
      <c r="R592" s="2">
        <v>0</v>
      </c>
      <c r="S592" s="2">
        <v>0</v>
      </c>
      <c r="T592" t="s">
        <v>2268</v>
      </c>
      <c r="U592" s="6">
        <v>33898</v>
      </c>
      <c r="V592" s="2">
        <v>47037010801</v>
      </c>
      <c r="W592" s="2" t="s">
        <v>837</v>
      </c>
      <c r="X592" s="1">
        <v>45658</v>
      </c>
      <c r="Y592" s="2">
        <v>199700</v>
      </c>
      <c r="Z592" s="2">
        <v>0</v>
      </c>
      <c r="AA592" s="2">
        <v>199700</v>
      </c>
    </row>
    <row r="593" spans="1:27" x14ac:dyDescent="0.3">
      <c r="A593" s="3">
        <v>10</v>
      </c>
      <c r="B593" s="2" t="str">
        <f>"03406003300"</f>
        <v>03406003300</v>
      </c>
      <c r="C593" s="2" t="s">
        <v>2270</v>
      </c>
      <c r="D593" t="s">
        <v>866</v>
      </c>
      <c r="E593" s="2" t="s">
        <v>30</v>
      </c>
      <c r="F593" s="2">
        <v>37115</v>
      </c>
      <c r="G593" s="2" t="s">
        <v>152</v>
      </c>
      <c r="H593" t="s">
        <v>176</v>
      </c>
      <c r="I593" s="6">
        <v>25910</v>
      </c>
      <c r="J593" s="2" t="s">
        <v>2271</v>
      </c>
      <c r="K593" s="2" t="s">
        <v>34</v>
      </c>
      <c r="L593" t="s">
        <v>178</v>
      </c>
      <c r="M593" t="s">
        <v>29</v>
      </c>
      <c r="N593" t="s">
        <v>30</v>
      </c>
      <c r="O593">
        <v>37246</v>
      </c>
      <c r="P593" t="s">
        <v>2272</v>
      </c>
      <c r="Q593" s="2">
        <v>1.73</v>
      </c>
      <c r="R593" s="2">
        <v>250</v>
      </c>
      <c r="S593" s="2">
        <v>305</v>
      </c>
      <c r="T593" t="s">
        <v>2273</v>
      </c>
      <c r="U593" s="6">
        <v>33046</v>
      </c>
      <c r="V593" s="2">
        <v>47037010401</v>
      </c>
      <c r="W593" s="2" t="s">
        <v>38</v>
      </c>
      <c r="X593" s="1">
        <v>45658</v>
      </c>
      <c r="Y593" s="2">
        <v>838800</v>
      </c>
      <c r="Z593" s="2">
        <v>0</v>
      </c>
      <c r="AA593" s="2">
        <v>838800</v>
      </c>
    </row>
    <row r="594" spans="1:27" x14ac:dyDescent="0.3">
      <c r="A594" s="3">
        <v>10</v>
      </c>
      <c r="B594" s="2" t="str">
        <f>"02508001000"</f>
        <v>02508001000</v>
      </c>
      <c r="C594" s="2" t="s">
        <v>2274</v>
      </c>
      <c r="D594" t="s">
        <v>990</v>
      </c>
      <c r="E594" s="2" t="s">
        <v>30</v>
      </c>
      <c r="F594" s="2">
        <v>37072</v>
      </c>
      <c r="G594" s="2" t="s">
        <v>152</v>
      </c>
      <c r="H594" t="s">
        <v>176</v>
      </c>
      <c r="I594" s="6">
        <v>22241</v>
      </c>
      <c r="J594" s="2" t="s">
        <v>2275</v>
      </c>
      <c r="K594" s="2" t="s">
        <v>34</v>
      </c>
      <c r="L594" t="s">
        <v>178</v>
      </c>
      <c r="M594" t="s">
        <v>29</v>
      </c>
      <c r="N594" t="s">
        <v>30</v>
      </c>
      <c r="O594">
        <v>37246</v>
      </c>
      <c r="P594" t="s">
        <v>2276</v>
      </c>
      <c r="Q594" s="2">
        <v>5.14</v>
      </c>
      <c r="R594" s="2">
        <v>579</v>
      </c>
      <c r="S594" s="2">
        <v>0</v>
      </c>
      <c r="T594" t="s">
        <v>2277</v>
      </c>
      <c r="U594" s="6">
        <v>43781</v>
      </c>
      <c r="V594" s="2">
        <v>47037010301</v>
      </c>
      <c r="W594" s="2" t="s">
        <v>2258</v>
      </c>
      <c r="X594" s="1">
        <v>45658</v>
      </c>
      <c r="Y594" s="2">
        <v>177100</v>
      </c>
      <c r="Z594" s="2">
        <v>0</v>
      </c>
      <c r="AA594" s="2">
        <v>177100</v>
      </c>
    </row>
    <row r="595" spans="1:27" x14ac:dyDescent="0.3">
      <c r="A595" s="3">
        <v>10</v>
      </c>
      <c r="B595" s="2" t="str">
        <f>"02508008600"</f>
        <v>02508008600</v>
      </c>
      <c r="C595" s="2" t="s">
        <v>2278</v>
      </c>
      <c r="D595" t="s">
        <v>990</v>
      </c>
      <c r="E595" s="2" t="s">
        <v>30</v>
      </c>
      <c r="F595" s="2">
        <v>37072</v>
      </c>
      <c r="G595" s="2" t="s">
        <v>152</v>
      </c>
      <c r="H595" t="s">
        <v>176</v>
      </c>
      <c r="I595" s="6">
        <v>22241</v>
      </c>
      <c r="J595" s="2" t="s">
        <v>2275</v>
      </c>
      <c r="K595" s="2">
        <v>0</v>
      </c>
      <c r="L595" t="s">
        <v>542</v>
      </c>
      <c r="M595" t="s">
        <v>29</v>
      </c>
      <c r="N595" t="s">
        <v>30</v>
      </c>
      <c r="O595">
        <v>37246</v>
      </c>
      <c r="P595" t="s">
        <v>2276</v>
      </c>
      <c r="Q595" s="2">
        <v>0.28000000000000003</v>
      </c>
      <c r="R595" s="2">
        <v>276</v>
      </c>
      <c r="S595" s="2">
        <v>88</v>
      </c>
      <c r="T595" t="s">
        <v>2277</v>
      </c>
      <c r="U595" s="6">
        <v>43781</v>
      </c>
      <c r="V595" s="2">
        <v>47037010301</v>
      </c>
      <c r="W595" s="2" t="s">
        <v>2279</v>
      </c>
      <c r="X595" s="1">
        <v>45658</v>
      </c>
      <c r="Y595" s="2">
        <v>115000</v>
      </c>
      <c r="Z595" s="2">
        <v>0</v>
      </c>
      <c r="AA595" s="2">
        <v>115000</v>
      </c>
    </row>
    <row r="596" spans="1:27" x14ac:dyDescent="0.3">
      <c r="A596" s="3">
        <v>10</v>
      </c>
      <c r="B596" s="2" t="str">
        <f>"04301000200"</f>
        <v>04301000200</v>
      </c>
      <c r="C596" s="2" t="s">
        <v>2280</v>
      </c>
      <c r="D596" t="s">
        <v>866</v>
      </c>
      <c r="E596" s="2" t="s">
        <v>30</v>
      </c>
      <c r="F596" s="2">
        <v>37115</v>
      </c>
      <c r="G596" s="2" t="s">
        <v>2267</v>
      </c>
      <c r="H596" t="s">
        <v>176</v>
      </c>
      <c r="I596" s="6">
        <v>23622</v>
      </c>
      <c r="J596" s="2" t="s">
        <v>2281</v>
      </c>
      <c r="K596" s="2" t="s">
        <v>34</v>
      </c>
      <c r="L596" t="s">
        <v>178</v>
      </c>
      <c r="M596" t="s">
        <v>29</v>
      </c>
      <c r="N596" t="s">
        <v>30</v>
      </c>
      <c r="O596">
        <v>37246</v>
      </c>
      <c r="P596" t="s">
        <v>2282</v>
      </c>
      <c r="Q596" s="2">
        <v>7.62</v>
      </c>
      <c r="R596" s="2">
        <v>0</v>
      </c>
      <c r="S596" s="2">
        <v>0</v>
      </c>
      <c r="T596" t="s">
        <v>2283</v>
      </c>
      <c r="U596" s="6">
        <v>37350</v>
      </c>
      <c r="V596" s="2">
        <v>47037010801</v>
      </c>
      <c r="W596" s="2" t="s">
        <v>837</v>
      </c>
      <c r="X596" s="1">
        <v>45658</v>
      </c>
      <c r="Y596" s="2">
        <v>457200</v>
      </c>
      <c r="Z596" s="2">
        <v>0</v>
      </c>
      <c r="AA596" s="2">
        <v>457200</v>
      </c>
    </row>
    <row r="597" spans="1:27" x14ac:dyDescent="0.3">
      <c r="A597" s="3">
        <v>10</v>
      </c>
      <c r="B597" s="2" t="str">
        <f>"03405005600"</f>
        <v>03405005600</v>
      </c>
      <c r="C597" s="2" t="s">
        <v>2284</v>
      </c>
      <c r="D597" t="s">
        <v>866</v>
      </c>
      <c r="E597" s="2" t="s">
        <v>30</v>
      </c>
      <c r="F597" s="2">
        <v>37115</v>
      </c>
      <c r="G597" s="2" t="s">
        <v>253</v>
      </c>
      <c r="H597" t="s">
        <v>2285</v>
      </c>
      <c r="I597" s="6">
        <v>21860</v>
      </c>
      <c r="J597" s="2" t="s">
        <v>2286</v>
      </c>
      <c r="K597" s="2" t="s">
        <v>34</v>
      </c>
      <c r="L597" t="s">
        <v>35</v>
      </c>
      <c r="M597" t="s">
        <v>29</v>
      </c>
      <c r="N597" t="s">
        <v>30</v>
      </c>
      <c r="O597">
        <v>37219</v>
      </c>
      <c r="P597" t="s">
        <v>2287</v>
      </c>
      <c r="Q597" s="2">
        <v>11.29</v>
      </c>
      <c r="R597" s="2">
        <v>0</v>
      </c>
      <c r="S597" s="2">
        <v>0</v>
      </c>
      <c r="T597" t="s">
        <v>2286</v>
      </c>
      <c r="U597" s="6">
        <v>21860</v>
      </c>
      <c r="V597" s="2">
        <v>47037010303</v>
      </c>
      <c r="W597" s="2" t="s">
        <v>2258</v>
      </c>
      <c r="X597" s="1">
        <v>45658</v>
      </c>
      <c r="Y597" s="2">
        <v>519300</v>
      </c>
      <c r="Z597" s="2">
        <v>0</v>
      </c>
      <c r="AA597" s="2">
        <v>519300</v>
      </c>
    </row>
    <row r="598" spans="1:27" x14ac:dyDescent="0.3">
      <c r="A598" s="3">
        <v>10</v>
      </c>
      <c r="B598" s="2" t="str">
        <f>"02605013100"</f>
        <v>02605013100</v>
      </c>
      <c r="C598" s="2" t="s">
        <v>2288</v>
      </c>
      <c r="D598" t="s">
        <v>990</v>
      </c>
      <c r="E598" s="2" t="s">
        <v>30</v>
      </c>
      <c r="F598" s="2">
        <v>37072</v>
      </c>
      <c r="G598" s="2" t="s">
        <v>253</v>
      </c>
      <c r="H598" t="s">
        <v>2289</v>
      </c>
      <c r="I598" s="6">
        <v>22025</v>
      </c>
      <c r="J598" s="2" t="s">
        <v>2290</v>
      </c>
      <c r="K598" s="2" t="s">
        <v>34</v>
      </c>
      <c r="L598" t="s">
        <v>35</v>
      </c>
      <c r="M598" t="s">
        <v>29</v>
      </c>
      <c r="N598" t="s">
        <v>30</v>
      </c>
      <c r="O598">
        <v>37219</v>
      </c>
      <c r="P598" t="s">
        <v>2291</v>
      </c>
      <c r="Q598" s="2">
        <v>11.9</v>
      </c>
      <c r="R598" s="2">
        <v>716</v>
      </c>
      <c r="S598" s="2">
        <v>0</v>
      </c>
      <c r="T598" t="s">
        <v>2292</v>
      </c>
      <c r="U598" s="6">
        <v>40513</v>
      </c>
      <c r="V598" s="2">
        <v>47037010302</v>
      </c>
      <c r="W598" s="2" t="s">
        <v>2258</v>
      </c>
      <c r="X598" s="1">
        <v>45658</v>
      </c>
      <c r="Y598" s="2">
        <v>714000</v>
      </c>
      <c r="Z598" s="2">
        <v>0</v>
      </c>
      <c r="AA598" s="2">
        <v>714000</v>
      </c>
    </row>
    <row r="599" spans="1:27" x14ac:dyDescent="0.3">
      <c r="A599" s="3">
        <v>10</v>
      </c>
      <c r="B599" s="2" t="str">
        <f>"02605013900"</f>
        <v>02605013900</v>
      </c>
      <c r="C599" s="2" t="s">
        <v>2293</v>
      </c>
      <c r="D599" t="s">
        <v>990</v>
      </c>
      <c r="E599" s="2" t="s">
        <v>30</v>
      </c>
      <c r="F599" s="2">
        <v>37072</v>
      </c>
      <c r="G599" s="2" t="s">
        <v>152</v>
      </c>
      <c r="H599" t="s">
        <v>2289</v>
      </c>
      <c r="I599" s="6">
        <v>22025</v>
      </c>
      <c r="J599" s="2" t="s">
        <v>2290</v>
      </c>
      <c r="K599" s="2">
        <v>0</v>
      </c>
      <c r="L599" t="s">
        <v>35</v>
      </c>
      <c r="M599" t="s">
        <v>29</v>
      </c>
      <c r="N599" t="s">
        <v>30</v>
      </c>
      <c r="O599">
        <v>37219</v>
      </c>
      <c r="P599" t="s">
        <v>2294</v>
      </c>
      <c r="Q599" s="2">
        <v>4</v>
      </c>
      <c r="R599" s="2">
        <v>357</v>
      </c>
      <c r="S599" s="2">
        <v>695</v>
      </c>
      <c r="T599" t="s">
        <v>2292</v>
      </c>
      <c r="U599" s="6">
        <v>40513</v>
      </c>
      <c r="V599" s="2">
        <v>47037010302</v>
      </c>
      <c r="W599" s="2" t="s">
        <v>2258</v>
      </c>
      <c r="X599" s="1">
        <v>45658</v>
      </c>
      <c r="Y599" s="2">
        <v>240000</v>
      </c>
      <c r="Z599" s="2">
        <v>0</v>
      </c>
      <c r="AA599" s="2">
        <v>240000</v>
      </c>
    </row>
    <row r="600" spans="1:27" x14ac:dyDescent="0.3">
      <c r="A600" s="3">
        <v>10</v>
      </c>
      <c r="B600" s="2" t="str">
        <f>"02605000100"</f>
        <v>02605000100</v>
      </c>
      <c r="C600" s="2" t="s">
        <v>2295</v>
      </c>
      <c r="D600" t="s">
        <v>990</v>
      </c>
      <c r="E600" s="2" t="s">
        <v>30</v>
      </c>
      <c r="F600" s="2">
        <v>37072</v>
      </c>
      <c r="G600" s="2" t="s">
        <v>253</v>
      </c>
      <c r="H600" t="s">
        <v>2296</v>
      </c>
      <c r="I600" s="6">
        <v>7893</v>
      </c>
      <c r="J600" s="2" t="s">
        <v>2297</v>
      </c>
      <c r="K600" s="2" t="s">
        <v>34</v>
      </c>
      <c r="L600" t="s">
        <v>35</v>
      </c>
      <c r="M600" t="s">
        <v>29</v>
      </c>
      <c r="N600" t="s">
        <v>30</v>
      </c>
      <c r="O600">
        <v>37219</v>
      </c>
      <c r="P600" t="s">
        <v>2298</v>
      </c>
      <c r="Q600" s="2">
        <v>7.58</v>
      </c>
      <c r="R600" s="2">
        <v>0</v>
      </c>
      <c r="S600" s="2">
        <v>0</v>
      </c>
      <c r="T600" t="s">
        <v>2297</v>
      </c>
      <c r="U600" s="6">
        <v>7893</v>
      </c>
      <c r="V600" s="2">
        <v>47037010302</v>
      </c>
      <c r="W600" s="2" t="s">
        <v>2258</v>
      </c>
      <c r="X600" s="1">
        <v>45658</v>
      </c>
      <c r="Y600" s="2">
        <v>2800500</v>
      </c>
      <c r="Z600" s="2">
        <v>0</v>
      </c>
      <c r="AA600" s="2">
        <v>2800500</v>
      </c>
    </row>
    <row r="601" spans="1:27" x14ac:dyDescent="0.3">
      <c r="A601" s="3">
        <v>10</v>
      </c>
      <c r="B601" s="2" t="str">
        <f>"01913010000"</f>
        <v>01913010000</v>
      </c>
      <c r="C601" s="2" t="s">
        <v>2299</v>
      </c>
      <c r="D601" t="s">
        <v>990</v>
      </c>
      <c r="E601" s="2" t="s">
        <v>30</v>
      </c>
      <c r="F601" s="2">
        <v>37072</v>
      </c>
      <c r="G601" s="2" t="s">
        <v>2300</v>
      </c>
      <c r="H601" t="s">
        <v>280</v>
      </c>
      <c r="I601" s="6">
        <v>25140</v>
      </c>
      <c r="J601" s="2" t="s">
        <v>2301</v>
      </c>
      <c r="K601" s="2" t="s">
        <v>34</v>
      </c>
      <c r="L601" t="s">
        <v>35</v>
      </c>
      <c r="M601" t="s">
        <v>29</v>
      </c>
      <c r="N601" t="s">
        <v>30</v>
      </c>
      <c r="O601">
        <v>37219</v>
      </c>
      <c r="P601" t="s">
        <v>2302</v>
      </c>
      <c r="Q601" s="2">
        <v>0.75</v>
      </c>
      <c r="R601" s="2">
        <v>190</v>
      </c>
      <c r="S601" s="2">
        <v>202</v>
      </c>
      <c r="T601" t="s">
        <v>62</v>
      </c>
      <c r="U601" s="6">
        <v>35783</v>
      </c>
      <c r="V601" s="2">
        <v>47037010303</v>
      </c>
      <c r="W601" s="2" t="s">
        <v>2258</v>
      </c>
      <c r="X601" s="1">
        <v>45658</v>
      </c>
      <c r="Y601" s="2">
        <v>189500</v>
      </c>
      <c r="Z601" s="2">
        <v>0</v>
      </c>
      <c r="AA601" s="2">
        <v>189500</v>
      </c>
    </row>
    <row r="602" spans="1:27" x14ac:dyDescent="0.3">
      <c r="A602" s="3">
        <v>10</v>
      </c>
      <c r="B602" s="2" t="str">
        <f>"01700025200"</f>
        <v>01700025200</v>
      </c>
      <c r="C602" s="2" t="s">
        <v>2303</v>
      </c>
      <c r="D602" t="s">
        <v>990</v>
      </c>
      <c r="E602" s="2" t="s">
        <v>30</v>
      </c>
      <c r="F602" s="2">
        <v>37072</v>
      </c>
      <c r="G602" s="2" t="s">
        <v>152</v>
      </c>
      <c r="H602" t="s">
        <v>280</v>
      </c>
      <c r="I602" s="6">
        <v>23504</v>
      </c>
      <c r="J602" s="2" t="s">
        <v>2304</v>
      </c>
      <c r="K602" s="2" t="s">
        <v>34</v>
      </c>
      <c r="L602" t="s">
        <v>35</v>
      </c>
      <c r="M602" t="s">
        <v>29</v>
      </c>
      <c r="N602" t="s">
        <v>30</v>
      </c>
      <c r="O602">
        <v>37219</v>
      </c>
      <c r="P602" t="s">
        <v>2305</v>
      </c>
      <c r="Q602" s="2">
        <v>0.2</v>
      </c>
      <c r="R602" s="2">
        <v>0</v>
      </c>
      <c r="S602" s="2">
        <v>144</v>
      </c>
      <c r="T602" t="s">
        <v>2304</v>
      </c>
      <c r="U602" s="6">
        <v>23504</v>
      </c>
      <c r="V602" s="2">
        <v>47037010202</v>
      </c>
      <c r="W602" s="2" t="s">
        <v>38</v>
      </c>
      <c r="X602" s="1">
        <v>45658</v>
      </c>
      <c r="Y602" s="2">
        <v>21800</v>
      </c>
      <c r="Z602" s="2">
        <v>0</v>
      </c>
      <c r="AA602" s="2">
        <v>21800</v>
      </c>
    </row>
    <row r="603" spans="1:27" x14ac:dyDescent="0.3">
      <c r="A603" s="3">
        <v>10</v>
      </c>
      <c r="B603" s="2" t="str">
        <f>"03411001400"</f>
        <v>03411001400</v>
      </c>
      <c r="C603" s="2" t="s">
        <v>2306</v>
      </c>
      <c r="D603" t="s">
        <v>866</v>
      </c>
      <c r="E603" s="2" t="s">
        <v>30</v>
      </c>
      <c r="F603" s="2">
        <v>37115</v>
      </c>
      <c r="G603" s="2" t="s">
        <v>1485</v>
      </c>
      <c r="H603" t="s">
        <v>280</v>
      </c>
      <c r="I603" s="6">
        <v>34092</v>
      </c>
      <c r="J603" s="2" t="s">
        <v>2307</v>
      </c>
      <c r="K603" s="2">
        <v>0</v>
      </c>
      <c r="L603" t="s">
        <v>35</v>
      </c>
      <c r="M603" t="s">
        <v>29</v>
      </c>
      <c r="N603" t="s">
        <v>30</v>
      </c>
      <c r="O603">
        <v>37219</v>
      </c>
      <c r="P603" t="s">
        <v>2308</v>
      </c>
      <c r="Q603" s="2">
        <v>0.17</v>
      </c>
      <c r="R603" s="2">
        <v>75</v>
      </c>
      <c r="S603" s="2">
        <v>100</v>
      </c>
      <c r="T603" t="s">
        <v>2309</v>
      </c>
      <c r="U603" s="6">
        <v>19586</v>
      </c>
      <c r="V603" s="2">
        <v>47037010401</v>
      </c>
      <c r="W603" s="2" t="s">
        <v>38</v>
      </c>
      <c r="X603" s="1">
        <v>45658</v>
      </c>
      <c r="Y603" s="2">
        <v>37000</v>
      </c>
      <c r="Z603" s="2">
        <v>0</v>
      </c>
      <c r="AA603" s="2">
        <v>37000</v>
      </c>
    </row>
    <row r="604" spans="1:27" x14ac:dyDescent="0.3">
      <c r="A604" s="3">
        <v>10</v>
      </c>
      <c r="B604" s="2" t="str">
        <f>"03410010600"</f>
        <v>03410010600</v>
      </c>
      <c r="C604" s="2" t="s">
        <v>2310</v>
      </c>
      <c r="D604" t="s">
        <v>866</v>
      </c>
      <c r="E604" s="2" t="s">
        <v>30</v>
      </c>
      <c r="F604" s="2">
        <v>37115</v>
      </c>
      <c r="G604" s="2" t="s">
        <v>41</v>
      </c>
      <c r="H604" t="s">
        <v>280</v>
      </c>
      <c r="I604" s="6">
        <v>39888</v>
      </c>
      <c r="J604" s="2" t="s">
        <v>2311</v>
      </c>
      <c r="K604" s="2">
        <v>0</v>
      </c>
      <c r="L604" t="s">
        <v>35</v>
      </c>
      <c r="M604" t="s">
        <v>29</v>
      </c>
      <c r="N604" t="s">
        <v>30</v>
      </c>
      <c r="O604">
        <v>37219</v>
      </c>
      <c r="P604" t="s">
        <v>2312</v>
      </c>
      <c r="Q604" s="2">
        <v>0.2</v>
      </c>
      <c r="R604" s="2">
        <v>47</v>
      </c>
      <c r="S604" s="2">
        <v>153</v>
      </c>
      <c r="T604" t="s">
        <v>2313</v>
      </c>
      <c r="U604" s="6">
        <v>26647</v>
      </c>
      <c r="V604" s="2">
        <v>47037010401</v>
      </c>
      <c r="W604" s="2" t="s">
        <v>38</v>
      </c>
      <c r="X604" s="1">
        <v>45658</v>
      </c>
      <c r="Y604" s="2">
        <v>43600</v>
      </c>
      <c r="Z604" s="2">
        <v>0</v>
      </c>
      <c r="AA604" s="2">
        <v>43600</v>
      </c>
    </row>
    <row r="605" spans="1:27" x14ac:dyDescent="0.3">
      <c r="A605" s="3">
        <v>10</v>
      </c>
      <c r="B605" s="2" t="str">
        <f>"03411001600"</f>
        <v>03411001600</v>
      </c>
      <c r="C605" s="2" t="s">
        <v>2310</v>
      </c>
      <c r="D605" t="s">
        <v>866</v>
      </c>
      <c r="E605" s="2" t="s">
        <v>30</v>
      </c>
      <c r="F605" s="2">
        <v>37115</v>
      </c>
      <c r="G605" s="2" t="s">
        <v>152</v>
      </c>
      <c r="H605" t="s">
        <v>280</v>
      </c>
      <c r="I605" s="6">
        <v>22654</v>
      </c>
      <c r="J605" s="2" t="s">
        <v>2314</v>
      </c>
      <c r="K605" s="2" t="s">
        <v>34</v>
      </c>
      <c r="L605" t="s">
        <v>35</v>
      </c>
      <c r="M605" t="s">
        <v>29</v>
      </c>
      <c r="N605" t="s">
        <v>30</v>
      </c>
      <c r="O605">
        <v>37219</v>
      </c>
      <c r="P605" t="s">
        <v>2315</v>
      </c>
      <c r="Q605" s="2">
        <v>0.34</v>
      </c>
      <c r="R605" s="2">
        <v>150</v>
      </c>
      <c r="S605" s="2">
        <v>105</v>
      </c>
      <c r="T605" t="s">
        <v>2316</v>
      </c>
      <c r="U605" s="6">
        <v>45603</v>
      </c>
      <c r="V605" s="2">
        <v>47047037010401</v>
      </c>
      <c r="W605" s="2" t="s">
        <v>38</v>
      </c>
      <c r="X605" s="1">
        <v>45658</v>
      </c>
      <c r="Y605" s="2">
        <v>74100</v>
      </c>
      <c r="Z605" s="2">
        <v>0</v>
      </c>
      <c r="AA605" s="2">
        <v>74100</v>
      </c>
    </row>
    <row r="606" spans="1:27" x14ac:dyDescent="0.3">
      <c r="A606" s="3">
        <v>10</v>
      </c>
      <c r="B606" s="2" t="str">
        <f>"03411001500"</f>
        <v>03411001500</v>
      </c>
      <c r="C606" s="2" t="s">
        <v>2317</v>
      </c>
      <c r="D606" t="s">
        <v>866</v>
      </c>
      <c r="E606" s="2" t="s">
        <v>30</v>
      </c>
      <c r="F606" s="2">
        <v>37115</v>
      </c>
      <c r="G606" s="2" t="s">
        <v>1471</v>
      </c>
      <c r="H606" t="s">
        <v>280</v>
      </c>
      <c r="I606" s="6">
        <v>34072</v>
      </c>
      <c r="J606" s="2" t="s">
        <v>2318</v>
      </c>
      <c r="K606" s="2">
        <v>0</v>
      </c>
      <c r="L606" t="s">
        <v>35</v>
      </c>
      <c r="M606" t="s">
        <v>29</v>
      </c>
      <c r="N606" t="s">
        <v>30</v>
      </c>
      <c r="O606">
        <v>37219</v>
      </c>
      <c r="P606" t="s">
        <v>2319</v>
      </c>
      <c r="Q606" s="2">
        <v>1.03</v>
      </c>
      <c r="R606" s="2">
        <v>100</v>
      </c>
      <c r="S606" s="2">
        <v>430</v>
      </c>
      <c r="T606" t="s">
        <v>2320</v>
      </c>
      <c r="U606" s="6">
        <v>26674</v>
      </c>
      <c r="V606" s="2">
        <v>47037010401</v>
      </c>
      <c r="W606" s="2" t="s">
        <v>38</v>
      </c>
      <c r="X606" s="1">
        <v>45658</v>
      </c>
      <c r="Y606" s="2">
        <v>1240900</v>
      </c>
      <c r="Z606" s="2">
        <v>1061400</v>
      </c>
      <c r="AA606" s="2">
        <v>179500</v>
      </c>
    </row>
    <row r="607" spans="1:27" x14ac:dyDescent="0.3">
      <c r="A607" s="3">
        <v>10</v>
      </c>
      <c r="B607" s="2" t="str">
        <f>"03411002000"</f>
        <v>03411002000</v>
      </c>
      <c r="C607" s="2" t="s">
        <v>2321</v>
      </c>
      <c r="D607" t="s">
        <v>866</v>
      </c>
      <c r="E607" s="2" t="s">
        <v>30</v>
      </c>
      <c r="F607" s="2">
        <v>37115</v>
      </c>
      <c r="G607" s="2" t="s">
        <v>152</v>
      </c>
      <c r="H607" t="s">
        <v>280</v>
      </c>
      <c r="I607" s="6">
        <v>21921</v>
      </c>
      <c r="J607" s="2" t="s">
        <v>2322</v>
      </c>
      <c r="K607" s="2" t="s">
        <v>34</v>
      </c>
      <c r="L607" t="s">
        <v>35</v>
      </c>
      <c r="M607" t="s">
        <v>29</v>
      </c>
      <c r="N607" t="s">
        <v>30</v>
      </c>
      <c r="O607">
        <v>37219</v>
      </c>
      <c r="P607" t="s">
        <v>2323</v>
      </c>
      <c r="Q607" s="2">
        <v>0.23</v>
      </c>
      <c r="R607" s="2">
        <v>100</v>
      </c>
      <c r="S607" s="2">
        <v>100</v>
      </c>
      <c r="T607" t="s">
        <v>2316</v>
      </c>
      <c r="U607" s="6">
        <v>45603</v>
      </c>
      <c r="V607" s="2">
        <v>47047037010401</v>
      </c>
      <c r="W607" s="2" t="s">
        <v>38</v>
      </c>
      <c r="X607" s="1">
        <v>45658</v>
      </c>
      <c r="Y607" s="2">
        <v>50100</v>
      </c>
      <c r="Z607" s="2">
        <v>0</v>
      </c>
      <c r="AA607" s="2">
        <v>50100</v>
      </c>
    </row>
    <row r="608" spans="1:27" x14ac:dyDescent="0.3">
      <c r="A608" s="3">
        <v>10</v>
      </c>
      <c r="B608" s="2" t="str">
        <f>"03411001900"</f>
        <v>03411001900</v>
      </c>
      <c r="C608" s="2" t="s">
        <v>2324</v>
      </c>
      <c r="D608" t="s">
        <v>866</v>
      </c>
      <c r="E608" s="2" t="s">
        <v>30</v>
      </c>
      <c r="F608" s="2">
        <v>37115</v>
      </c>
      <c r="G608" s="2" t="s">
        <v>152</v>
      </c>
      <c r="H608" t="s">
        <v>280</v>
      </c>
      <c r="I608" s="6">
        <v>22654</v>
      </c>
      <c r="J608" s="2" t="s">
        <v>2314</v>
      </c>
      <c r="K608" s="2" t="s">
        <v>34</v>
      </c>
      <c r="L608" t="s">
        <v>35</v>
      </c>
      <c r="M608" t="s">
        <v>29</v>
      </c>
      <c r="N608" t="s">
        <v>30</v>
      </c>
      <c r="O608">
        <v>37219</v>
      </c>
      <c r="P608" t="s">
        <v>2325</v>
      </c>
      <c r="Q608" s="2">
        <v>0.43</v>
      </c>
      <c r="R608" s="2">
        <v>150</v>
      </c>
      <c r="S608" s="2">
        <v>130</v>
      </c>
      <c r="T608" t="s">
        <v>2316</v>
      </c>
      <c r="U608" s="6">
        <v>45603</v>
      </c>
      <c r="V608" s="2">
        <v>47047037010401</v>
      </c>
      <c r="W608" s="2" t="s">
        <v>38</v>
      </c>
      <c r="X608" s="1">
        <v>45658</v>
      </c>
      <c r="Y608" s="2">
        <v>93700</v>
      </c>
      <c r="Z608" s="2">
        <v>0</v>
      </c>
      <c r="AA608" s="2">
        <v>93700</v>
      </c>
    </row>
    <row r="609" spans="1:27" x14ac:dyDescent="0.3">
      <c r="A609" s="3">
        <v>10</v>
      </c>
      <c r="B609" s="2" t="str">
        <f>"03411002300"</f>
        <v>03411002300</v>
      </c>
      <c r="C609" s="2" t="s">
        <v>2326</v>
      </c>
      <c r="D609" t="s">
        <v>866</v>
      </c>
      <c r="E609" s="2" t="s">
        <v>30</v>
      </c>
      <c r="F609" s="2">
        <v>37115</v>
      </c>
      <c r="G609" s="2" t="s">
        <v>152</v>
      </c>
      <c r="H609" t="s">
        <v>280</v>
      </c>
      <c r="I609" s="6">
        <v>22654</v>
      </c>
      <c r="J609" s="2" t="s">
        <v>2314</v>
      </c>
      <c r="K609" s="2" t="s">
        <v>34</v>
      </c>
      <c r="L609" t="s">
        <v>35</v>
      </c>
      <c r="M609" t="s">
        <v>29</v>
      </c>
      <c r="N609" t="s">
        <v>30</v>
      </c>
      <c r="O609">
        <v>37219</v>
      </c>
      <c r="P609" t="s">
        <v>2327</v>
      </c>
      <c r="Q609" s="2">
        <v>0.51</v>
      </c>
      <c r="R609" s="2">
        <v>125</v>
      </c>
      <c r="S609" s="2">
        <v>175</v>
      </c>
      <c r="T609" t="s">
        <v>2316</v>
      </c>
      <c r="U609" s="6">
        <v>45603</v>
      </c>
      <c r="V609" s="2">
        <v>47047037010401</v>
      </c>
      <c r="W609" s="2" t="s">
        <v>38</v>
      </c>
      <c r="X609" s="1">
        <v>45658</v>
      </c>
      <c r="Y609" s="2">
        <v>55500</v>
      </c>
      <c r="Z609" s="2">
        <v>0</v>
      </c>
      <c r="AA609" s="2">
        <v>55500</v>
      </c>
    </row>
    <row r="610" spans="1:27" x14ac:dyDescent="0.3">
      <c r="A610" s="3">
        <v>10</v>
      </c>
      <c r="B610" s="2" t="str">
        <f>"03411002500"</f>
        <v>03411002500</v>
      </c>
      <c r="C610" s="2" t="s">
        <v>2310</v>
      </c>
      <c r="D610" t="s">
        <v>866</v>
      </c>
      <c r="E610" s="2" t="s">
        <v>30</v>
      </c>
      <c r="F610" s="2">
        <v>37115</v>
      </c>
      <c r="G610" s="2" t="s">
        <v>1485</v>
      </c>
      <c r="H610" t="s">
        <v>280</v>
      </c>
      <c r="I610" s="6">
        <v>34145</v>
      </c>
      <c r="J610" s="2" t="s">
        <v>2328</v>
      </c>
      <c r="K610" s="2" t="s">
        <v>34</v>
      </c>
      <c r="L610" t="s">
        <v>35</v>
      </c>
      <c r="M610" t="s">
        <v>29</v>
      </c>
      <c r="N610" t="s">
        <v>30</v>
      </c>
      <c r="O610">
        <v>37219</v>
      </c>
      <c r="P610" t="s">
        <v>2329</v>
      </c>
      <c r="Q610" s="2">
        <v>1.56</v>
      </c>
      <c r="R610" s="2">
        <v>0</v>
      </c>
      <c r="S610" s="2">
        <v>0</v>
      </c>
      <c r="T610" t="s">
        <v>2330</v>
      </c>
      <c r="U610" s="6">
        <v>22822</v>
      </c>
      <c r="V610" s="2">
        <v>47037010401</v>
      </c>
      <c r="W610" s="2" t="s">
        <v>38</v>
      </c>
      <c r="X610" s="1">
        <v>45658</v>
      </c>
      <c r="Y610" s="2">
        <v>81500</v>
      </c>
      <c r="Z610" s="2">
        <v>0</v>
      </c>
      <c r="AA610" s="2">
        <v>81500</v>
      </c>
    </row>
    <row r="611" spans="1:27" x14ac:dyDescent="0.3">
      <c r="A611" s="3">
        <v>10</v>
      </c>
      <c r="B611" s="2" t="str">
        <f>"03410010700"</f>
        <v>03410010700</v>
      </c>
      <c r="C611" s="2" t="s">
        <v>2331</v>
      </c>
      <c r="D611" t="s">
        <v>866</v>
      </c>
      <c r="E611" s="2" t="s">
        <v>30</v>
      </c>
      <c r="F611" s="2">
        <v>37115</v>
      </c>
      <c r="G611" s="2" t="s">
        <v>41</v>
      </c>
      <c r="H611" t="s">
        <v>280</v>
      </c>
      <c r="I611" s="6">
        <v>39888</v>
      </c>
      <c r="J611" s="2" t="s">
        <v>2311</v>
      </c>
      <c r="K611" s="2">
        <v>0</v>
      </c>
      <c r="L611" t="s">
        <v>35</v>
      </c>
      <c r="M611" t="s">
        <v>29</v>
      </c>
      <c r="N611" t="s">
        <v>30</v>
      </c>
      <c r="O611">
        <v>37219</v>
      </c>
      <c r="P611" t="s">
        <v>2332</v>
      </c>
      <c r="Q611" s="2">
        <v>0.35</v>
      </c>
      <c r="R611" s="2">
        <v>130</v>
      </c>
      <c r="S611" s="2">
        <v>74</v>
      </c>
      <c r="T611" t="s">
        <v>2313</v>
      </c>
      <c r="U611" s="6">
        <v>26647</v>
      </c>
      <c r="V611" s="2">
        <v>47037010401</v>
      </c>
      <c r="W611" s="2" t="s">
        <v>38</v>
      </c>
      <c r="X611" s="1">
        <v>45658</v>
      </c>
      <c r="Y611" s="2">
        <v>76200</v>
      </c>
      <c r="Z611" s="2">
        <v>0</v>
      </c>
      <c r="AA611" s="2">
        <v>76200</v>
      </c>
    </row>
    <row r="612" spans="1:27" x14ac:dyDescent="0.3">
      <c r="A612" s="3">
        <v>10</v>
      </c>
      <c r="B612" s="2" t="str">
        <f>"03411001300"</f>
        <v>03411001300</v>
      </c>
      <c r="C612" s="2" t="s">
        <v>2333</v>
      </c>
      <c r="D612" t="s">
        <v>866</v>
      </c>
      <c r="E612" s="2" t="s">
        <v>30</v>
      </c>
      <c r="F612" s="2">
        <v>37115</v>
      </c>
      <c r="G612" s="2" t="s">
        <v>1485</v>
      </c>
      <c r="H612" t="s">
        <v>280</v>
      </c>
      <c r="I612" s="6">
        <v>33540</v>
      </c>
      <c r="J612" s="2" t="s">
        <v>2334</v>
      </c>
      <c r="K612" s="2">
        <v>24000</v>
      </c>
      <c r="L612" t="s">
        <v>35</v>
      </c>
      <c r="M612" t="s">
        <v>29</v>
      </c>
      <c r="N612" t="s">
        <v>30</v>
      </c>
      <c r="O612">
        <v>37219</v>
      </c>
      <c r="P612" t="s">
        <v>2335</v>
      </c>
      <c r="Q612" s="2">
        <v>1.22</v>
      </c>
      <c r="R612" s="2">
        <v>85</v>
      </c>
      <c r="S612" s="2">
        <v>85</v>
      </c>
      <c r="T612" t="s">
        <v>2336</v>
      </c>
      <c r="U612" s="6">
        <v>36817</v>
      </c>
      <c r="V612" s="2">
        <v>47037010401</v>
      </c>
      <c r="W612" s="2" t="s">
        <v>38</v>
      </c>
      <c r="X612" s="1">
        <v>45658</v>
      </c>
      <c r="Y612" s="2">
        <v>212600</v>
      </c>
      <c r="Z612" s="2">
        <v>0</v>
      </c>
      <c r="AA612" s="2">
        <v>212600</v>
      </c>
    </row>
    <row r="613" spans="1:27" x14ac:dyDescent="0.3">
      <c r="A613" s="3">
        <v>10</v>
      </c>
      <c r="B613" s="2" t="str">
        <f>"03411001000"</f>
        <v>03411001000</v>
      </c>
      <c r="C613" s="2" t="s">
        <v>2337</v>
      </c>
      <c r="D613" t="s">
        <v>866</v>
      </c>
      <c r="E613" s="2" t="s">
        <v>30</v>
      </c>
      <c r="F613" s="2">
        <v>37115</v>
      </c>
      <c r="G613" s="2" t="s">
        <v>41</v>
      </c>
      <c r="H613" t="s">
        <v>280</v>
      </c>
      <c r="I613" s="6">
        <v>33738</v>
      </c>
      <c r="J613" s="2" t="s">
        <v>2338</v>
      </c>
      <c r="K613" s="2">
        <v>3000</v>
      </c>
      <c r="L613" t="s">
        <v>35</v>
      </c>
      <c r="M613" t="s">
        <v>29</v>
      </c>
      <c r="N613" t="s">
        <v>30</v>
      </c>
      <c r="O613">
        <v>37219</v>
      </c>
      <c r="P613" t="s">
        <v>2339</v>
      </c>
      <c r="Q613" s="2">
        <v>0.95</v>
      </c>
      <c r="R613" s="2">
        <v>175</v>
      </c>
      <c r="S613" s="2">
        <v>325</v>
      </c>
      <c r="T613" t="s">
        <v>2336</v>
      </c>
      <c r="U613" s="6">
        <v>36817</v>
      </c>
      <c r="V613" s="2">
        <v>47037010401</v>
      </c>
      <c r="W613" s="2" t="s">
        <v>38</v>
      </c>
      <c r="X613" s="1">
        <v>45658</v>
      </c>
      <c r="Y613" s="2">
        <v>206900</v>
      </c>
      <c r="Z613" s="2">
        <v>0</v>
      </c>
      <c r="AA613" s="2">
        <v>206900</v>
      </c>
    </row>
    <row r="614" spans="1:27" x14ac:dyDescent="0.3">
      <c r="A614" s="3">
        <v>10</v>
      </c>
      <c r="B614" s="2" t="str">
        <f>"03411003000"</f>
        <v>03411003000</v>
      </c>
      <c r="C614" s="2" t="s">
        <v>2310</v>
      </c>
      <c r="D614" t="s">
        <v>866</v>
      </c>
      <c r="E614" s="2" t="s">
        <v>30</v>
      </c>
      <c r="F614" s="2">
        <v>37115</v>
      </c>
      <c r="G614" s="2" t="s">
        <v>1485</v>
      </c>
      <c r="H614" t="s">
        <v>280</v>
      </c>
      <c r="I614" s="6">
        <v>33539</v>
      </c>
      <c r="J614" s="2" t="s">
        <v>2340</v>
      </c>
      <c r="K614" s="2">
        <v>51000</v>
      </c>
      <c r="L614" t="s">
        <v>35</v>
      </c>
      <c r="M614" t="s">
        <v>29</v>
      </c>
      <c r="N614" t="s">
        <v>30</v>
      </c>
      <c r="O614">
        <v>37219</v>
      </c>
      <c r="P614" t="s">
        <v>2341</v>
      </c>
      <c r="Q614" s="2">
        <v>2.39</v>
      </c>
      <c r="R614" s="2">
        <v>0</v>
      </c>
      <c r="S614" s="2">
        <v>0</v>
      </c>
      <c r="T614" t="s">
        <v>2336</v>
      </c>
      <c r="U614" s="6">
        <v>36817</v>
      </c>
      <c r="V614" s="2">
        <v>47037010401</v>
      </c>
      <c r="W614" s="2" t="s">
        <v>38</v>
      </c>
      <c r="X614" s="1">
        <v>45658</v>
      </c>
      <c r="Y614" s="2">
        <v>416400</v>
      </c>
      <c r="Z614" s="2">
        <v>0</v>
      </c>
      <c r="AA614" s="2">
        <v>416400</v>
      </c>
    </row>
    <row r="615" spans="1:27" x14ac:dyDescent="0.3">
      <c r="A615" s="3">
        <v>10</v>
      </c>
      <c r="B615" s="2" t="str">
        <f>"03411002400"</f>
        <v>03411002400</v>
      </c>
      <c r="C615" s="2" t="s">
        <v>2342</v>
      </c>
      <c r="D615" t="s">
        <v>866</v>
      </c>
      <c r="E615" s="2" t="s">
        <v>30</v>
      </c>
      <c r="F615" s="2">
        <v>37115</v>
      </c>
      <c r="G615" s="2" t="s">
        <v>1485</v>
      </c>
      <c r="H615" t="s">
        <v>280</v>
      </c>
      <c r="I615" s="6">
        <v>22654</v>
      </c>
      <c r="J615" s="2" t="s">
        <v>2314</v>
      </c>
      <c r="K615" s="2" t="s">
        <v>34</v>
      </c>
      <c r="L615" t="s">
        <v>35</v>
      </c>
      <c r="M615" t="s">
        <v>29</v>
      </c>
      <c r="N615" t="s">
        <v>30</v>
      </c>
      <c r="O615">
        <v>37219</v>
      </c>
      <c r="P615" t="s">
        <v>2343</v>
      </c>
      <c r="Q615" s="2">
        <v>27.45</v>
      </c>
      <c r="R615" s="2">
        <v>0</v>
      </c>
      <c r="S615" s="2">
        <v>0</v>
      </c>
      <c r="T615" t="s">
        <v>2316</v>
      </c>
      <c r="U615" s="6">
        <v>45603</v>
      </c>
      <c r="V615" s="2">
        <v>47047037010401</v>
      </c>
      <c r="W615" s="2" t="s">
        <v>38</v>
      </c>
      <c r="X615" s="1">
        <v>45658</v>
      </c>
      <c r="Y615" s="2">
        <v>137300</v>
      </c>
      <c r="Z615" s="2">
        <v>0</v>
      </c>
      <c r="AA615" s="2">
        <v>137300</v>
      </c>
    </row>
    <row r="616" spans="1:27" x14ac:dyDescent="0.3">
      <c r="A616" s="3">
        <v>10</v>
      </c>
      <c r="B616" s="2" t="str">
        <f>"03411002900"</f>
        <v>03411002900</v>
      </c>
      <c r="C616" s="2" t="s">
        <v>2344</v>
      </c>
      <c r="D616" t="s">
        <v>866</v>
      </c>
      <c r="E616" s="2" t="s">
        <v>30</v>
      </c>
      <c r="F616" s="2">
        <v>37115</v>
      </c>
      <c r="G616" s="2" t="s">
        <v>41</v>
      </c>
      <c r="H616" t="s">
        <v>280</v>
      </c>
      <c r="I616" s="6">
        <v>39888</v>
      </c>
      <c r="J616" s="2" t="s">
        <v>2311</v>
      </c>
      <c r="K616" s="2">
        <v>0</v>
      </c>
      <c r="L616" t="s">
        <v>35</v>
      </c>
      <c r="M616" t="s">
        <v>29</v>
      </c>
      <c r="N616" t="s">
        <v>30</v>
      </c>
      <c r="O616">
        <v>37219</v>
      </c>
      <c r="P616" t="s">
        <v>2345</v>
      </c>
      <c r="Q616" s="2">
        <v>2</v>
      </c>
      <c r="R616" s="2">
        <v>200</v>
      </c>
      <c r="S616" s="2">
        <v>467</v>
      </c>
      <c r="T616" t="s">
        <v>2316</v>
      </c>
      <c r="U616" s="6">
        <v>45603</v>
      </c>
      <c r="V616" s="2">
        <v>47047037010401</v>
      </c>
      <c r="W616" s="2" t="s">
        <v>38</v>
      </c>
      <c r="X616" s="1">
        <v>45658</v>
      </c>
      <c r="Y616" s="2">
        <v>217800</v>
      </c>
      <c r="Z616" s="2">
        <v>0</v>
      </c>
      <c r="AA616" s="2">
        <v>217800</v>
      </c>
    </row>
    <row r="617" spans="1:27" x14ac:dyDescent="0.3">
      <c r="A617" s="3">
        <v>10</v>
      </c>
      <c r="B617" s="2" t="str">
        <f>"03410010800"</f>
        <v>03410010800</v>
      </c>
      <c r="C617" s="2" t="s">
        <v>2346</v>
      </c>
      <c r="D617" t="s">
        <v>866</v>
      </c>
      <c r="E617" s="2" t="s">
        <v>30</v>
      </c>
      <c r="F617" s="2">
        <v>37115</v>
      </c>
      <c r="G617" s="2" t="s">
        <v>41</v>
      </c>
      <c r="H617" t="s">
        <v>280</v>
      </c>
      <c r="I617" s="6">
        <v>39888</v>
      </c>
      <c r="J617" s="2" t="s">
        <v>2311</v>
      </c>
      <c r="K617" s="2">
        <v>0</v>
      </c>
      <c r="L617" t="s">
        <v>35</v>
      </c>
      <c r="M617" t="s">
        <v>29</v>
      </c>
      <c r="N617" t="s">
        <v>30</v>
      </c>
      <c r="O617">
        <v>37219</v>
      </c>
      <c r="P617" t="s">
        <v>2347</v>
      </c>
      <c r="Q617" s="2">
        <v>1.7</v>
      </c>
      <c r="R617" s="2">
        <v>203</v>
      </c>
      <c r="S617" s="2">
        <v>380</v>
      </c>
      <c r="T617" t="s">
        <v>2316</v>
      </c>
      <c r="U617" s="6">
        <v>45603</v>
      </c>
      <c r="V617" s="2">
        <v>47047037010401</v>
      </c>
      <c r="W617" s="2" t="s">
        <v>38</v>
      </c>
      <c r="X617" s="1">
        <v>45658</v>
      </c>
      <c r="Y617" s="2">
        <v>370300</v>
      </c>
      <c r="Z617" s="2">
        <v>0</v>
      </c>
      <c r="AA617" s="2">
        <v>370300</v>
      </c>
    </row>
    <row r="618" spans="1:27" x14ac:dyDescent="0.3">
      <c r="A618" s="3">
        <v>10</v>
      </c>
      <c r="B618" s="2" t="str">
        <f>"03302001400"</f>
        <v>03302001400</v>
      </c>
      <c r="C618" s="2" t="s">
        <v>2348</v>
      </c>
      <c r="D618" t="s">
        <v>990</v>
      </c>
      <c r="E618" s="2" t="s">
        <v>30</v>
      </c>
      <c r="F618" s="2">
        <v>37072</v>
      </c>
      <c r="G618" s="2" t="s">
        <v>64</v>
      </c>
      <c r="H618" t="s">
        <v>379</v>
      </c>
      <c r="I618" s="6">
        <v>44721</v>
      </c>
      <c r="J618" s="2" t="s">
        <v>2349</v>
      </c>
      <c r="K618" s="2">
        <v>32110</v>
      </c>
      <c r="L618" t="s">
        <v>35</v>
      </c>
      <c r="M618" t="s">
        <v>29</v>
      </c>
      <c r="N618" t="s">
        <v>30</v>
      </c>
      <c r="O618">
        <v>37219</v>
      </c>
      <c r="P618" t="s">
        <v>2350</v>
      </c>
      <c r="Q618" s="2">
        <v>0.34</v>
      </c>
      <c r="R618" s="2">
        <v>123</v>
      </c>
      <c r="S618" s="2">
        <v>194</v>
      </c>
      <c r="T618" t="s">
        <v>2351</v>
      </c>
      <c r="U618" s="6">
        <v>24159</v>
      </c>
      <c r="V618" s="2">
        <v>47037010202</v>
      </c>
      <c r="W618" s="2" t="s">
        <v>38</v>
      </c>
      <c r="X618" s="1">
        <v>45658</v>
      </c>
      <c r="Y618" s="2">
        <v>5000</v>
      </c>
      <c r="Z618" s="2">
        <v>0</v>
      </c>
      <c r="AA618" s="2">
        <v>5000</v>
      </c>
    </row>
    <row r="619" spans="1:27" x14ac:dyDescent="0.3">
      <c r="A619" s="3">
        <v>11</v>
      </c>
      <c r="B619" s="2" t="str">
        <f>"05315000701"</f>
        <v>05315000701</v>
      </c>
      <c r="C619" s="2" t="s">
        <v>2352</v>
      </c>
      <c r="D619" t="s">
        <v>2353</v>
      </c>
      <c r="E619" s="2" t="s">
        <v>30</v>
      </c>
      <c r="F619" s="2">
        <v>37138</v>
      </c>
      <c r="G619" s="2" t="s">
        <v>64</v>
      </c>
      <c r="H619" t="s">
        <v>32</v>
      </c>
      <c r="I619" s="6">
        <v>40691</v>
      </c>
      <c r="J619" s="2" t="s">
        <v>2354</v>
      </c>
      <c r="K619" s="2">
        <v>0</v>
      </c>
      <c r="L619" t="s">
        <v>35</v>
      </c>
      <c r="M619" t="s">
        <v>29</v>
      </c>
      <c r="N619" t="s">
        <v>30</v>
      </c>
      <c r="O619">
        <v>37219</v>
      </c>
      <c r="P619" t="s">
        <v>2355</v>
      </c>
      <c r="Q619" s="2">
        <v>0.5</v>
      </c>
      <c r="R619" s="2">
        <v>0</v>
      </c>
      <c r="S619" s="2">
        <v>0</v>
      </c>
      <c r="T619" t="s">
        <v>2356</v>
      </c>
      <c r="U619" s="6">
        <v>12479</v>
      </c>
      <c r="V619" s="2">
        <v>47037010502</v>
      </c>
      <c r="W619" s="2" t="s">
        <v>38</v>
      </c>
      <c r="X619" s="1">
        <v>45658</v>
      </c>
      <c r="Y619" s="2">
        <v>5400</v>
      </c>
      <c r="Z619" s="2">
        <v>0</v>
      </c>
      <c r="AA619" s="2">
        <v>5400</v>
      </c>
    </row>
    <row r="620" spans="1:27" x14ac:dyDescent="0.3">
      <c r="A620" s="3">
        <v>11</v>
      </c>
      <c r="B620" s="2" t="str">
        <f>"05315004600"</f>
        <v>05315004600</v>
      </c>
      <c r="C620" s="2" t="s">
        <v>2357</v>
      </c>
      <c r="D620" t="s">
        <v>2353</v>
      </c>
      <c r="E620" s="2" t="s">
        <v>30</v>
      </c>
      <c r="F620" s="2">
        <v>37138</v>
      </c>
      <c r="G620" s="2" t="s">
        <v>31</v>
      </c>
      <c r="H620" t="s">
        <v>32</v>
      </c>
      <c r="I620" s="6">
        <v>40691</v>
      </c>
      <c r="J620" s="2" t="s">
        <v>2354</v>
      </c>
      <c r="K620" s="2">
        <v>125000</v>
      </c>
      <c r="L620" t="s">
        <v>35</v>
      </c>
      <c r="M620" t="s">
        <v>29</v>
      </c>
      <c r="N620" t="s">
        <v>30</v>
      </c>
      <c r="O620">
        <v>37219</v>
      </c>
      <c r="P620" t="s">
        <v>2358</v>
      </c>
      <c r="Q620" s="2">
        <v>0.57999999999999996</v>
      </c>
      <c r="R620" s="2">
        <v>0</v>
      </c>
      <c r="S620" s="2">
        <v>126</v>
      </c>
      <c r="T620" t="s">
        <v>2359</v>
      </c>
      <c r="U620" s="6">
        <v>35514</v>
      </c>
      <c r="V620" s="2">
        <v>47037010502</v>
      </c>
      <c r="W620" s="2" t="s">
        <v>38</v>
      </c>
      <c r="X620" s="1">
        <v>45658</v>
      </c>
      <c r="Y620" s="2">
        <v>16000</v>
      </c>
      <c r="Z620" s="2">
        <v>0</v>
      </c>
      <c r="AA620" s="2">
        <v>16000</v>
      </c>
    </row>
    <row r="621" spans="1:27" x14ac:dyDescent="0.3">
      <c r="A621" s="3">
        <v>11</v>
      </c>
      <c r="B621" s="2" t="str">
        <f>"05315002500"</f>
        <v>05315002500</v>
      </c>
      <c r="C621" s="2" t="s">
        <v>2360</v>
      </c>
      <c r="D621" t="s">
        <v>2353</v>
      </c>
      <c r="E621" s="2" t="s">
        <v>30</v>
      </c>
      <c r="F621" s="2">
        <v>37138</v>
      </c>
      <c r="G621" s="2" t="s">
        <v>64</v>
      </c>
      <c r="H621" t="s">
        <v>32</v>
      </c>
      <c r="I621" s="6">
        <v>40691</v>
      </c>
      <c r="J621" s="2" t="s">
        <v>2354</v>
      </c>
      <c r="K621" s="2">
        <v>0</v>
      </c>
      <c r="L621" t="s">
        <v>35</v>
      </c>
      <c r="M621" t="s">
        <v>29</v>
      </c>
      <c r="N621" t="s">
        <v>30</v>
      </c>
      <c r="O621">
        <v>37219</v>
      </c>
      <c r="P621" t="s">
        <v>2361</v>
      </c>
      <c r="Q621" s="2">
        <v>1.41</v>
      </c>
      <c r="R621" s="2">
        <v>0</v>
      </c>
      <c r="S621" s="2">
        <v>0</v>
      </c>
      <c r="T621" t="s">
        <v>2362</v>
      </c>
      <c r="U621" s="6">
        <v>39636</v>
      </c>
      <c r="V621" s="2">
        <v>47037010502</v>
      </c>
      <c r="W621" s="2" t="s">
        <v>38</v>
      </c>
      <c r="X621" s="1">
        <v>45658</v>
      </c>
      <c r="Y621" s="2">
        <v>204500</v>
      </c>
      <c r="Z621" s="2">
        <v>0</v>
      </c>
      <c r="AA621" s="2">
        <v>204500</v>
      </c>
    </row>
    <row r="622" spans="1:27" x14ac:dyDescent="0.3">
      <c r="A622" s="3">
        <v>11</v>
      </c>
      <c r="B622" s="2" t="str">
        <f>"04400006300"</f>
        <v>04400006300</v>
      </c>
      <c r="C622" s="2" t="s">
        <v>2363</v>
      </c>
      <c r="D622" t="s">
        <v>2353</v>
      </c>
      <c r="E622" s="2" t="s">
        <v>30</v>
      </c>
      <c r="F622" s="2">
        <v>37138</v>
      </c>
      <c r="G622" s="2" t="s">
        <v>64</v>
      </c>
      <c r="H622" t="s">
        <v>32</v>
      </c>
      <c r="I622" s="6">
        <v>34436</v>
      </c>
      <c r="J622" s="2" t="s">
        <v>2364</v>
      </c>
      <c r="K622" s="2">
        <v>0</v>
      </c>
      <c r="L622" t="s">
        <v>85</v>
      </c>
      <c r="M622" t="s">
        <v>29</v>
      </c>
      <c r="N622" t="s">
        <v>30</v>
      </c>
      <c r="O622">
        <v>37201</v>
      </c>
      <c r="P622" t="s">
        <v>2365</v>
      </c>
      <c r="Q622" s="2">
        <v>0.5</v>
      </c>
      <c r="R622" s="2">
        <v>0</v>
      </c>
      <c r="S622" s="2">
        <v>0</v>
      </c>
      <c r="T622" t="s">
        <v>2366</v>
      </c>
      <c r="U622" s="6">
        <v>41537</v>
      </c>
      <c r="V622" s="2">
        <v>47037010501</v>
      </c>
      <c r="W622" s="2" t="s">
        <v>38</v>
      </c>
      <c r="X622" s="1">
        <v>45658</v>
      </c>
      <c r="Y622" s="2">
        <v>500</v>
      </c>
      <c r="Z622" s="2">
        <v>0</v>
      </c>
      <c r="AA622" s="2">
        <v>500</v>
      </c>
    </row>
    <row r="623" spans="1:27" x14ac:dyDescent="0.3">
      <c r="A623" s="3">
        <v>11</v>
      </c>
      <c r="B623" s="2" t="str">
        <f>"05300001000"</f>
        <v>05300001000</v>
      </c>
      <c r="C623" s="2" t="s">
        <v>2367</v>
      </c>
      <c r="D623" t="s">
        <v>2353</v>
      </c>
      <c r="E623" s="2" t="s">
        <v>30</v>
      </c>
      <c r="F623" s="2">
        <v>37138</v>
      </c>
      <c r="G623" s="2" t="s">
        <v>64</v>
      </c>
      <c r="H623" t="s">
        <v>32</v>
      </c>
      <c r="I623" s="6">
        <v>41667</v>
      </c>
      <c r="J623" s="2" t="s">
        <v>2368</v>
      </c>
      <c r="K623" s="2">
        <v>0</v>
      </c>
      <c r="L623" t="s">
        <v>35</v>
      </c>
      <c r="M623" t="s">
        <v>29</v>
      </c>
      <c r="N623" t="s">
        <v>30</v>
      </c>
      <c r="O623">
        <v>37219</v>
      </c>
      <c r="P623" t="s">
        <v>2369</v>
      </c>
      <c r="Q623" s="2">
        <v>101.37</v>
      </c>
      <c r="R623" s="2">
        <v>0</v>
      </c>
      <c r="S623" s="2">
        <v>0</v>
      </c>
      <c r="T623" t="s">
        <v>2370</v>
      </c>
      <c r="U623" s="6">
        <v>35891</v>
      </c>
      <c r="V623" s="2">
        <v>47037010501</v>
      </c>
      <c r="W623" s="2" t="s">
        <v>38</v>
      </c>
      <c r="X623" s="1">
        <v>45658</v>
      </c>
      <c r="Y623" s="2">
        <v>2838400</v>
      </c>
      <c r="Z623" s="2">
        <v>0</v>
      </c>
      <c r="AA623" s="2">
        <v>2838400</v>
      </c>
    </row>
    <row r="624" spans="1:27" x14ac:dyDescent="0.3">
      <c r="A624" s="3">
        <v>11</v>
      </c>
      <c r="B624" s="2" t="str">
        <f>"05315000200"</f>
        <v>05315000200</v>
      </c>
      <c r="C624" s="2" t="s">
        <v>2371</v>
      </c>
      <c r="D624" t="s">
        <v>2353</v>
      </c>
      <c r="E624" s="2" t="s">
        <v>30</v>
      </c>
      <c r="F624" s="2">
        <v>37138</v>
      </c>
      <c r="G624" s="2" t="s">
        <v>31</v>
      </c>
      <c r="H624" t="s">
        <v>32</v>
      </c>
      <c r="I624" s="6">
        <v>40691</v>
      </c>
      <c r="J624" s="2" t="s">
        <v>2354</v>
      </c>
      <c r="K624" s="2">
        <v>0</v>
      </c>
      <c r="L624" t="s">
        <v>35</v>
      </c>
      <c r="M624" t="s">
        <v>29</v>
      </c>
      <c r="N624" t="s">
        <v>30</v>
      </c>
      <c r="O624">
        <v>37219</v>
      </c>
      <c r="P624" t="s">
        <v>2372</v>
      </c>
      <c r="Q624" s="2">
        <v>4.6900000000000004</v>
      </c>
      <c r="R624" s="2">
        <v>0</v>
      </c>
      <c r="S624" s="2">
        <v>0</v>
      </c>
      <c r="T624" t="s">
        <v>2373</v>
      </c>
      <c r="U624" s="6">
        <v>39636</v>
      </c>
      <c r="V624" s="2">
        <v>47037010502</v>
      </c>
      <c r="W624" s="2" t="s">
        <v>38</v>
      </c>
      <c r="X624" s="1">
        <v>45658</v>
      </c>
      <c r="Y624" s="2">
        <v>143500</v>
      </c>
      <c r="Z624" s="2">
        <v>0</v>
      </c>
      <c r="AA624" s="2">
        <v>143500</v>
      </c>
    </row>
    <row r="625" spans="1:27" x14ac:dyDescent="0.3">
      <c r="A625" s="3">
        <v>11</v>
      </c>
      <c r="B625" s="2" t="str">
        <f>"05315004500"</f>
        <v>05315004500</v>
      </c>
      <c r="C625" s="2" t="s">
        <v>2374</v>
      </c>
      <c r="D625" t="s">
        <v>2353</v>
      </c>
      <c r="E625" s="2" t="s">
        <v>30</v>
      </c>
      <c r="F625" s="2">
        <v>37138</v>
      </c>
      <c r="G625" s="2" t="s">
        <v>31</v>
      </c>
      <c r="H625" t="s">
        <v>32</v>
      </c>
      <c r="I625" s="6">
        <v>40691</v>
      </c>
      <c r="J625" s="2" t="s">
        <v>2354</v>
      </c>
      <c r="K625" s="2">
        <v>0</v>
      </c>
      <c r="L625" t="s">
        <v>35</v>
      </c>
      <c r="M625" t="s">
        <v>29</v>
      </c>
      <c r="N625" t="s">
        <v>30</v>
      </c>
      <c r="O625">
        <v>37219</v>
      </c>
      <c r="P625" t="s">
        <v>2375</v>
      </c>
      <c r="Q625" s="2">
        <v>1.35</v>
      </c>
      <c r="R625" s="2">
        <v>0</v>
      </c>
      <c r="S625" s="2">
        <v>0</v>
      </c>
      <c r="T625" t="s">
        <v>2376</v>
      </c>
      <c r="U625" s="6">
        <v>34992</v>
      </c>
      <c r="V625" s="2">
        <v>47037010502</v>
      </c>
      <c r="W625" s="2" t="s">
        <v>38</v>
      </c>
      <c r="X625" s="1">
        <v>45658</v>
      </c>
      <c r="Y625" s="2">
        <v>88500</v>
      </c>
      <c r="Z625" s="2">
        <v>0</v>
      </c>
      <c r="AA625" s="2">
        <v>88500</v>
      </c>
    </row>
    <row r="626" spans="1:27" x14ac:dyDescent="0.3">
      <c r="A626" s="3">
        <v>11</v>
      </c>
      <c r="B626" s="2" t="str">
        <f>"05315004800"</f>
        <v>05315004800</v>
      </c>
      <c r="C626" s="2" t="s">
        <v>2374</v>
      </c>
      <c r="D626" t="s">
        <v>2353</v>
      </c>
      <c r="E626" s="2" t="s">
        <v>30</v>
      </c>
      <c r="F626" s="2">
        <v>37138</v>
      </c>
      <c r="G626" s="2" t="s">
        <v>31</v>
      </c>
      <c r="H626" t="s">
        <v>32</v>
      </c>
      <c r="I626" s="6">
        <v>40691</v>
      </c>
      <c r="J626" s="2" t="s">
        <v>2354</v>
      </c>
      <c r="K626" s="2">
        <v>0</v>
      </c>
      <c r="L626" t="s">
        <v>35</v>
      </c>
      <c r="M626" t="s">
        <v>29</v>
      </c>
      <c r="N626" t="s">
        <v>30</v>
      </c>
      <c r="O626">
        <v>37219</v>
      </c>
      <c r="P626" t="s">
        <v>2372</v>
      </c>
      <c r="Q626" s="2">
        <v>1.17</v>
      </c>
      <c r="R626" s="2">
        <v>0</v>
      </c>
      <c r="S626" s="2">
        <v>0</v>
      </c>
      <c r="T626" t="s">
        <v>2377</v>
      </c>
      <c r="U626" s="6">
        <v>37464</v>
      </c>
      <c r="V626" s="2">
        <v>47037010502</v>
      </c>
      <c r="W626" s="2" t="s">
        <v>38</v>
      </c>
      <c r="X626" s="1">
        <v>45658</v>
      </c>
      <c r="Y626" s="2">
        <v>88500</v>
      </c>
      <c r="Z626" s="2">
        <v>0</v>
      </c>
      <c r="AA626" s="2">
        <v>88500</v>
      </c>
    </row>
    <row r="627" spans="1:27" x14ac:dyDescent="0.3">
      <c r="A627" s="3">
        <v>11</v>
      </c>
      <c r="B627" s="2" t="str">
        <f>"05315005000"</f>
        <v>05315005000</v>
      </c>
      <c r="C627" s="2" t="s">
        <v>2378</v>
      </c>
      <c r="D627" t="s">
        <v>2353</v>
      </c>
      <c r="E627" s="2" t="s">
        <v>30</v>
      </c>
      <c r="F627" s="2">
        <v>37138</v>
      </c>
      <c r="G627" s="2" t="s">
        <v>2379</v>
      </c>
      <c r="H627" t="s">
        <v>32</v>
      </c>
      <c r="I627" s="6">
        <v>40691</v>
      </c>
      <c r="J627" s="2" t="s">
        <v>2354</v>
      </c>
      <c r="K627" s="2">
        <v>0</v>
      </c>
      <c r="L627" t="s">
        <v>35</v>
      </c>
      <c r="M627" t="s">
        <v>29</v>
      </c>
      <c r="N627" t="s">
        <v>30</v>
      </c>
      <c r="O627">
        <v>37219</v>
      </c>
      <c r="P627" t="s">
        <v>2380</v>
      </c>
      <c r="Q627" s="2">
        <v>0.54</v>
      </c>
      <c r="R627" s="2">
        <v>0</v>
      </c>
      <c r="S627" s="2">
        <v>247</v>
      </c>
      <c r="T627" t="s">
        <v>2381</v>
      </c>
      <c r="U627" s="6">
        <v>38555</v>
      </c>
      <c r="V627" s="2">
        <v>47037010502</v>
      </c>
      <c r="W627" s="2" t="s">
        <v>38</v>
      </c>
      <c r="X627" s="1">
        <v>45658</v>
      </c>
      <c r="Y627" s="2">
        <v>285200</v>
      </c>
      <c r="Z627" s="2">
        <v>196700</v>
      </c>
      <c r="AA627" s="2">
        <v>88500</v>
      </c>
    </row>
    <row r="628" spans="1:27" x14ac:dyDescent="0.3">
      <c r="A628" s="3">
        <v>11</v>
      </c>
      <c r="B628" s="2" t="str">
        <f>"05316006300"</f>
        <v>05316006300</v>
      </c>
      <c r="C628" s="2" t="s">
        <v>28</v>
      </c>
      <c r="D628" t="s">
        <v>2353</v>
      </c>
      <c r="E628" s="2" t="s">
        <v>30</v>
      </c>
      <c r="F628" s="2">
        <v>37138</v>
      </c>
      <c r="G628" s="2" t="s">
        <v>200</v>
      </c>
      <c r="H628" t="s">
        <v>32</v>
      </c>
      <c r="I628" s="6">
        <v>40691</v>
      </c>
      <c r="J628" s="2" t="s">
        <v>2354</v>
      </c>
      <c r="K628" s="2" t="s">
        <v>34</v>
      </c>
      <c r="L628" t="s">
        <v>35</v>
      </c>
      <c r="M628" t="s">
        <v>29</v>
      </c>
      <c r="N628" t="s">
        <v>30</v>
      </c>
      <c r="O628">
        <v>37219</v>
      </c>
      <c r="P628" t="s">
        <v>2382</v>
      </c>
      <c r="Q628" s="2">
        <v>4.24</v>
      </c>
      <c r="R628" s="2">
        <v>0</v>
      </c>
      <c r="S628" s="2">
        <v>0</v>
      </c>
      <c r="T628" t="s">
        <v>2383</v>
      </c>
      <c r="U628" s="6">
        <v>25283</v>
      </c>
      <c r="V628" s="2">
        <v>47037010502</v>
      </c>
      <c r="W628" s="2" t="s">
        <v>38</v>
      </c>
      <c r="X628" s="1">
        <v>45658</v>
      </c>
      <c r="Y628" s="2">
        <v>1292900</v>
      </c>
      <c r="Z628" s="2">
        <v>0</v>
      </c>
      <c r="AA628" s="2">
        <v>1292900</v>
      </c>
    </row>
    <row r="629" spans="1:27" x14ac:dyDescent="0.3">
      <c r="A629" s="3">
        <v>11</v>
      </c>
      <c r="B629" s="2" t="str">
        <f>"05315000301"</f>
        <v>05315000301</v>
      </c>
      <c r="C629" s="2" t="s">
        <v>2384</v>
      </c>
      <c r="D629" t="s">
        <v>2353</v>
      </c>
      <c r="E629" s="2" t="s">
        <v>30</v>
      </c>
      <c r="F629" s="2">
        <v>37138</v>
      </c>
      <c r="G629" s="2" t="s">
        <v>64</v>
      </c>
      <c r="H629" t="s">
        <v>32</v>
      </c>
      <c r="I629" s="6">
        <v>40691</v>
      </c>
      <c r="J629" s="2" t="s">
        <v>2354</v>
      </c>
      <c r="K629" s="2">
        <v>0</v>
      </c>
      <c r="L629" t="s">
        <v>35</v>
      </c>
      <c r="M629" t="s">
        <v>29</v>
      </c>
      <c r="N629" t="s">
        <v>30</v>
      </c>
      <c r="O629">
        <v>37219</v>
      </c>
      <c r="P629" t="s">
        <v>2385</v>
      </c>
      <c r="Q629" s="2">
        <v>1.31</v>
      </c>
      <c r="R629" s="2">
        <v>294</v>
      </c>
      <c r="S629" s="2">
        <v>172</v>
      </c>
      <c r="T629" t="s">
        <v>2386</v>
      </c>
      <c r="U629" s="6">
        <v>20184</v>
      </c>
      <c r="V629" s="2">
        <v>47037010502</v>
      </c>
      <c r="W629" s="2" t="s">
        <v>38</v>
      </c>
      <c r="X629" s="1">
        <v>45658</v>
      </c>
      <c r="Y629" s="2">
        <v>197300</v>
      </c>
      <c r="Z629" s="2">
        <v>0</v>
      </c>
      <c r="AA629" s="2">
        <v>197300</v>
      </c>
    </row>
    <row r="630" spans="1:27" x14ac:dyDescent="0.3">
      <c r="A630" s="3">
        <v>11</v>
      </c>
      <c r="B630" s="2" t="str">
        <f>"05315000300"</f>
        <v>05315000300</v>
      </c>
      <c r="C630" s="2" t="s">
        <v>2387</v>
      </c>
      <c r="D630" t="s">
        <v>2353</v>
      </c>
      <c r="E630" s="2" t="s">
        <v>30</v>
      </c>
      <c r="F630" s="2">
        <v>37138</v>
      </c>
      <c r="G630" s="2" t="s">
        <v>31</v>
      </c>
      <c r="H630" t="s">
        <v>32</v>
      </c>
      <c r="I630" s="6">
        <v>40691</v>
      </c>
      <c r="J630" s="2" t="s">
        <v>2354</v>
      </c>
      <c r="K630" s="2">
        <v>0</v>
      </c>
      <c r="L630" t="s">
        <v>35</v>
      </c>
      <c r="M630" t="s">
        <v>29</v>
      </c>
      <c r="N630" t="s">
        <v>30</v>
      </c>
      <c r="O630">
        <v>37219</v>
      </c>
      <c r="P630" t="s">
        <v>2388</v>
      </c>
      <c r="Q630" s="2">
        <v>8.24</v>
      </c>
      <c r="R630" s="2">
        <v>0</v>
      </c>
      <c r="S630" s="2">
        <v>0</v>
      </c>
      <c r="T630" t="s">
        <v>2389</v>
      </c>
      <c r="U630" s="6">
        <v>24559</v>
      </c>
      <c r="V630" s="2">
        <v>47037010501</v>
      </c>
      <c r="W630" s="2" t="s">
        <v>38</v>
      </c>
      <c r="X630" s="1">
        <v>45658</v>
      </c>
      <c r="Y630" s="2">
        <v>190200</v>
      </c>
      <c r="Z630" s="2">
        <v>0</v>
      </c>
      <c r="AA630" s="2">
        <v>190200</v>
      </c>
    </row>
    <row r="631" spans="1:27" x14ac:dyDescent="0.3">
      <c r="A631" s="3">
        <v>11</v>
      </c>
      <c r="B631" s="2" t="str">
        <f>"04406000200"</f>
        <v>04406000200</v>
      </c>
      <c r="C631" s="2" t="s">
        <v>2390</v>
      </c>
      <c r="D631" t="s">
        <v>2353</v>
      </c>
      <c r="E631" s="2" t="s">
        <v>30</v>
      </c>
      <c r="F631" s="2">
        <v>37138</v>
      </c>
      <c r="G631" s="2" t="s">
        <v>41</v>
      </c>
      <c r="H631" t="s">
        <v>99</v>
      </c>
      <c r="I631" s="6">
        <v>34836</v>
      </c>
      <c r="J631" s="2" t="s">
        <v>2391</v>
      </c>
      <c r="K631" s="2">
        <v>772</v>
      </c>
      <c r="L631" t="s">
        <v>35</v>
      </c>
      <c r="M631" t="s">
        <v>29</v>
      </c>
      <c r="N631" t="s">
        <v>30</v>
      </c>
      <c r="O631">
        <v>37219</v>
      </c>
      <c r="P631" t="s">
        <v>2392</v>
      </c>
      <c r="Q631" s="2">
        <v>0.05</v>
      </c>
      <c r="R631" s="2">
        <v>116</v>
      </c>
      <c r="S631" s="2">
        <v>119</v>
      </c>
      <c r="T631" t="s">
        <v>2393</v>
      </c>
      <c r="U631" s="6">
        <v>7732</v>
      </c>
      <c r="V631" s="2">
        <v>47037010501</v>
      </c>
      <c r="W631" s="2" t="s">
        <v>38</v>
      </c>
      <c r="X631" s="1">
        <v>45658</v>
      </c>
      <c r="Y631" s="2">
        <v>5900</v>
      </c>
      <c r="Z631" s="2">
        <v>0</v>
      </c>
      <c r="AA631" s="2">
        <v>5900</v>
      </c>
    </row>
    <row r="632" spans="1:27" x14ac:dyDescent="0.3">
      <c r="A632" s="3">
        <v>11</v>
      </c>
      <c r="B632" s="2" t="str">
        <f>"06404007100"</f>
        <v>06404007100</v>
      </c>
      <c r="C632" s="2" t="s">
        <v>2394</v>
      </c>
      <c r="D632" t="s">
        <v>2353</v>
      </c>
      <c r="E632" s="2" t="s">
        <v>30</v>
      </c>
      <c r="F632" s="2">
        <v>37138</v>
      </c>
      <c r="G632" s="2" t="s">
        <v>64</v>
      </c>
      <c r="H632" t="s">
        <v>99</v>
      </c>
      <c r="I632" s="6">
        <v>32898</v>
      </c>
      <c r="J632" s="2" t="s">
        <v>2395</v>
      </c>
      <c r="K632" s="2">
        <v>348</v>
      </c>
      <c r="L632" t="s">
        <v>35</v>
      </c>
      <c r="M632" t="s">
        <v>29</v>
      </c>
      <c r="N632" t="s">
        <v>30</v>
      </c>
      <c r="O632">
        <v>37219</v>
      </c>
      <c r="P632" t="s">
        <v>2396</v>
      </c>
      <c r="Q632" s="2">
        <v>0.09</v>
      </c>
      <c r="R632" s="2">
        <v>762</v>
      </c>
      <c r="S632" s="2">
        <v>10</v>
      </c>
      <c r="T632" t="s">
        <v>2397</v>
      </c>
      <c r="U632" s="6">
        <v>30627</v>
      </c>
      <c r="V632" s="2">
        <v>47037015401</v>
      </c>
      <c r="W632" s="2" t="s">
        <v>38</v>
      </c>
      <c r="X632" s="1">
        <v>45658</v>
      </c>
      <c r="Y632" s="2">
        <v>2900</v>
      </c>
      <c r="Z632" s="2">
        <v>0</v>
      </c>
      <c r="AA632" s="2">
        <v>2900</v>
      </c>
    </row>
    <row r="633" spans="1:27" x14ac:dyDescent="0.3">
      <c r="A633" s="3">
        <v>11</v>
      </c>
      <c r="B633" s="2" t="str">
        <f>"06308003400"</f>
        <v>06308003400</v>
      </c>
      <c r="C633" s="2" t="s">
        <v>2398</v>
      </c>
      <c r="D633" t="s">
        <v>2353</v>
      </c>
      <c r="E633" s="2" t="s">
        <v>30</v>
      </c>
      <c r="F633" s="2">
        <v>37138</v>
      </c>
      <c r="G633" s="2" t="s">
        <v>64</v>
      </c>
      <c r="H633" t="s">
        <v>99</v>
      </c>
      <c r="I633" s="6">
        <v>41297</v>
      </c>
      <c r="J633" s="2" t="s">
        <v>2399</v>
      </c>
      <c r="K633" s="2">
        <v>525</v>
      </c>
      <c r="L633" t="s">
        <v>35</v>
      </c>
      <c r="M633" t="s">
        <v>29</v>
      </c>
      <c r="N633" t="s">
        <v>30</v>
      </c>
      <c r="O633">
        <v>37219</v>
      </c>
      <c r="P633" t="s">
        <v>2400</v>
      </c>
      <c r="Q633" s="2">
        <v>0.09</v>
      </c>
      <c r="R633" s="2">
        <v>25</v>
      </c>
      <c r="S633" s="2">
        <v>150</v>
      </c>
      <c r="T633" t="s">
        <v>2401</v>
      </c>
      <c r="U633" s="6">
        <v>22388</v>
      </c>
      <c r="V633" s="2">
        <v>47037010502</v>
      </c>
      <c r="W633" s="2" t="s">
        <v>38</v>
      </c>
      <c r="X633" s="1">
        <v>45658</v>
      </c>
      <c r="Y633" s="2">
        <v>3000</v>
      </c>
      <c r="Z633" s="2">
        <v>0</v>
      </c>
      <c r="AA633" s="2">
        <v>3000</v>
      </c>
    </row>
    <row r="634" spans="1:27" x14ac:dyDescent="0.3">
      <c r="A634" s="3">
        <v>11</v>
      </c>
      <c r="B634" s="2" t="str">
        <f>"06409027900"</f>
        <v>06409027900</v>
      </c>
      <c r="C634" s="2" t="s">
        <v>28</v>
      </c>
      <c r="D634" t="s">
        <v>2353</v>
      </c>
      <c r="E634" s="2" t="s">
        <v>30</v>
      </c>
      <c r="F634" s="2">
        <v>37138</v>
      </c>
      <c r="G634" s="2" t="s">
        <v>64</v>
      </c>
      <c r="H634" t="s">
        <v>99</v>
      </c>
      <c r="I634" s="6">
        <v>42139</v>
      </c>
      <c r="J634" s="2" t="s">
        <v>2402</v>
      </c>
      <c r="K634" s="2">
        <v>567</v>
      </c>
      <c r="L634" t="s">
        <v>35</v>
      </c>
      <c r="M634" t="s">
        <v>29</v>
      </c>
      <c r="N634" t="s">
        <v>30</v>
      </c>
      <c r="O634">
        <v>37219</v>
      </c>
      <c r="P634" t="s">
        <v>2403</v>
      </c>
      <c r="Q634" s="2">
        <v>0.11</v>
      </c>
      <c r="R634" s="2">
        <v>20</v>
      </c>
      <c r="S634" s="2">
        <v>244</v>
      </c>
      <c r="T634" t="s">
        <v>2404</v>
      </c>
      <c r="U634" s="6">
        <v>31135</v>
      </c>
      <c r="V634" s="2">
        <v>47037010502</v>
      </c>
      <c r="W634" s="2" t="s">
        <v>38</v>
      </c>
      <c r="X634" s="1">
        <v>45658</v>
      </c>
      <c r="Y634" s="2">
        <v>1500</v>
      </c>
      <c r="Z634" s="2">
        <v>0</v>
      </c>
      <c r="AA634" s="2">
        <v>1500</v>
      </c>
    </row>
    <row r="635" spans="1:27" x14ac:dyDescent="0.3">
      <c r="A635" s="3">
        <v>11</v>
      </c>
      <c r="B635" s="2" t="str">
        <f>"04411020600"</f>
        <v>04411020600</v>
      </c>
      <c r="C635" s="2" t="s">
        <v>2405</v>
      </c>
      <c r="D635" t="s">
        <v>2353</v>
      </c>
      <c r="E635" s="2" t="s">
        <v>30</v>
      </c>
      <c r="F635" s="2">
        <v>37138</v>
      </c>
      <c r="G635" s="2" t="s">
        <v>147</v>
      </c>
      <c r="H635" t="s">
        <v>2406</v>
      </c>
      <c r="I635" s="6">
        <v>31545</v>
      </c>
      <c r="J635" s="2" t="s">
        <v>2407</v>
      </c>
      <c r="K635" s="2" t="s">
        <v>34</v>
      </c>
      <c r="L635" t="s">
        <v>35</v>
      </c>
      <c r="M635" t="s">
        <v>29</v>
      </c>
      <c r="N635" t="s">
        <v>30</v>
      </c>
      <c r="O635">
        <v>37219</v>
      </c>
      <c r="P635" t="s">
        <v>2408</v>
      </c>
      <c r="Q635" s="2">
        <v>0.85</v>
      </c>
      <c r="R635" s="2">
        <v>144</v>
      </c>
      <c r="S635" s="2">
        <v>240</v>
      </c>
      <c r="T635" t="s">
        <v>2407</v>
      </c>
      <c r="U635" s="6">
        <v>31545</v>
      </c>
      <c r="V635" s="2">
        <v>47037010501</v>
      </c>
      <c r="W635" s="2" t="s">
        <v>38</v>
      </c>
      <c r="X635" s="1">
        <v>45658</v>
      </c>
      <c r="Y635" s="2">
        <v>207300</v>
      </c>
      <c r="Z635" s="2">
        <v>0</v>
      </c>
      <c r="AA635" s="2">
        <v>207300</v>
      </c>
    </row>
    <row r="636" spans="1:27" x14ac:dyDescent="0.3">
      <c r="A636" s="3">
        <v>11</v>
      </c>
      <c r="B636" s="2" t="str">
        <f>"04415032500"</f>
        <v>04415032500</v>
      </c>
      <c r="C636" s="2" t="s">
        <v>2409</v>
      </c>
      <c r="D636" t="s">
        <v>2353</v>
      </c>
      <c r="E636" s="2" t="s">
        <v>30</v>
      </c>
      <c r="F636" s="2">
        <v>37138</v>
      </c>
      <c r="G636" s="2" t="s">
        <v>901</v>
      </c>
      <c r="H636" t="s">
        <v>2410</v>
      </c>
      <c r="I636" s="6">
        <v>29081</v>
      </c>
      <c r="J636" s="2" t="s">
        <v>2411</v>
      </c>
      <c r="K636" s="2" t="s">
        <v>34</v>
      </c>
      <c r="L636" t="s">
        <v>35</v>
      </c>
      <c r="M636" t="s">
        <v>29</v>
      </c>
      <c r="N636" t="s">
        <v>30</v>
      </c>
      <c r="O636">
        <v>37219</v>
      </c>
      <c r="P636" t="s">
        <v>2412</v>
      </c>
      <c r="Q636" s="2">
        <v>0.46</v>
      </c>
      <c r="R636" s="2">
        <v>146</v>
      </c>
      <c r="S636" s="2">
        <v>137</v>
      </c>
      <c r="T636" t="s">
        <v>2411</v>
      </c>
      <c r="U636" s="6">
        <v>29081</v>
      </c>
      <c r="V636" s="2">
        <v>47037010501</v>
      </c>
      <c r="W636" s="2" t="s">
        <v>38</v>
      </c>
      <c r="X636" s="1">
        <v>45658</v>
      </c>
      <c r="Y636" s="2">
        <v>120000</v>
      </c>
      <c r="Z636" s="2">
        <v>0</v>
      </c>
      <c r="AA636" s="2">
        <v>120000</v>
      </c>
    </row>
    <row r="637" spans="1:27" x14ac:dyDescent="0.3">
      <c r="A637" s="3">
        <v>11</v>
      </c>
      <c r="B637" s="2" t="str">
        <f>"05303000300"</f>
        <v>05303000300</v>
      </c>
      <c r="C637" s="2" t="s">
        <v>2413</v>
      </c>
      <c r="D637" t="s">
        <v>2353</v>
      </c>
      <c r="E637" s="2" t="s">
        <v>30</v>
      </c>
      <c r="F637" s="2">
        <v>37138</v>
      </c>
      <c r="G637" s="2" t="s">
        <v>152</v>
      </c>
      <c r="H637" t="s">
        <v>176</v>
      </c>
      <c r="I637" s="6">
        <v>21114</v>
      </c>
      <c r="J637" s="2" t="s">
        <v>2414</v>
      </c>
      <c r="K637" s="2" t="s">
        <v>34</v>
      </c>
      <c r="L637" t="s">
        <v>178</v>
      </c>
      <c r="M637" t="s">
        <v>29</v>
      </c>
      <c r="N637" t="s">
        <v>30</v>
      </c>
      <c r="O637">
        <v>37246</v>
      </c>
      <c r="P637" t="s">
        <v>2415</v>
      </c>
      <c r="Q637" s="2">
        <v>1.63</v>
      </c>
      <c r="R637" s="2">
        <v>278</v>
      </c>
      <c r="S637" s="2">
        <v>314</v>
      </c>
      <c r="T637" t="s">
        <v>2414</v>
      </c>
      <c r="U637" s="6">
        <v>21114</v>
      </c>
      <c r="V637" s="2">
        <v>47037010501</v>
      </c>
      <c r="W637" s="2" t="s">
        <v>38</v>
      </c>
      <c r="X637" s="1">
        <v>45658</v>
      </c>
      <c r="Y637" s="2">
        <v>369400</v>
      </c>
      <c r="Z637" s="2">
        <v>0</v>
      </c>
      <c r="AA637" s="2">
        <v>369400</v>
      </c>
    </row>
    <row r="638" spans="1:27" x14ac:dyDescent="0.3">
      <c r="A638" s="3">
        <v>11</v>
      </c>
      <c r="B638" s="2" t="str">
        <f>"05312019700"</f>
        <v>05312019700</v>
      </c>
      <c r="C638" s="2" t="s">
        <v>2416</v>
      </c>
      <c r="D638" t="s">
        <v>2353</v>
      </c>
      <c r="E638" s="2" t="s">
        <v>30</v>
      </c>
      <c r="F638" s="2">
        <v>37138</v>
      </c>
      <c r="G638" s="2" t="s">
        <v>152</v>
      </c>
      <c r="H638" t="s">
        <v>176</v>
      </c>
      <c r="I638" s="6">
        <v>19077</v>
      </c>
      <c r="J638" s="2" t="s">
        <v>2417</v>
      </c>
      <c r="K638" s="2">
        <v>875</v>
      </c>
      <c r="L638" t="s">
        <v>178</v>
      </c>
      <c r="M638" t="s">
        <v>29</v>
      </c>
      <c r="N638" t="s">
        <v>30</v>
      </c>
      <c r="O638">
        <v>37246</v>
      </c>
      <c r="P638" t="s">
        <v>2418</v>
      </c>
      <c r="Q638" s="2">
        <v>0.25</v>
      </c>
      <c r="R638" s="2">
        <v>75</v>
      </c>
      <c r="S638" s="2">
        <v>145</v>
      </c>
      <c r="T638" t="s">
        <v>2419</v>
      </c>
      <c r="U638" s="6">
        <v>27689</v>
      </c>
      <c r="V638" s="2">
        <v>47037010502</v>
      </c>
      <c r="W638" s="2" t="s">
        <v>38</v>
      </c>
      <c r="X638" s="1">
        <v>45658</v>
      </c>
      <c r="Y638" s="2">
        <v>108800</v>
      </c>
      <c r="Z638" s="2">
        <v>0</v>
      </c>
      <c r="AA638" s="2">
        <v>108800</v>
      </c>
    </row>
    <row r="639" spans="1:27" x14ac:dyDescent="0.3">
      <c r="A639" s="3">
        <v>11</v>
      </c>
      <c r="B639" s="2" t="str">
        <f>"05316012700"</f>
        <v>05316012700</v>
      </c>
      <c r="C639" s="2" t="s">
        <v>2420</v>
      </c>
      <c r="D639" t="s">
        <v>2353</v>
      </c>
      <c r="E639" s="2" t="s">
        <v>30</v>
      </c>
      <c r="F639" s="2">
        <v>37138</v>
      </c>
      <c r="G639" s="2" t="s">
        <v>64</v>
      </c>
      <c r="H639" t="s">
        <v>206</v>
      </c>
      <c r="I639" s="6">
        <v>40691</v>
      </c>
      <c r="J639" s="2" t="s">
        <v>2354</v>
      </c>
      <c r="K639" s="2">
        <v>0</v>
      </c>
      <c r="L639" t="s">
        <v>35</v>
      </c>
      <c r="M639" t="s">
        <v>29</v>
      </c>
      <c r="N639" t="s">
        <v>30</v>
      </c>
      <c r="O639">
        <v>37219</v>
      </c>
      <c r="P639" t="s">
        <v>2421</v>
      </c>
      <c r="Q639" s="2">
        <v>1.19</v>
      </c>
      <c r="R639" s="2">
        <v>0</v>
      </c>
      <c r="S639" s="2">
        <v>0</v>
      </c>
      <c r="T639" t="s">
        <v>2422</v>
      </c>
      <c r="U639" s="6">
        <v>27341</v>
      </c>
      <c r="V639" s="2">
        <v>47037010502</v>
      </c>
      <c r="W639" s="2" t="s">
        <v>38</v>
      </c>
      <c r="X639" s="1">
        <v>45658</v>
      </c>
      <c r="Y639" s="2">
        <v>188700</v>
      </c>
      <c r="Z639" s="2">
        <v>0</v>
      </c>
      <c r="AA639" s="2">
        <v>188700</v>
      </c>
    </row>
    <row r="640" spans="1:27" x14ac:dyDescent="0.3">
      <c r="A640" s="3">
        <v>11</v>
      </c>
      <c r="B640" s="2" t="str">
        <f>"05307000100"</f>
        <v>05307000100</v>
      </c>
      <c r="C640" s="2" t="s">
        <v>2423</v>
      </c>
      <c r="D640" t="s">
        <v>2353</v>
      </c>
      <c r="E640" s="2" t="s">
        <v>30</v>
      </c>
      <c r="F640" s="2">
        <v>37138</v>
      </c>
      <c r="G640" s="2" t="s">
        <v>64</v>
      </c>
      <c r="H640" t="s">
        <v>211</v>
      </c>
      <c r="I640" s="6">
        <v>41438</v>
      </c>
      <c r="J640" s="2" t="s">
        <v>2424</v>
      </c>
      <c r="K640" s="2">
        <v>0</v>
      </c>
      <c r="L640" t="s">
        <v>35</v>
      </c>
      <c r="M640" t="s">
        <v>29</v>
      </c>
      <c r="N640" t="s">
        <v>30</v>
      </c>
      <c r="O640">
        <v>37219</v>
      </c>
      <c r="P640" t="s">
        <v>2425</v>
      </c>
      <c r="Q640" s="2">
        <v>6.01</v>
      </c>
      <c r="R640" s="2">
        <v>500</v>
      </c>
      <c r="S640" s="2">
        <v>134</v>
      </c>
      <c r="T640" t="s">
        <v>2426</v>
      </c>
      <c r="U640" s="6">
        <v>21503</v>
      </c>
      <c r="V640" s="2">
        <v>47037010501</v>
      </c>
      <c r="W640" s="2" t="s">
        <v>38</v>
      </c>
      <c r="X640" s="1">
        <v>45658</v>
      </c>
      <c r="Y640" s="2">
        <v>356400</v>
      </c>
      <c r="Z640" s="2">
        <v>0</v>
      </c>
      <c r="AA640" s="2">
        <v>356400</v>
      </c>
    </row>
    <row r="641" spans="1:27" x14ac:dyDescent="0.3">
      <c r="A641" s="3">
        <v>11</v>
      </c>
      <c r="B641" s="2" t="str">
        <f>"06308003100"</f>
        <v>06308003100</v>
      </c>
      <c r="C641" s="2" t="s">
        <v>2427</v>
      </c>
      <c r="D641" t="s">
        <v>2353</v>
      </c>
      <c r="E641" s="2" t="s">
        <v>30</v>
      </c>
      <c r="F641" s="2">
        <v>37138</v>
      </c>
      <c r="G641" s="2" t="s">
        <v>64</v>
      </c>
      <c r="H641" t="s">
        <v>211</v>
      </c>
      <c r="I641" s="6">
        <v>28789</v>
      </c>
      <c r="J641" s="2" t="s">
        <v>2428</v>
      </c>
      <c r="K641" s="2">
        <v>127</v>
      </c>
      <c r="L641" t="s">
        <v>35</v>
      </c>
      <c r="M641" t="s">
        <v>29</v>
      </c>
      <c r="N641" t="s">
        <v>30</v>
      </c>
      <c r="O641">
        <v>37219</v>
      </c>
      <c r="P641" t="s">
        <v>2429</v>
      </c>
      <c r="Q641" s="2">
        <v>0.09</v>
      </c>
      <c r="R641" s="2">
        <v>25</v>
      </c>
      <c r="S641" s="2">
        <v>150</v>
      </c>
      <c r="T641" t="s">
        <v>2430</v>
      </c>
      <c r="U641" s="6">
        <v>26737</v>
      </c>
      <c r="V641" s="2">
        <v>47037010502</v>
      </c>
      <c r="W641" s="2" t="s">
        <v>38</v>
      </c>
      <c r="X641" s="1">
        <v>45658</v>
      </c>
      <c r="Y641" s="2">
        <v>3000</v>
      </c>
      <c r="Z641" s="2">
        <v>0</v>
      </c>
      <c r="AA641" s="2">
        <v>3000</v>
      </c>
    </row>
    <row r="642" spans="1:27" x14ac:dyDescent="0.3">
      <c r="A642" s="3">
        <v>11</v>
      </c>
      <c r="B642" s="2" t="str">
        <f>"06308003200"</f>
        <v>06308003200</v>
      </c>
      <c r="C642" s="2" t="s">
        <v>2427</v>
      </c>
      <c r="D642" t="s">
        <v>2353</v>
      </c>
      <c r="E642" s="2" t="s">
        <v>30</v>
      </c>
      <c r="F642" s="2">
        <v>37138</v>
      </c>
      <c r="G642" s="2" t="s">
        <v>64</v>
      </c>
      <c r="H642" t="s">
        <v>211</v>
      </c>
      <c r="I642" s="6">
        <v>27011</v>
      </c>
      <c r="J642" s="2" t="s">
        <v>2431</v>
      </c>
      <c r="K642" s="2">
        <v>127</v>
      </c>
      <c r="L642" t="s">
        <v>35</v>
      </c>
      <c r="M642" t="s">
        <v>29</v>
      </c>
      <c r="N642" t="s">
        <v>30</v>
      </c>
      <c r="O642">
        <v>37219</v>
      </c>
      <c r="P642" t="s">
        <v>2432</v>
      </c>
      <c r="Q642" s="2">
        <v>0.09</v>
      </c>
      <c r="R642" s="2">
        <v>50</v>
      </c>
      <c r="S642" s="2">
        <v>75</v>
      </c>
      <c r="T642" t="s">
        <v>2401</v>
      </c>
      <c r="U642" s="6">
        <v>22418</v>
      </c>
      <c r="V642" s="2">
        <v>47037010502</v>
      </c>
      <c r="W642" s="2" t="s">
        <v>38</v>
      </c>
      <c r="X642" s="1">
        <v>45658</v>
      </c>
      <c r="Y642" s="2">
        <v>3000</v>
      </c>
      <c r="Z642" s="2">
        <v>0</v>
      </c>
      <c r="AA642" s="2">
        <v>3000</v>
      </c>
    </row>
    <row r="643" spans="1:27" x14ac:dyDescent="0.3">
      <c r="A643" s="3">
        <v>11</v>
      </c>
      <c r="B643" s="2" t="str">
        <f>"06312002400"</f>
        <v>06312002400</v>
      </c>
      <c r="C643" s="2" t="s">
        <v>2433</v>
      </c>
      <c r="D643" t="s">
        <v>2353</v>
      </c>
      <c r="E643" s="2" t="s">
        <v>30</v>
      </c>
      <c r="F643" s="2">
        <v>37138</v>
      </c>
      <c r="G643" s="2" t="s">
        <v>64</v>
      </c>
      <c r="H643" t="s">
        <v>211</v>
      </c>
      <c r="I643" s="6">
        <v>33374</v>
      </c>
      <c r="J643" s="2" t="s">
        <v>2434</v>
      </c>
      <c r="K643" s="2">
        <v>585</v>
      </c>
      <c r="L643" t="s">
        <v>35</v>
      </c>
      <c r="M643" t="s">
        <v>29</v>
      </c>
      <c r="N643" t="s">
        <v>30</v>
      </c>
      <c r="O643">
        <v>37219</v>
      </c>
      <c r="P643" t="s">
        <v>2435</v>
      </c>
      <c r="Q643" s="2">
        <v>0.1</v>
      </c>
      <c r="R643" s="2">
        <v>20</v>
      </c>
      <c r="S643" s="2">
        <v>102</v>
      </c>
      <c r="T643" t="s">
        <v>2436</v>
      </c>
      <c r="U643" s="6">
        <v>31135</v>
      </c>
      <c r="V643" s="2">
        <v>47037010502</v>
      </c>
      <c r="W643" s="2" t="s">
        <v>38</v>
      </c>
      <c r="X643" s="1">
        <v>45658</v>
      </c>
      <c r="Y643" s="2">
        <v>3000</v>
      </c>
      <c r="Z643" s="2">
        <v>0</v>
      </c>
      <c r="AA643" s="2">
        <v>3000</v>
      </c>
    </row>
    <row r="644" spans="1:27" x14ac:dyDescent="0.3">
      <c r="A644" s="3">
        <v>11</v>
      </c>
      <c r="B644" s="2" t="str">
        <f>"05315002400"</f>
        <v>05315002400</v>
      </c>
      <c r="C644" s="2" t="s">
        <v>2437</v>
      </c>
      <c r="D644" t="s">
        <v>2353</v>
      </c>
      <c r="E644" s="2" t="s">
        <v>30</v>
      </c>
      <c r="F644" s="2">
        <v>37138</v>
      </c>
      <c r="G644" s="2" t="s">
        <v>31</v>
      </c>
      <c r="H644" t="s">
        <v>211</v>
      </c>
      <c r="I644" s="6">
        <v>40691</v>
      </c>
      <c r="J644" s="2" t="s">
        <v>2354</v>
      </c>
      <c r="K644" s="2">
        <v>0</v>
      </c>
      <c r="L644" t="s">
        <v>35</v>
      </c>
      <c r="M644" t="s">
        <v>29</v>
      </c>
      <c r="N644" t="s">
        <v>30</v>
      </c>
      <c r="O644">
        <v>37219</v>
      </c>
      <c r="P644" t="s">
        <v>2438</v>
      </c>
      <c r="Q644" s="2">
        <v>42.92</v>
      </c>
      <c r="R644" s="2">
        <v>0</v>
      </c>
      <c r="S644" s="2">
        <v>0</v>
      </c>
      <c r="T644" t="s">
        <v>2362</v>
      </c>
      <c r="U644" s="6">
        <v>39636</v>
      </c>
      <c r="V644" s="2">
        <v>47037010502</v>
      </c>
      <c r="W644" s="2" t="s">
        <v>38</v>
      </c>
      <c r="X644" s="1">
        <v>45658</v>
      </c>
      <c r="Y644" s="2">
        <v>733200</v>
      </c>
      <c r="Z644" s="2">
        <v>0</v>
      </c>
      <c r="AA644" s="2">
        <v>733200</v>
      </c>
    </row>
    <row r="645" spans="1:27" x14ac:dyDescent="0.3">
      <c r="A645" s="3">
        <v>11</v>
      </c>
      <c r="B645" s="2" t="str">
        <f>"06400002000"</f>
        <v>06400002000</v>
      </c>
      <c r="C645" s="2" t="s">
        <v>2439</v>
      </c>
      <c r="D645" t="s">
        <v>2353</v>
      </c>
      <c r="E645" s="2" t="s">
        <v>30</v>
      </c>
      <c r="F645" s="2">
        <v>37138</v>
      </c>
      <c r="G645" s="2" t="s">
        <v>253</v>
      </c>
      <c r="H645" t="s">
        <v>2440</v>
      </c>
      <c r="I645" s="6">
        <v>19486</v>
      </c>
      <c r="J645" s="2" t="s">
        <v>2441</v>
      </c>
      <c r="K645" s="2" t="s">
        <v>34</v>
      </c>
      <c r="L645" t="s">
        <v>35</v>
      </c>
      <c r="M645" t="s">
        <v>29</v>
      </c>
      <c r="N645" t="s">
        <v>30</v>
      </c>
      <c r="O645">
        <v>37219</v>
      </c>
      <c r="P645" t="s">
        <v>2442</v>
      </c>
      <c r="Q645" s="2">
        <v>15.09</v>
      </c>
      <c r="R645" s="2">
        <v>0</v>
      </c>
      <c r="S645" s="2">
        <v>0</v>
      </c>
      <c r="T645" t="s">
        <v>278</v>
      </c>
      <c r="U645" s="6">
        <v>34997</v>
      </c>
      <c r="V645" s="2">
        <v>47037015401</v>
      </c>
      <c r="W645" s="2" t="s">
        <v>38</v>
      </c>
      <c r="X645" s="1">
        <v>45658</v>
      </c>
      <c r="Y645" s="2">
        <v>572000</v>
      </c>
      <c r="Z645" s="2">
        <v>0</v>
      </c>
      <c r="AA645" s="2">
        <v>572000</v>
      </c>
    </row>
    <row r="646" spans="1:27" x14ac:dyDescent="0.3">
      <c r="A646" s="3">
        <v>11</v>
      </c>
      <c r="B646" s="2" t="str">
        <f>"05307006000"</f>
        <v>05307006000</v>
      </c>
      <c r="C646" s="2" t="s">
        <v>2443</v>
      </c>
      <c r="D646" t="s">
        <v>2353</v>
      </c>
      <c r="E646" s="2" t="s">
        <v>30</v>
      </c>
      <c r="F646" s="2">
        <v>37138</v>
      </c>
      <c r="G646" s="2" t="s">
        <v>253</v>
      </c>
      <c r="H646" t="s">
        <v>2444</v>
      </c>
      <c r="I646" s="6">
        <v>13395</v>
      </c>
      <c r="J646" s="2" t="s">
        <v>2445</v>
      </c>
      <c r="K646" s="2" t="s">
        <v>34</v>
      </c>
      <c r="L646" t="s">
        <v>35</v>
      </c>
      <c r="M646" t="s">
        <v>29</v>
      </c>
      <c r="N646" t="s">
        <v>30</v>
      </c>
      <c r="O646">
        <v>37219</v>
      </c>
      <c r="P646" t="s">
        <v>2446</v>
      </c>
      <c r="Q646" s="2">
        <v>11.54</v>
      </c>
      <c r="R646" s="2">
        <v>0</v>
      </c>
      <c r="S646" s="2">
        <v>0</v>
      </c>
      <c r="T646" t="s">
        <v>2447</v>
      </c>
      <c r="U646" s="6">
        <v>27684</v>
      </c>
      <c r="V646" s="2">
        <v>47037010501</v>
      </c>
      <c r="W646" s="2" t="s">
        <v>38</v>
      </c>
      <c r="X646" s="1">
        <v>45658</v>
      </c>
      <c r="Y646" s="2">
        <v>535400</v>
      </c>
      <c r="Z646" s="2">
        <v>0</v>
      </c>
      <c r="AA646" s="2">
        <v>535400</v>
      </c>
    </row>
    <row r="647" spans="1:27" x14ac:dyDescent="0.3">
      <c r="A647" s="3">
        <v>11</v>
      </c>
      <c r="B647" s="2" t="str">
        <f>"04414013100"</f>
        <v>04414013100</v>
      </c>
      <c r="C647" s="2" t="s">
        <v>2448</v>
      </c>
      <c r="D647" t="s">
        <v>2353</v>
      </c>
      <c r="E647" s="2" t="s">
        <v>30</v>
      </c>
      <c r="F647" s="2">
        <v>37138</v>
      </c>
      <c r="G647" s="2" t="s">
        <v>253</v>
      </c>
      <c r="H647" t="s">
        <v>2444</v>
      </c>
      <c r="I647" s="6">
        <v>17547</v>
      </c>
      <c r="J647" s="2" t="s">
        <v>2449</v>
      </c>
      <c r="K647" s="2" t="s">
        <v>34</v>
      </c>
      <c r="L647" t="s">
        <v>35</v>
      </c>
      <c r="M647" t="s">
        <v>29</v>
      </c>
      <c r="N647" t="s">
        <v>30</v>
      </c>
      <c r="O647">
        <v>37219</v>
      </c>
      <c r="P647" t="s">
        <v>2450</v>
      </c>
      <c r="Q647" s="2">
        <v>9.8000000000000007</v>
      </c>
      <c r="R647" s="2">
        <v>0</v>
      </c>
      <c r="S647" s="2">
        <v>0</v>
      </c>
      <c r="T647" t="s">
        <v>2449</v>
      </c>
      <c r="U647" s="6">
        <v>17547</v>
      </c>
      <c r="V647" s="2">
        <v>47037010501</v>
      </c>
      <c r="W647" s="2" t="s">
        <v>38</v>
      </c>
      <c r="X647" s="1">
        <v>45658</v>
      </c>
      <c r="Y647" s="2">
        <v>472800</v>
      </c>
      <c r="Z647" s="2">
        <v>0</v>
      </c>
      <c r="AA647" s="2">
        <v>472800</v>
      </c>
    </row>
    <row r="648" spans="1:27" x14ac:dyDescent="0.3">
      <c r="A648" s="3">
        <v>11</v>
      </c>
      <c r="B648" s="2" t="str">
        <f>"04410001800"</f>
        <v>04410001800</v>
      </c>
      <c r="C648" s="2" t="s">
        <v>2451</v>
      </c>
      <c r="D648" t="s">
        <v>2353</v>
      </c>
      <c r="E648" s="2" t="s">
        <v>30</v>
      </c>
      <c r="F648" s="2">
        <v>37138</v>
      </c>
      <c r="G648" s="2" t="s">
        <v>152</v>
      </c>
      <c r="H648" t="s">
        <v>280</v>
      </c>
      <c r="I648" s="6">
        <v>41438</v>
      </c>
      <c r="J648" s="2" t="s">
        <v>2424</v>
      </c>
      <c r="K648" s="2">
        <v>0</v>
      </c>
      <c r="L648" t="s">
        <v>35</v>
      </c>
      <c r="M648" t="s">
        <v>29</v>
      </c>
      <c r="N648" t="s">
        <v>30</v>
      </c>
      <c r="O648">
        <v>37219</v>
      </c>
      <c r="P648" t="s">
        <v>2452</v>
      </c>
      <c r="Q648" s="2">
        <v>1.1399999999999999</v>
      </c>
      <c r="R648" s="2">
        <v>0</v>
      </c>
      <c r="S648" s="2">
        <v>0</v>
      </c>
      <c r="T648" t="s">
        <v>2453</v>
      </c>
      <c r="U648" s="6">
        <v>23036</v>
      </c>
      <c r="V648" s="2">
        <v>47037010501</v>
      </c>
      <c r="W648" s="2" t="s">
        <v>38</v>
      </c>
      <c r="X648" s="1">
        <v>45658</v>
      </c>
      <c r="Y648" s="2">
        <v>337700</v>
      </c>
      <c r="Z648" s="2">
        <v>0</v>
      </c>
      <c r="AA648" s="2">
        <v>337700</v>
      </c>
    </row>
    <row r="649" spans="1:27" x14ac:dyDescent="0.3">
      <c r="A649" s="3">
        <v>11</v>
      </c>
      <c r="B649" s="2" t="str">
        <f>"04411001100"</f>
        <v>04411001100</v>
      </c>
      <c r="C649" s="2" t="s">
        <v>2454</v>
      </c>
      <c r="D649" t="s">
        <v>2353</v>
      </c>
      <c r="E649" s="2" t="s">
        <v>30</v>
      </c>
      <c r="F649" s="2">
        <v>37138</v>
      </c>
      <c r="G649" s="2" t="s">
        <v>152</v>
      </c>
      <c r="H649" t="s">
        <v>280</v>
      </c>
      <c r="I649" s="6">
        <v>41438</v>
      </c>
      <c r="J649" s="2" t="s">
        <v>2424</v>
      </c>
      <c r="K649" s="2">
        <v>0</v>
      </c>
      <c r="L649" t="s">
        <v>35</v>
      </c>
      <c r="M649" t="s">
        <v>29</v>
      </c>
      <c r="N649" t="s">
        <v>30</v>
      </c>
      <c r="O649">
        <v>37219</v>
      </c>
      <c r="P649" t="s">
        <v>2455</v>
      </c>
      <c r="Q649" s="2">
        <v>11.09</v>
      </c>
      <c r="R649" s="2">
        <v>0</v>
      </c>
      <c r="S649" s="2">
        <v>0</v>
      </c>
      <c r="T649" t="s">
        <v>2407</v>
      </c>
      <c r="U649" s="6">
        <v>31545</v>
      </c>
      <c r="V649" s="2">
        <v>47037010501</v>
      </c>
      <c r="W649" s="2" t="s">
        <v>38</v>
      </c>
      <c r="X649" s="1">
        <v>45658</v>
      </c>
      <c r="Y649" s="2">
        <v>2033900</v>
      </c>
      <c r="Z649" s="2">
        <v>0</v>
      </c>
      <c r="AA649" s="2">
        <v>2033900</v>
      </c>
    </row>
    <row r="650" spans="1:27" x14ac:dyDescent="0.3">
      <c r="A650" s="3">
        <v>11</v>
      </c>
      <c r="B650" s="2" t="str">
        <f>"04411000700"</f>
        <v>04411000700</v>
      </c>
      <c r="C650" s="2" t="s">
        <v>2456</v>
      </c>
      <c r="D650" t="s">
        <v>2353</v>
      </c>
      <c r="E650" s="2" t="s">
        <v>30</v>
      </c>
      <c r="F650" s="2">
        <v>37138</v>
      </c>
      <c r="G650" s="2" t="s">
        <v>152</v>
      </c>
      <c r="H650" t="s">
        <v>280</v>
      </c>
      <c r="I650" s="6">
        <v>41438</v>
      </c>
      <c r="J650" s="2" t="s">
        <v>2424</v>
      </c>
      <c r="K650" s="2">
        <v>0</v>
      </c>
      <c r="L650" t="s">
        <v>35</v>
      </c>
      <c r="M650" t="s">
        <v>29</v>
      </c>
      <c r="N650" t="s">
        <v>30</v>
      </c>
      <c r="O650">
        <v>37219</v>
      </c>
      <c r="P650" t="s">
        <v>2457</v>
      </c>
      <c r="Q650" s="2">
        <v>1.35</v>
      </c>
      <c r="R650" s="2">
        <v>0</v>
      </c>
      <c r="S650" s="2">
        <v>0</v>
      </c>
      <c r="T650" t="s">
        <v>2458</v>
      </c>
      <c r="U650" s="6">
        <v>18947</v>
      </c>
      <c r="V650" s="2">
        <v>47037010501</v>
      </c>
      <c r="W650" s="2" t="s">
        <v>38</v>
      </c>
      <c r="X650" s="1">
        <v>45658</v>
      </c>
      <c r="Y650" s="2">
        <v>329300</v>
      </c>
      <c r="Z650" s="2">
        <v>0</v>
      </c>
      <c r="AA650" s="2">
        <v>329300</v>
      </c>
    </row>
    <row r="651" spans="1:27" x14ac:dyDescent="0.3">
      <c r="A651" s="3">
        <v>11</v>
      </c>
      <c r="B651" s="2" t="str">
        <f>"05300000800"</f>
        <v>05300000800</v>
      </c>
      <c r="C651" s="2" t="s">
        <v>2459</v>
      </c>
      <c r="D651" t="s">
        <v>2353</v>
      </c>
      <c r="E651" s="2" t="s">
        <v>30</v>
      </c>
      <c r="F651" s="2">
        <v>37138</v>
      </c>
      <c r="G651" s="2" t="s">
        <v>152</v>
      </c>
      <c r="H651" t="s">
        <v>280</v>
      </c>
      <c r="I651" s="6">
        <v>41438</v>
      </c>
      <c r="J651" s="2" t="s">
        <v>2424</v>
      </c>
      <c r="K651" s="2">
        <v>0</v>
      </c>
      <c r="L651" t="s">
        <v>35</v>
      </c>
      <c r="M651" t="s">
        <v>29</v>
      </c>
      <c r="N651" t="s">
        <v>30</v>
      </c>
      <c r="O651">
        <v>37219</v>
      </c>
      <c r="P651" t="s">
        <v>2460</v>
      </c>
      <c r="Q651" s="2">
        <v>5.8</v>
      </c>
      <c r="R651" s="2">
        <v>0</v>
      </c>
      <c r="S651" s="2">
        <v>0</v>
      </c>
      <c r="T651" t="s">
        <v>2458</v>
      </c>
      <c r="U651" s="6">
        <v>18947</v>
      </c>
      <c r="V651" s="2">
        <v>47037010501</v>
      </c>
      <c r="W651" s="2" t="s">
        <v>38</v>
      </c>
      <c r="X651" s="1">
        <v>45658</v>
      </c>
      <c r="Y651" s="2">
        <v>1414900</v>
      </c>
      <c r="Z651" s="2">
        <v>0</v>
      </c>
      <c r="AA651" s="2">
        <v>1414900</v>
      </c>
    </row>
    <row r="652" spans="1:27" x14ac:dyDescent="0.3">
      <c r="A652" s="3">
        <v>11</v>
      </c>
      <c r="B652" s="2" t="str">
        <f>"06400011200"</f>
        <v>06400011200</v>
      </c>
      <c r="C652" s="2" t="s">
        <v>2461</v>
      </c>
      <c r="D652" t="s">
        <v>2353</v>
      </c>
      <c r="E652" s="2" t="s">
        <v>30</v>
      </c>
      <c r="F652" s="2">
        <v>37138</v>
      </c>
      <c r="G652" s="2" t="s">
        <v>64</v>
      </c>
      <c r="H652" t="s">
        <v>280</v>
      </c>
      <c r="I652" s="6">
        <v>37825</v>
      </c>
      <c r="J652" s="2" t="s">
        <v>2462</v>
      </c>
      <c r="K652" s="2">
        <v>0</v>
      </c>
      <c r="L652" t="s">
        <v>35</v>
      </c>
      <c r="M652" t="s">
        <v>29</v>
      </c>
      <c r="N652" t="s">
        <v>30</v>
      </c>
      <c r="O652">
        <v>37219</v>
      </c>
      <c r="P652" t="s">
        <v>2463</v>
      </c>
      <c r="Q652" s="2">
        <v>0.24</v>
      </c>
      <c r="R652" s="2">
        <v>0</v>
      </c>
      <c r="S652" s="2">
        <v>0</v>
      </c>
      <c r="T652" t="s">
        <v>2464</v>
      </c>
      <c r="U652" s="6">
        <v>34471</v>
      </c>
      <c r="V652" s="2">
        <v>47037010502</v>
      </c>
      <c r="W652" s="2" t="s">
        <v>38</v>
      </c>
      <c r="X652" s="1">
        <v>45658</v>
      </c>
      <c r="Y652" s="2">
        <v>120000</v>
      </c>
      <c r="Z652" s="2">
        <v>0</v>
      </c>
      <c r="AA652" s="2">
        <v>120000</v>
      </c>
    </row>
    <row r="653" spans="1:27" x14ac:dyDescent="0.3">
      <c r="A653" s="3">
        <v>11</v>
      </c>
      <c r="B653" s="2" t="str">
        <f>"06408005300"</f>
        <v>06408005300</v>
      </c>
      <c r="C653" s="2" t="s">
        <v>2465</v>
      </c>
      <c r="D653" t="s">
        <v>2353</v>
      </c>
      <c r="E653" s="2" t="s">
        <v>30</v>
      </c>
      <c r="F653" s="2">
        <v>37138</v>
      </c>
      <c r="G653" s="2" t="s">
        <v>1253</v>
      </c>
      <c r="H653" t="s">
        <v>280</v>
      </c>
      <c r="I653" s="6">
        <v>34170</v>
      </c>
      <c r="J653" s="2" t="s">
        <v>2466</v>
      </c>
      <c r="K653" s="2">
        <v>0</v>
      </c>
      <c r="L653" t="s">
        <v>2247</v>
      </c>
      <c r="M653" t="s">
        <v>29</v>
      </c>
      <c r="N653" t="s">
        <v>30</v>
      </c>
      <c r="O653">
        <v>37219</v>
      </c>
      <c r="P653" t="s">
        <v>2467</v>
      </c>
      <c r="Q653" s="2">
        <v>0.28000000000000003</v>
      </c>
      <c r="R653" s="2">
        <v>29</v>
      </c>
      <c r="S653" s="2">
        <v>259</v>
      </c>
      <c r="T653" t="s">
        <v>2468</v>
      </c>
      <c r="U653" s="6">
        <v>28349</v>
      </c>
      <c r="V653" s="2">
        <v>47037015401</v>
      </c>
      <c r="W653" s="2" t="s">
        <v>38</v>
      </c>
      <c r="X653" s="1">
        <v>45658</v>
      </c>
      <c r="Y653" s="2">
        <v>2900</v>
      </c>
      <c r="Z653" s="2">
        <v>0</v>
      </c>
      <c r="AA653" s="2">
        <v>2900</v>
      </c>
    </row>
    <row r="654" spans="1:27" x14ac:dyDescent="0.3">
      <c r="A654" s="3">
        <v>11</v>
      </c>
      <c r="B654" s="2" t="str">
        <f>"06409009100"</f>
        <v>06409009100</v>
      </c>
      <c r="C654" s="2" t="s">
        <v>2469</v>
      </c>
      <c r="D654" t="s">
        <v>2353</v>
      </c>
      <c r="E654" s="2" t="s">
        <v>30</v>
      </c>
      <c r="F654" s="2">
        <v>37138</v>
      </c>
      <c r="G654" s="2" t="s">
        <v>64</v>
      </c>
      <c r="H654" t="s">
        <v>280</v>
      </c>
      <c r="I654" s="6">
        <v>43089</v>
      </c>
      <c r="J654" s="2" t="s">
        <v>2470</v>
      </c>
      <c r="K654" s="2" t="s">
        <v>34</v>
      </c>
      <c r="L654" t="s">
        <v>343</v>
      </c>
      <c r="M654" t="s">
        <v>29</v>
      </c>
      <c r="N654" t="s">
        <v>30</v>
      </c>
      <c r="O654">
        <v>37201</v>
      </c>
      <c r="P654" t="s">
        <v>2471</v>
      </c>
      <c r="Q654" s="2">
        <v>0.17</v>
      </c>
      <c r="R654" s="2">
        <v>54</v>
      </c>
      <c r="S654" s="2">
        <v>140</v>
      </c>
      <c r="T654" t="s">
        <v>2472</v>
      </c>
      <c r="U654" s="6">
        <v>17966</v>
      </c>
      <c r="V654" s="2">
        <v>47037010502</v>
      </c>
      <c r="W654" s="2" t="s">
        <v>38</v>
      </c>
      <c r="X654" s="1">
        <v>45658</v>
      </c>
      <c r="Y654" s="2">
        <v>71300</v>
      </c>
      <c r="Z654" s="2">
        <v>0</v>
      </c>
      <c r="AA654" s="2">
        <v>71300</v>
      </c>
    </row>
    <row r="655" spans="1:27" x14ac:dyDescent="0.3">
      <c r="A655" s="3">
        <v>11</v>
      </c>
      <c r="B655" s="2" t="str">
        <f>"04415043600"</f>
        <v>04415043600</v>
      </c>
      <c r="C655" s="2" t="s">
        <v>2473</v>
      </c>
      <c r="D655" t="s">
        <v>2353</v>
      </c>
      <c r="E655" s="2" t="s">
        <v>30</v>
      </c>
      <c r="F655" s="2">
        <v>37138</v>
      </c>
      <c r="G655" s="2" t="s">
        <v>152</v>
      </c>
      <c r="H655" t="s">
        <v>280</v>
      </c>
      <c r="I655" s="6">
        <v>41438</v>
      </c>
      <c r="J655" s="2" t="s">
        <v>2424</v>
      </c>
      <c r="K655" s="2">
        <v>0</v>
      </c>
      <c r="L655" t="s">
        <v>35</v>
      </c>
      <c r="M655" t="s">
        <v>29</v>
      </c>
      <c r="N655" t="s">
        <v>30</v>
      </c>
      <c r="O655">
        <v>37219</v>
      </c>
      <c r="P655" t="s">
        <v>2474</v>
      </c>
      <c r="Q655" s="2">
        <v>0.27</v>
      </c>
      <c r="R655" s="2">
        <v>0</v>
      </c>
      <c r="S655" s="2">
        <v>117</v>
      </c>
      <c r="T655" t="s">
        <v>209</v>
      </c>
      <c r="U655" s="6">
        <v>37091</v>
      </c>
      <c r="V655" s="2">
        <v>47037010501</v>
      </c>
      <c r="W655" s="2" t="s">
        <v>38</v>
      </c>
      <c r="X655" s="1">
        <v>45658</v>
      </c>
      <c r="Y655" s="2">
        <v>120000</v>
      </c>
      <c r="Z655" s="2">
        <v>0</v>
      </c>
      <c r="AA655" s="2">
        <v>120000</v>
      </c>
    </row>
    <row r="656" spans="1:27" x14ac:dyDescent="0.3">
      <c r="A656" s="3">
        <v>11</v>
      </c>
      <c r="B656" s="2" t="str">
        <f>"04415031800"</f>
        <v>04415031800</v>
      </c>
      <c r="C656" s="2" t="s">
        <v>2475</v>
      </c>
      <c r="D656" t="s">
        <v>2353</v>
      </c>
      <c r="E656" s="2" t="s">
        <v>30</v>
      </c>
      <c r="F656" s="2">
        <v>37138</v>
      </c>
      <c r="G656" s="2" t="s">
        <v>152</v>
      </c>
      <c r="H656" t="s">
        <v>280</v>
      </c>
      <c r="I656" s="6">
        <v>41438</v>
      </c>
      <c r="J656" s="2" t="s">
        <v>2424</v>
      </c>
      <c r="K656" s="2">
        <v>0</v>
      </c>
      <c r="L656" t="s">
        <v>35</v>
      </c>
      <c r="M656" t="s">
        <v>29</v>
      </c>
      <c r="N656" t="s">
        <v>30</v>
      </c>
      <c r="O656">
        <v>37219</v>
      </c>
      <c r="P656" t="s">
        <v>2476</v>
      </c>
      <c r="Q656" s="2">
        <v>0.53</v>
      </c>
      <c r="R656" s="2">
        <v>167</v>
      </c>
      <c r="S656" s="2">
        <v>135</v>
      </c>
      <c r="T656" t="s">
        <v>2477</v>
      </c>
      <c r="U656" s="6">
        <v>21503</v>
      </c>
      <c r="V656" s="2">
        <v>47037010501</v>
      </c>
      <c r="W656" s="2" t="s">
        <v>38</v>
      </c>
      <c r="X656" s="1">
        <v>45658</v>
      </c>
      <c r="Y656" s="2">
        <v>144000</v>
      </c>
      <c r="Z656" s="2">
        <v>0</v>
      </c>
      <c r="AA656" s="2">
        <v>144000</v>
      </c>
    </row>
    <row r="657" spans="1:27" x14ac:dyDescent="0.3">
      <c r="A657" s="3">
        <v>11</v>
      </c>
      <c r="B657" s="2" t="str">
        <f>"05302002300"</f>
        <v>05302002300</v>
      </c>
      <c r="C657" s="2" t="s">
        <v>2478</v>
      </c>
      <c r="D657" t="s">
        <v>2353</v>
      </c>
      <c r="E657" s="2" t="s">
        <v>30</v>
      </c>
      <c r="F657" s="2">
        <v>37138</v>
      </c>
      <c r="G657" s="2" t="s">
        <v>152</v>
      </c>
      <c r="H657" t="s">
        <v>280</v>
      </c>
      <c r="I657" s="6">
        <v>41438</v>
      </c>
      <c r="J657" s="2" t="s">
        <v>2424</v>
      </c>
      <c r="K657" s="2">
        <v>0</v>
      </c>
      <c r="L657" t="s">
        <v>35</v>
      </c>
      <c r="M657" t="s">
        <v>29</v>
      </c>
      <c r="N657" t="s">
        <v>30</v>
      </c>
      <c r="O657">
        <v>37219</v>
      </c>
      <c r="P657" t="s">
        <v>2479</v>
      </c>
      <c r="Q657" s="2">
        <v>1.61</v>
      </c>
      <c r="R657" s="2">
        <v>40</v>
      </c>
      <c r="S657" s="2">
        <v>359</v>
      </c>
      <c r="T657" t="s">
        <v>2426</v>
      </c>
      <c r="U657" s="6">
        <v>21503</v>
      </c>
      <c r="V657" s="2">
        <v>47037010501</v>
      </c>
      <c r="W657" s="2" t="s">
        <v>38</v>
      </c>
      <c r="X657" s="1">
        <v>45658</v>
      </c>
      <c r="Y657" s="2">
        <v>199900</v>
      </c>
      <c r="Z657" s="2">
        <v>0</v>
      </c>
      <c r="AA657" s="2">
        <v>199900</v>
      </c>
    </row>
    <row r="658" spans="1:27" x14ac:dyDescent="0.3">
      <c r="A658" s="3">
        <v>11</v>
      </c>
      <c r="B658" s="2" t="str">
        <f>"05303003000"</f>
        <v>05303003000</v>
      </c>
      <c r="C658" s="2" t="s">
        <v>2480</v>
      </c>
      <c r="D658" t="s">
        <v>2353</v>
      </c>
      <c r="E658" s="2" t="s">
        <v>30</v>
      </c>
      <c r="F658" s="2">
        <v>37138</v>
      </c>
      <c r="G658" s="2" t="s">
        <v>64</v>
      </c>
      <c r="H658" t="s">
        <v>280</v>
      </c>
      <c r="I658" s="6">
        <v>41438</v>
      </c>
      <c r="J658" s="2" t="s">
        <v>2424</v>
      </c>
      <c r="K658" s="2">
        <v>0</v>
      </c>
      <c r="L658" t="s">
        <v>35</v>
      </c>
      <c r="M658" t="s">
        <v>29</v>
      </c>
      <c r="N658" t="s">
        <v>30</v>
      </c>
      <c r="O658">
        <v>37219</v>
      </c>
      <c r="P658" t="s">
        <v>2481</v>
      </c>
      <c r="Q658" s="2">
        <v>1.33</v>
      </c>
      <c r="R658" s="2">
        <v>397</v>
      </c>
      <c r="S658" s="2">
        <v>133</v>
      </c>
      <c r="T658" t="s">
        <v>2426</v>
      </c>
      <c r="U658" s="6">
        <v>21488</v>
      </c>
      <c r="V658" s="2">
        <v>47037010501</v>
      </c>
      <c r="W658" s="2" t="s">
        <v>38</v>
      </c>
      <c r="X658" s="1">
        <v>45658</v>
      </c>
      <c r="Y658" s="2">
        <v>179800</v>
      </c>
      <c r="Z658" s="2">
        <v>0</v>
      </c>
      <c r="AA658" s="2">
        <v>179800</v>
      </c>
    </row>
    <row r="659" spans="1:27" x14ac:dyDescent="0.3">
      <c r="A659" s="3">
        <v>11</v>
      </c>
      <c r="B659" s="2" t="str">
        <f>"05303002901"</f>
        <v>05303002901</v>
      </c>
      <c r="C659" s="2" t="s">
        <v>2482</v>
      </c>
      <c r="D659" t="s">
        <v>2353</v>
      </c>
      <c r="E659" s="2" t="s">
        <v>30</v>
      </c>
      <c r="F659" s="2">
        <v>37138</v>
      </c>
      <c r="G659" s="2" t="s">
        <v>64</v>
      </c>
      <c r="H659" t="s">
        <v>280</v>
      </c>
      <c r="I659" s="6">
        <v>41438</v>
      </c>
      <c r="J659" s="2" t="s">
        <v>2424</v>
      </c>
      <c r="K659" s="2">
        <v>0</v>
      </c>
      <c r="L659" t="s">
        <v>35</v>
      </c>
      <c r="M659" t="s">
        <v>29</v>
      </c>
      <c r="N659" t="s">
        <v>30</v>
      </c>
      <c r="O659">
        <v>37219</v>
      </c>
      <c r="P659" t="s">
        <v>2483</v>
      </c>
      <c r="Q659" s="2">
        <v>0.53</v>
      </c>
      <c r="R659" s="2">
        <v>55</v>
      </c>
      <c r="S659" s="2">
        <v>528</v>
      </c>
      <c r="T659" t="s">
        <v>2484</v>
      </c>
      <c r="U659" s="6">
        <v>21868</v>
      </c>
      <c r="V659" s="2">
        <v>47037010501</v>
      </c>
      <c r="W659" s="2" t="s">
        <v>38</v>
      </c>
      <c r="X659" s="1">
        <v>45658</v>
      </c>
      <c r="Y659" s="2">
        <v>144000</v>
      </c>
      <c r="Z659" s="2">
        <v>0</v>
      </c>
      <c r="AA659" s="2">
        <v>144000</v>
      </c>
    </row>
    <row r="660" spans="1:27" x14ac:dyDescent="0.3">
      <c r="A660" s="3">
        <v>11</v>
      </c>
      <c r="B660" s="2" t="str">
        <f>"07505005200"</f>
        <v>07505005200</v>
      </c>
      <c r="C660" s="2" t="s">
        <v>28</v>
      </c>
      <c r="D660" t="s">
        <v>2353</v>
      </c>
      <c r="E660" s="2" t="s">
        <v>30</v>
      </c>
      <c r="F660" s="2">
        <v>37138</v>
      </c>
      <c r="G660" s="2" t="s">
        <v>64</v>
      </c>
      <c r="H660" t="s">
        <v>2485</v>
      </c>
      <c r="I660" s="6">
        <v>43665</v>
      </c>
      <c r="J660" s="2" t="s">
        <v>2486</v>
      </c>
      <c r="K660" s="2">
        <v>355</v>
      </c>
      <c r="L660" t="s">
        <v>893</v>
      </c>
      <c r="M660" t="s">
        <v>29</v>
      </c>
      <c r="N660" t="s">
        <v>30</v>
      </c>
      <c r="O660">
        <v>37219</v>
      </c>
      <c r="P660" t="s">
        <v>2487</v>
      </c>
      <c r="Q660" s="2">
        <v>0.02</v>
      </c>
      <c r="R660" s="2">
        <v>32</v>
      </c>
      <c r="S660" s="2">
        <v>10</v>
      </c>
      <c r="T660" t="s">
        <v>2488</v>
      </c>
      <c r="U660" s="6">
        <v>6687</v>
      </c>
      <c r="V660" s="2">
        <v>47037015401</v>
      </c>
      <c r="W660" s="2" t="s">
        <v>38</v>
      </c>
      <c r="X660" s="1">
        <v>45658</v>
      </c>
      <c r="Y660" s="2">
        <v>1000</v>
      </c>
      <c r="Z660" s="2">
        <v>0</v>
      </c>
      <c r="AA660" s="2">
        <v>1000</v>
      </c>
    </row>
    <row r="661" spans="1:27" x14ac:dyDescent="0.3">
      <c r="A661" s="3">
        <v>11</v>
      </c>
      <c r="B661" s="2" t="str">
        <f>"05312027100"</f>
        <v>05312027100</v>
      </c>
      <c r="C661" s="2" t="s">
        <v>2489</v>
      </c>
      <c r="D661" t="s">
        <v>2353</v>
      </c>
      <c r="E661" s="2" t="s">
        <v>30</v>
      </c>
      <c r="F661" s="2">
        <v>37138</v>
      </c>
      <c r="G661" s="2" t="s">
        <v>2490</v>
      </c>
      <c r="H661" t="s">
        <v>2491</v>
      </c>
      <c r="I661" s="6">
        <v>40691</v>
      </c>
      <c r="J661" s="2" t="s">
        <v>2354</v>
      </c>
      <c r="K661" s="2">
        <v>0</v>
      </c>
      <c r="L661" t="s">
        <v>35</v>
      </c>
      <c r="M661" t="s">
        <v>29</v>
      </c>
      <c r="N661" t="s">
        <v>30</v>
      </c>
      <c r="O661">
        <v>37219</v>
      </c>
      <c r="P661" t="s">
        <v>2492</v>
      </c>
      <c r="Q661" s="2">
        <v>0.86</v>
      </c>
      <c r="R661" s="2">
        <v>121</v>
      </c>
      <c r="S661" s="2">
        <v>227</v>
      </c>
      <c r="T661" t="s">
        <v>2493</v>
      </c>
      <c r="U661" s="6">
        <v>38302</v>
      </c>
      <c r="V661" s="2">
        <v>47037010502</v>
      </c>
      <c r="W661" s="2" t="s">
        <v>38</v>
      </c>
      <c r="X661" s="1">
        <v>45658</v>
      </c>
      <c r="Y661" s="2">
        <v>242700</v>
      </c>
      <c r="Z661" s="2">
        <v>46100</v>
      </c>
      <c r="AA661" s="2">
        <v>196600</v>
      </c>
    </row>
    <row r="662" spans="1:27" x14ac:dyDescent="0.3">
      <c r="A662" s="3">
        <v>11</v>
      </c>
      <c r="B662" s="2" t="str">
        <f>"05312021300"</f>
        <v>05312021300</v>
      </c>
      <c r="C662" s="2" t="s">
        <v>2494</v>
      </c>
      <c r="D662" t="s">
        <v>2353</v>
      </c>
      <c r="E662" s="2" t="s">
        <v>30</v>
      </c>
      <c r="F662" s="2">
        <v>37138</v>
      </c>
      <c r="G662" s="2" t="s">
        <v>2495</v>
      </c>
      <c r="H662" t="s">
        <v>2491</v>
      </c>
      <c r="I662" s="6">
        <v>40691</v>
      </c>
      <c r="J662" s="2" t="s">
        <v>2354</v>
      </c>
      <c r="K662" s="2">
        <v>0</v>
      </c>
      <c r="L662" t="s">
        <v>35</v>
      </c>
      <c r="M662" t="s">
        <v>29</v>
      </c>
      <c r="N662" t="s">
        <v>30</v>
      </c>
      <c r="O662">
        <v>37219</v>
      </c>
      <c r="P662" t="s">
        <v>2496</v>
      </c>
      <c r="Q662" s="2">
        <v>1.02</v>
      </c>
      <c r="R662" s="2">
        <v>0</v>
      </c>
      <c r="S662" s="2">
        <v>351</v>
      </c>
      <c r="T662" t="s">
        <v>278</v>
      </c>
      <c r="U662" s="6">
        <v>29752</v>
      </c>
      <c r="V662" s="2">
        <v>47037010502</v>
      </c>
      <c r="W662" s="2" t="s">
        <v>38</v>
      </c>
      <c r="X662" s="1">
        <v>45658</v>
      </c>
      <c r="Y662" s="2">
        <v>333200</v>
      </c>
      <c r="Z662" s="2">
        <v>0</v>
      </c>
      <c r="AA662" s="2">
        <v>333200</v>
      </c>
    </row>
    <row r="663" spans="1:27" x14ac:dyDescent="0.3">
      <c r="A663" s="3">
        <v>11</v>
      </c>
      <c r="B663" s="2" t="str">
        <f>"05316002900"</f>
        <v>05316002900</v>
      </c>
      <c r="C663" s="2" t="s">
        <v>2352</v>
      </c>
      <c r="D663" t="s">
        <v>2353</v>
      </c>
      <c r="E663" s="2" t="s">
        <v>30</v>
      </c>
      <c r="F663" s="2">
        <v>37138</v>
      </c>
      <c r="G663" s="2" t="s">
        <v>64</v>
      </c>
      <c r="H663" t="s">
        <v>379</v>
      </c>
      <c r="I663" s="6">
        <v>43531</v>
      </c>
      <c r="J663" s="2" t="s">
        <v>2497</v>
      </c>
      <c r="K663" s="2" t="s">
        <v>34</v>
      </c>
      <c r="L663" t="s">
        <v>315</v>
      </c>
      <c r="M663" t="s">
        <v>29</v>
      </c>
      <c r="N663" t="s">
        <v>30</v>
      </c>
      <c r="O663">
        <v>37208</v>
      </c>
      <c r="P663" t="s">
        <v>2498</v>
      </c>
      <c r="Q663" s="2">
        <v>1.81</v>
      </c>
      <c r="R663" s="2">
        <v>234</v>
      </c>
      <c r="S663" s="2">
        <v>372</v>
      </c>
      <c r="T663" t="s">
        <v>2499</v>
      </c>
      <c r="U663" s="6">
        <v>21605</v>
      </c>
      <c r="V663" s="2">
        <v>47037010502</v>
      </c>
      <c r="W663" s="2" t="s">
        <v>38</v>
      </c>
      <c r="X663" s="1">
        <v>45658</v>
      </c>
      <c r="Y663" s="2">
        <v>233300</v>
      </c>
      <c r="Z663" s="2">
        <v>0</v>
      </c>
      <c r="AA663" s="2">
        <v>233300</v>
      </c>
    </row>
    <row r="664" spans="1:27" x14ac:dyDescent="0.3">
      <c r="A664" s="3">
        <v>11</v>
      </c>
      <c r="B664" s="2" t="str">
        <f>"06409008900"</f>
        <v>06409008900</v>
      </c>
      <c r="C664" s="2" t="s">
        <v>2500</v>
      </c>
      <c r="D664" t="s">
        <v>2353</v>
      </c>
      <c r="E664" s="2" t="s">
        <v>30</v>
      </c>
      <c r="F664" s="2">
        <v>37138</v>
      </c>
      <c r="G664" s="2" t="s">
        <v>64</v>
      </c>
      <c r="H664" t="s">
        <v>379</v>
      </c>
      <c r="I664" s="6">
        <v>43406</v>
      </c>
      <c r="J664" s="2" t="s">
        <v>2501</v>
      </c>
      <c r="K664" s="2" t="s">
        <v>34</v>
      </c>
      <c r="L664" t="s">
        <v>343</v>
      </c>
      <c r="M664" t="s">
        <v>29</v>
      </c>
      <c r="N664" t="s">
        <v>30</v>
      </c>
      <c r="O664">
        <v>37201</v>
      </c>
      <c r="P664" t="s">
        <v>2502</v>
      </c>
      <c r="Q664" s="2">
        <v>0.17</v>
      </c>
      <c r="R664" s="2">
        <v>54</v>
      </c>
      <c r="S664" s="2">
        <v>143</v>
      </c>
      <c r="T664" t="s">
        <v>2503</v>
      </c>
      <c r="U664" s="6">
        <v>19028</v>
      </c>
      <c r="V664" s="2">
        <v>47037010502</v>
      </c>
      <c r="W664" s="2" t="s">
        <v>38</v>
      </c>
      <c r="X664" s="1">
        <v>45658</v>
      </c>
      <c r="Y664" s="2">
        <v>71300</v>
      </c>
      <c r="Z664" s="2">
        <v>0</v>
      </c>
      <c r="AA664" s="2">
        <v>71300</v>
      </c>
    </row>
    <row r="665" spans="1:27" x14ac:dyDescent="0.3">
      <c r="A665" s="3">
        <v>11</v>
      </c>
      <c r="B665" s="2" t="str">
        <f>"06409009000"</f>
        <v>06409009000</v>
      </c>
      <c r="C665" s="2" t="s">
        <v>2504</v>
      </c>
      <c r="D665" t="s">
        <v>2353</v>
      </c>
      <c r="E665" s="2" t="s">
        <v>30</v>
      </c>
      <c r="F665" s="2">
        <v>37138</v>
      </c>
      <c r="G665" s="2" t="s">
        <v>64</v>
      </c>
      <c r="H665" t="s">
        <v>379</v>
      </c>
      <c r="I665" s="6">
        <v>43465</v>
      </c>
      <c r="J665" s="2" t="s">
        <v>2505</v>
      </c>
      <c r="K665" s="2" t="s">
        <v>34</v>
      </c>
      <c r="L665" t="s">
        <v>343</v>
      </c>
      <c r="M665" t="s">
        <v>29</v>
      </c>
      <c r="N665" t="s">
        <v>30</v>
      </c>
      <c r="O665">
        <v>37201</v>
      </c>
      <c r="P665" t="s">
        <v>2506</v>
      </c>
      <c r="Q665" s="2">
        <v>0.17</v>
      </c>
      <c r="R665" s="2">
        <v>54</v>
      </c>
      <c r="S665" s="2">
        <v>140</v>
      </c>
      <c r="T665" t="s">
        <v>2507</v>
      </c>
      <c r="U665" s="6">
        <v>26886</v>
      </c>
      <c r="V665" s="2">
        <v>47037010502</v>
      </c>
      <c r="W665" s="2" t="s">
        <v>38</v>
      </c>
      <c r="X665" s="1">
        <v>45658</v>
      </c>
      <c r="Y665" s="2">
        <v>71300</v>
      </c>
      <c r="Z665" s="2">
        <v>0</v>
      </c>
      <c r="AA665" s="2">
        <v>71300</v>
      </c>
    </row>
    <row r="666" spans="1:27" x14ac:dyDescent="0.3">
      <c r="A666" s="3">
        <v>11</v>
      </c>
      <c r="B666" s="2" t="str">
        <f>"06409009200"</f>
        <v>06409009200</v>
      </c>
      <c r="C666" s="2" t="s">
        <v>2508</v>
      </c>
      <c r="D666" t="s">
        <v>2353</v>
      </c>
      <c r="E666" s="2" t="s">
        <v>30</v>
      </c>
      <c r="F666" s="2">
        <v>37138</v>
      </c>
      <c r="G666" s="2" t="s">
        <v>64</v>
      </c>
      <c r="H666" t="s">
        <v>379</v>
      </c>
      <c r="I666" s="6">
        <v>43475</v>
      </c>
      <c r="J666" s="2" t="s">
        <v>2509</v>
      </c>
      <c r="K666" s="2" t="s">
        <v>34</v>
      </c>
      <c r="L666" t="s">
        <v>315</v>
      </c>
      <c r="M666" t="s">
        <v>29</v>
      </c>
      <c r="N666" t="s">
        <v>30</v>
      </c>
      <c r="O666">
        <v>37208</v>
      </c>
      <c r="P666" t="s">
        <v>2510</v>
      </c>
      <c r="Q666" s="2">
        <v>0.73</v>
      </c>
      <c r="R666" s="2">
        <v>72</v>
      </c>
      <c r="S666" s="2">
        <v>295</v>
      </c>
      <c r="T666" t="s">
        <v>278</v>
      </c>
      <c r="U666" s="6">
        <v>30313</v>
      </c>
      <c r="V666" s="2">
        <v>47037010502</v>
      </c>
      <c r="W666" s="2" t="s">
        <v>38</v>
      </c>
      <c r="X666" s="1">
        <v>45658</v>
      </c>
      <c r="Y666" s="2">
        <v>43100</v>
      </c>
      <c r="Z666" s="2">
        <v>0</v>
      </c>
      <c r="AA666" s="2">
        <v>43100</v>
      </c>
    </row>
    <row r="667" spans="1:27" x14ac:dyDescent="0.3">
      <c r="A667" s="3">
        <v>11</v>
      </c>
      <c r="B667" s="2" t="str">
        <f>"07605005000"</f>
        <v>07605005000</v>
      </c>
      <c r="C667" s="2" t="s">
        <v>2511</v>
      </c>
      <c r="D667" t="s">
        <v>2512</v>
      </c>
      <c r="E667" s="2" t="s">
        <v>30</v>
      </c>
      <c r="F667" s="2">
        <v>37076</v>
      </c>
      <c r="G667" s="2" t="s">
        <v>64</v>
      </c>
      <c r="H667" t="s">
        <v>379</v>
      </c>
      <c r="I667" s="6">
        <v>44635</v>
      </c>
      <c r="J667" s="2" t="s">
        <v>2513</v>
      </c>
      <c r="K667" s="2" t="s">
        <v>34</v>
      </c>
      <c r="L667" t="s">
        <v>315</v>
      </c>
      <c r="M667" t="s">
        <v>29</v>
      </c>
      <c r="N667" t="s">
        <v>30</v>
      </c>
      <c r="O667">
        <v>37208</v>
      </c>
      <c r="P667" t="s">
        <v>2514</v>
      </c>
      <c r="Q667" s="2">
        <v>0.28000000000000003</v>
      </c>
      <c r="R667" s="2">
        <v>80</v>
      </c>
      <c r="S667" s="2">
        <v>146</v>
      </c>
      <c r="T667" t="s">
        <v>2515</v>
      </c>
      <c r="U667" s="6">
        <v>27610</v>
      </c>
      <c r="V667" s="2">
        <v>47037015405</v>
      </c>
      <c r="W667" s="2" t="s">
        <v>38</v>
      </c>
      <c r="X667" s="1">
        <v>45658</v>
      </c>
      <c r="Y667" s="2">
        <v>80000</v>
      </c>
      <c r="Z667" s="2">
        <v>0</v>
      </c>
      <c r="AA667" s="2">
        <v>80000</v>
      </c>
    </row>
    <row r="668" spans="1:27" x14ac:dyDescent="0.3">
      <c r="A668" s="3">
        <v>11</v>
      </c>
      <c r="B668" s="2" t="str">
        <f>"07605005100"</f>
        <v>07605005100</v>
      </c>
      <c r="C668" s="2" t="s">
        <v>2516</v>
      </c>
      <c r="D668" t="s">
        <v>2512</v>
      </c>
      <c r="E668" s="2" t="s">
        <v>30</v>
      </c>
      <c r="F668" s="2">
        <v>37076</v>
      </c>
      <c r="G668" s="2" t="s">
        <v>64</v>
      </c>
      <c r="H668" t="s">
        <v>379</v>
      </c>
      <c r="I668" s="6">
        <v>44635</v>
      </c>
      <c r="J668" s="2" t="s">
        <v>2517</v>
      </c>
      <c r="K668" s="2" t="s">
        <v>34</v>
      </c>
      <c r="L668" t="s">
        <v>315</v>
      </c>
      <c r="M668" t="s">
        <v>29</v>
      </c>
      <c r="N668" t="s">
        <v>30</v>
      </c>
      <c r="O668">
        <v>37208</v>
      </c>
      <c r="P668" t="s">
        <v>2518</v>
      </c>
      <c r="Q668" s="2">
        <v>0.27</v>
      </c>
      <c r="R668" s="2">
        <v>174</v>
      </c>
      <c r="S668" s="2">
        <v>211</v>
      </c>
      <c r="T668" t="s">
        <v>2515</v>
      </c>
      <c r="U668" s="6">
        <v>27610</v>
      </c>
      <c r="V668" s="2">
        <v>47037015405</v>
      </c>
      <c r="W668" s="2" t="s">
        <v>38</v>
      </c>
      <c r="X668" s="1">
        <v>45658</v>
      </c>
      <c r="Y668" s="2">
        <v>2900</v>
      </c>
      <c r="Z668" s="2">
        <v>0</v>
      </c>
      <c r="AA668" s="2">
        <v>2900</v>
      </c>
    </row>
    <row r="669" spans="1:27" x14ac:dyDescent="0.3">
      <c r="A669" s="3">
        <v>11</v>
      </c>
      <c r="B669" s="2" t="str">
        <f>"07605004900"</f>
        <v>07605004900</v>
      </c>
      <c r="C669" s="2" t="s">
        <v>2519</v>
      </c>
      <c r="D669" t="s">
        <v>2512</v>
      </c>
      <c r="E669" s="2" t="s">
        <v>30</v>
      </c>
      <c r="F669" s="2">
        <v>37076</v>
      </c>
      <c r="G669" s="2" t="s">
        <v>64</v>
      </c>
      <c r="H669" t="s">
        <v>379</v>
      </c>
      <c r="I669" s="6">
        <v>44652</v>
      </c>
      <c r="J669" s="2" t="s">
        <v>2520</v>
      </c>
      <c r="K669" s="2" t="s">
        <v>34</v>
      </c>
      <c r="L669" t="s">
        <v>315</v>
      </c>
      <c r="M669" t="s">
        <v>29</v>
      </c>
      <c r="N669" t="s">
        <v>30</v>
      </c>
      <c r="O669">
        <v>37208</v>
      </c>
      <c r="P669" t="s">
        <v>2521</v>
      </c>
      <c r="Q669" s="2">
        <v>0.28000000000000003</v>
      </c>
      <c r="R669" s="2">
        <v>80</v>
      </c>
      <c r="S669" s="2">
        <v>153</v>
      </c>
      <c r="T669" t="s">
        <v>2515</v>
      </c>
      <c r="U669" s="6">
        <v>27610</v>
      </c>
      <c r="V669" s="2">
        <v>47037015405</v>
      </c>
      <c r="W669" s="2" t="s">
        <v>38</v>
      </c>
      <c r="X669" s="1">
        <v>45658</v>
      </c>
      <c r="Y669" s="2">
        <v>80000</v>
      </c>
      <c r="Z669" s="2">
        <v>0</v>
      </c>
      <c r="AA669" s="2">
        <v>80000</v>
      </c>
    </row>
    <row r="670" spans="1:27" x14ac:dyDescent="0.3">
      <c r="A670" s="3">
        <v>11</v>
      </c>
      <c r="B670" s="2" t="str">
        <f>"07605004800"</f>
        <v>07605004800</v>
      </c>
      <c r="C670" s="2" t="s">
        <v>2522</v>
      </c>
      <c r="D670" t="s">
        <v>2512</v>
      </c>
      <c r="E670" s="2" t="s">
        <v>30</v>
      </c>
      <c r="F670" s="2">
        <v>37076</v>
      </c>
      <c r="G670" s="2" t="s">
        <v>64</v>
      </c>
      <c r="H670" t="s">
        <v>379</v>
      </c>
      <c r="I670" s="6">
        <v>44118</v>
      </c>
      <c r="J670" s="2" t="s">
        <v>2523</v>
      </c>
      <c r="K670" s="2" t="s">
        <v>34</v>
      </c>
      <c r="L670" t="s">
        <v>315</v>
      </c>
      <c r="M670" t="s">
        <v>29</v>
      </c>
      <c r="N670" t="s">
        <v>30</v>
      </c>
      <c r="O670">
        <v>37208</v>
      </c>
      <c r="P670" t="s">
        <v>2524</v>
      </c>
      <c r="Q670" s="2">
        <v>0.27</v>
      </c>
      <c r="R670" s="2">
        <v>72</v>
      </c>
      <c r="S670" s="2">
        <v>153</v>
      </c>
      <c r="T670" t="s">
        <v>2515</v>
      </c>
      <c r="U670" s="6">
        <v>27610</v>
      </c>
      <c r="V670" s="2">
        <v>47037015405</v>
      </c>
      <c r="W670" s="2" t="s">
        <v>38</v>
      </c>
      <c r="X670" s="1">
        <v>45658</v>
      </c>
      <c r="Y670" s="2">
        <v>80000</v>
      </c>
      <c r="Z670" s="2">
        <v>0</v>
      </c>
      <c r="AA670" s="2">
        <v>80000</v>
      </c>
    </row>
    <row r="671" spans="1:27" x14ac:dyDescent="0.3">
      <c r="A671" s="3">
        <v>11</v>
      </c>
      <c r="B671" s="2" t="str">
        <f>"07605004700"</f>
        <v>07605004700</v>
      </c>
      <c r="C671" s="2" t="s">
        <v>2525</v>
      </c>
      <c r="D671" t="s">
        <v>2512</v>
      </c>
      <c r="E671" s="2" t="s">
        <v>30</v>
      </c>
      <c r="F671" s="2">
        <v>37076</v>
      </c>
      <c r="G671" s="2" t="s">
        <v>64</v>
      </c>
      <c r="H671" t="s">
        <v>379</v>
      </c>
      <c r="I671" s="6">
        <v>42873</v>
      </c>
      <c r="J671" s="2" t="s">
        <v>2526</v>
      </c>
      <c r="K671" s="2">
        <v>0</v>
      </c>
      <c r="L671" t="s">
        <v>651</v>
      </c>
      <c r="M671" t="s">
        <v>29</v>
      </c>
      <c r="N671" t="s">
        <v>30</v>
      </c>
      <c r="O671">
        <v>37208</v>
      </c>
      <c r="P671" t="s">
        <v>2527</v>
      </c>
      <c r="Q671" s="2">
        <v>0.28000000000000003</v>
      </c>
      <c r="R671" s="2">
        <v>79</v>
      </c>
      <c r="S671" s="2">
        <v>150</v>
      </c>
      <c r="T671" t="s">
        <v>2515</v>
      </c>
      <c r="U671" s="6">
        <v>27610</v>
      </c>
      <c r="V671" s="2">
        <v>47037015405</v>
      </c>
      <c r="W671" s="2" t="s">
        <v>38</v>
      </c>
      <c r="X671" s="1">
        <v>45658</v>
      </c>
      <c r="Y671" s="2">
        <v>80000</v>
      </c>
      <c r="Z671" s="2">
        <v>0</v>
      </c>
      <c r="AA671" s="2">
        <v>80000</v>
      </c>
    </row>
    <row r="672" spans="1:27" x14ac:dyDescent="0.3">
      <c r="A672" s="3">
        <v>12</v>
      </c>
      <c r="B672" s="2" t="str">
        <f>"08600034800"</f>
        <v>08600034800</v>
      </c>
      <c r="C672" s="2" t="s">
        <v>2528</v>
      </c>
      <c r="D672" t="s">
        <v>2512</v>
      </c>
      <c r="E672" s="2" t="s">
        <v>30</v>
      </c>
      <c r="F672" s="2">
        <v>37076</v>
      </c>
      <c r="G672" s="2" t="s">
        <v>194</v>
      </c>
      <c r="H672" t="s">
        <v>32</v>
      </c>
      <c r="I672" s="6">
        <v>44956</v>
      </c>
      <c r="J672" s="2" t="s">
        <v>2529</v>
      </c>
      <c r="K672" s="2" t="s">
        <v>34</v>
      </c>
      <c r="L672" t="s">
        <v>85</v>
      </c>
      <c r="M672" t="s">
        <v>29</v>
      </c>
      <c r="N672" t="s">
        <v>30</v>
      </c>
      <c r="O672">
        <v>37219</v>
      </c>
      <c r="P672" t="s">
        <v>2530</v>
      </c>
      <c r="Q672" s="2">
        <v>4.58</v>
      </c>
      <c r="R672" s="2">
        <v>417</v>
      </c>
      <c r="S672" s="2">
        <v>0</v>
      </c>
      <c r="T672" t="s">
        <v>2531</v>
      </c>
      <c r="U672" s="6">
        <v>44729</v>
      </c>
      <c r="V672" s="2">
        <v>47037015622</v>
      </c>
      <c r="W672" s="2" t="s">
        <v>38</v>
      </c>
      <c r="X672" s="1">
        <v>45658</v>
      </c>
      <c r="Y672" s="2">
        <v>665200</v>
      </c>
      <c r="Z672" s="2">
        <v>38200</v>
      </c>
      <c r="AA672" s="2">
        <v>627000</v>
      </c>
    </row>
    <row r="673" spans="1:27" x14ac:dyDescent="0.3">
      <c r="A673" s="3">
        <v>12</v>
      </c>
      <c r="B673" s="2" t="str">
        <f>"08600032700"</f>
        <v>08600032700</v>
      </c>
      <c r="C673" s="2" t="s">
        <v>2528</v>
      </c>
      <c r="D673" t="s">
        <v>2512</v>
      </c>
      <c r="E673" s="2" t="s">
        <v>30</v>
      </c>
      <c r="F673" s="2">
        <v>37076</v>
      </c>
      <c r="G673" s="2" t="s">
        <v>64</v>
      </c>
      <c r="H673" t="s">
        <v>32</v>
      </c>
      <c r="I673" s="6">
        <v>44956</v>
      </c>
      <c r="J673" s="2" t="s">
        <v>2529</v>
      </c>
      <c r="K673" s="2" t="s">
        <v>34</v>
      </c>
      <c r="L673" t="s">
        <v>85</v>
      </c>
      <c r="M673" t="s">
        <v>29</v>
      </c>
      <c r="N673" t="s">
        <v>30</v>
      </c>
      <c r="O673">
        <v>37219</v>
      </c>
      <c r="P673" t="s">
        <v>2530</v>
      </c>
      <c r="Q673" s="2">
        <v>1.78</v>
      </c>
      <c r="R673" s="2">
        <v>518</v>
      </c>
      <c r="S673" s="2">
        <v>73</v>
      </c>
      <c r="T673" t="s">
        <v>2531</v>
      </c>
      <c r="U673" s="6">
        <v>44729</v>
      </c>
      <c r="V673" s="2">
        <v>47037015622</v>
      </c>
      <c r="W673" s="2" t="s">
        <v>38</v>
      </c>
      <c r="X673" s="1">
        <v>45658</v>
      </c>
      <c r="Y673" s="2">
        <v>231000</v>
      </c>
      <c r="Z673" s="2">
        <v>0</v>
      </c>
      <c r="AA673" s="2">
        <v>231000</v>
      </c>
    </row>
    <row r="674" spans="1:27" x14ac:dyDescent="0.3">
      <c r="A674" s="3">
        <v>12</v>
      </c>
      <c r="B674" s="2" t="str">
        <f>"08600011300"</f>
        <v>08600011300</v>
      </c>
      <c r="C674" s="2" t="s">
        <v>2528</v>
      </c>
      <c r="D674" t="s">
        <v>2512</v>
      </c>
      <c r="E674" s="2" t="s">
        <v>30</v>
      </c>
      <c r="F674" s="2">
        <v>37076</v>
      </c>
      <c r="G674" s="2" t="s">
        <v>64</v>
      </c>
      <c r="H674" t="s">
        <v>32</v>
      </c>
      <c r="I674" s="6">
        <v>44956</v>
      </c>
      <c r="J674" s="2" t="s">
        <v>2529</v>
      </c>
      <c r="K674" s="2" t="s">
        <v>34</v>
      </c>
      <c r="L674" t="s">
        <v>85</v>
      </c>
      <c r="M674" t="s">
        <v>29</v>
      </c>
      <c r="N674" t="s">
        <v>30</v>
      </c>
      <c r="O674">
        <v>37219</v>
      </c>
      <c r="P674" t="s">
        <v>2532</v>
      </c>
      <c r="Q674" s="2">
        <v>3.21</v>
      </c>
      <c r="R674" s="2">
        <v>0</v>
      </c>
      <c r="S674" s="2">
        <v>0</v>
      </c>
      <c r="T674" t="s">
        <v>2533</v>
      </c>
      <c r="U674" s="6">
        <v>44960</v>
      </c>
      <c r="V674" s="2">
        <v>47037015622</v>
      </c>
      <c r="W674" s="2" t="s">
        <v>38</v>
      </c>
      <c r="X674" s="1">
        <v>45658</v>
      </c>
      <c r="Y674" s="2">
        <v>528000</v>
      </c>
      <c r="Z674" s="2">
        <v>0</v>
      </c>
      <c r="AA674" s="2">
        <v>528000</v>
      </c>
    </row>
    <row r="675" spans="1:27" x14ac:dyDescent="0.3">
      <c r="A675" s="3">
        <v>12</v>
      </c>
      <c r="B675" s="2" t="str">
        <f>"09700015300"</f>
        <v>09700015300</v>
      </c>
      <c r="C675" s="2" t="s">
        <v>2534</v>
      </c>
      <c r="D675" t="s">
        <v>2512</v>
      </c>
      <c r="E675" s="2" t="s">
        <v>30</v>
      </c>
      <c r="F675" s="2">
        <v>37076</v>
      </c>
      <c r="G675" s="2" t="s">
        <v>870</v>
      </c>
      <c r="H675" t="s">
        <v>32</v>
      </c>
      <c r="I675" s="6">
        <v>36595</v>
      </c>
      <c r="J675" s="2" t="s">
        <v>2535</v>
      </c>
      <c r="K675" s="2">
        <v>0</v>
      </c>
      <c r="L675" t="s">
        <v>35</v>
      </c>
      <c r="M675" t="s">
        <v>29</v>
      </c>
      <c r="N675" t="s">
        <v>30</v>
      </c>
      <c r="O675">
        <v>37219</v>
      </c>
      <c r="P675" t="s">
        <v>2536</v>
      </c>
      <c r="Q675" s="2">
        <v>16.079999999999998</v>
      </c>
      <c r="R675" s="2">
        <v>0</v>
      </c>
      <c r="S675" s="2">
        <v>0</v>
      </c>
      <c r="T675" t="s">
        <v>2537</v>
      </c>
      <c r="U675" s="6">
        <v>36587</v>
      </c>
      <c r="V675" s="2">
        <v>47037015610</v>
      </c>
      <c r="W675" s="2" t="s">
        <v>38</v>
      </c>
      <c r="X675" s="1">
        <v>45658</v>
      </c>
      <c r="Y675" s="2">
        <v>3625000</v>
      </c>
      <c r="Z675" s="2">
        <v>0</v>
      </c>
      <c r="AA675" s="2">
        <v>3625000</v>
      </c>
    </row>
    <row r="676" spans="1:27" x14ac:dyDescent="0.3">
      <c r="A676" s="3">
        <v>12</v>
      </c>
      <c r="B676" s="2" t="str">
        <f>"09805014100"</f>
        <v>09805014100</v>
      </c>
      <c r="C676" s="2" t="s">
        <v>2538</v>
      </c>
      <c r="D676" t="s">
        <v>2512</v>
      </c>
      <c r="E676" s="2" t="s">
        <v>30</v>
      </c>
      <c r="F676" s="2">
        <v>37076</v>
      </c>
      <c r="G676" s="2" t="s">
        <v>64</v>
      </c>
      <c r="H676" t="s">
        <v>99</v>
      </c>
      <c r="I676" s="6">
        <v>39617</v>
      </c>
      <c r="J676" s="2" t="s">
        <v>2539</v>
      </c>
      <c r="K676" s="2" t="s">
        <v>34</v>
      </c>
      <c r="L676" t="s">
        <v>35</v>
      </c>
      <c r="M676" t="s">
        <v>29</v>
      </c>
      <c r="N676" t="s">
        <v>30</v>
      </c>
      <c r="O676">
        <v>37219</v>
      </c>
      <c r="P676" t="s">
        <v>2540</v>
      </c>
      <c r="Q676" s="2">
        <v>0.32</v>
      </c>
      <c r="R676" s="2">
        <v>237</v>
      </c>
      <c r="S676" s="2">
        <v>111</v>
      </c>
      <c r="T676" t="s">
        <v>2541</v>
      </c>
      <c r="U676" s="6">
        <v>30767</v>
      </c>
      <c r="V676" s="2">
        <v>47037015610</v>
      </c>
      <c r="W676" s="2" t="s">
        <v>38</v>
      </c>
      <c r="X676" s="1">
        <v>45658</v>
      </c>
      <c r="Y676" s="2">
        <v>500</v>
      </c>
      <c r="Z676" s="2">
        <v>0</v>
      </c>
      <c r="AA676" s="2">
        <v>500</v>
      </c>
    </row>
    <row r="677" spans="1:27" x14ac:dyDescent="0.3">
      <c r="A677" s="3">
        <v>12</v>
      </c>
      <c r="B677" s="2" t="str">
        <f>"08700019900"</f>
        <v>08700019900</v>
      </c>
      <c r="C677" s="2" t="s">
        <v>2542</v>
      </c>
      <c r="D677" t="s">
        <v>2512</v>
      </c>
      <c r="E677" s="2" t="s">
        <v>30</v>
      </c>
      <c r="F677" s="2">
        <v>37076</v>
      </c>
      <c r="G677" s="2" t="s">
        <v>2543</v>
      </c>
      <c r="H677" t="s">
        <v>176</v>
      </c>
      <c r="I677" s="6">
        <v>42185</v>
      </c>
      <c r="J677" s="2" t="s">
        <v>2544</v>
      </c>
      <c r="K677" s="2">
        <v>0</v>
      </c>
      <c r="L677" t="s">
        <v>35</v>
      </c>
      <c r="M677" t="s">
        <v>29</v>
      </c>
      <c r="N677" t="s">
        <v>30</v>
      </c>
      <c r="O677">
        <v>37219</v>
      </c>
      <c r="P677" t="s">
        <v>2545</v>
      </c>
      <c r="Q677" s="2">
        <v>5.69</v>
      </c>
      <c r="R677" s="2">
        <v>75</v>
      </c>
      <c r="S677" s="2">
        <v>0</v>
      </c>
      <c r="T677" t="s">
        <v>2544</v>
      </c>
      <c r="U677" s="6">
        <v>42185</v>
      </c>
      <c r="V677" s="2">
        <v>47037015622</v>
      </c>
      <c r="W677" s="2" t="s">
        <v>38</v>
      </c>
      <c r="X677" s="1">
        <v>45658</v>
      </c>
      <c r="Y677" s="2">
        <v>337000</v>
      </c>
      <c r="Z677" s="2">
        <v>0</v>
      </c>
      <c r="AA677" s="2">
        <v>337000</v>
      </c>
    </row>
    <row r="678" spans="1:27" x14ac:dyDescent="0.3">
      <c r="A678" s="3">
        <v>12</v>
      </c>
      <c r="B678" s="2" t="str">
        <f>"08600017200"</f>
        <v>08600017200</v>
      </c>
      <c r="C678" s="2" t="s">
        <v>2546</v>
      </c>
      <c r="D678" t="s">
        <v>2512</v>
      </c>
      <c r="E678" s="2" t="s">
        <v>30</v>
      </c>
      <c r="F678" s="2">
        <v>37076</v>
      </c>
      <c r="G678" s="2" t="s">
        <v>253</v>
      </c>
      <c r="H678" t="s">
        <v>2547</v>
      </c>
      <c r="I678" s="6">
        <v>34549</v>
      </c>
      <c r="J678" s="2" t="s">
        <v>2548</v>
      </c>
      <c r="K678" s="2" t="s">
        <v>34</v>
      </c>
      <c r="L678" t="s">
        <v>35</v>
      </c>
      <c r="M678" t="s">
        <v>29</v>
      </c>
      <c r="N678" t="s">
        <v>30</v>
      </c>
      <c r="O678">
        <v>37219</v>
      </c>
      <c r="P678" t="s">
        <v>2549</v>
      </c>
      <c r="Q678" s="2">
        <v>12.39</v>
      </c>
      <c r="R678" s="2">
        <v>0</v>
      </c>
      <c r="S678" s="2">
        <v>0</v>
      </c>
      <c r="T678" t="s">
        <v>2548</v>
      </c>
      <c r="U678" s="6">
        <v>34549</v>
      </c>
      <c r="V678" s="2">
        <v>47037015623</v>
      </c>
      <c r="W678" s="2" t="s">
        <v>38</v>
      </c>
      <c r="X678" s="1">
        <v>45658</v>
      </c>
      <c r="Y678" s="2">
        <v>570500</v>
      </c>
      <c r="Z678" s="2">
        <v>0</v>
      </c>
      <c r="AA678" s="2">
        <v>570500</v>
      </c>
    </row>
    <row r="679" spans="1:27" x14ac:dyDescent="0.3">
      <c r="A679" s="3">
        <v>12</v>
      </c>
      <c r="B679" s="2" t="str">
        <f>"09800016300"</f>
        <v>09800016300</v>
      </c>
      <c r="C679" s="2" t="s">
        <v>2550</v>
      </c>
      <c r="D679" t="s">
        <v>2512</v>
      </c>
      <c r="E679" s="2" t="s">
        <v>30</v>
      </c>
      <c r="F679" s="2">
        <v>37076</v>
      </c>
      <c r="G679" s="2" t="s">
        <v>64</v>
      </c>
      <c r="H679" t="s">
        <v>2551</v>
      </c>
      <c r="I679" s="6">
        <v>37406</v>
      </c>
      <c r="J679" s="2" t="s">
        <v>2552</v>
      </c>
      <c r="K679" s="2">
        <v>640000</v>
      </c>
      <c r="L679" t="s">
        <v>35</v>
      </c>
      <c r="M679" t="s">
        <v>29</v>
      </c>
      <c r="N679" t="s">
        <v>30</v>
      </c>
      <c r="O679">
        <v>37219</v>
      </c>
      <c r="P679" t="s">
        <v>2553</v>
      </c>
      <c r="Q679" s="2">
        <v>5.5</v>
      </c>
      <c r="R679" s="2">
        <v>0</v>
      </c>
      <c r="S679" s="2">
        <v>0</v>
      </c>
      <c r="T679" t="s">
        <v>2554</v>
      </c>
      <c r="U679" s="6">
        <v>29783</v>
      </c>
      <c r="V679" s="2">
        <v>47037015610</v>
      </c>
      <c r="W679" s="2" t="s">
        <v>38</v>
      </c>
      <c r="X679" s="1">
        <v>45658</v>
      </c>
      <c r="Y679" s="2">
        <v>480900</v>
      </c>
      <c r="Z679" s="2">
        <v>0</v>
      </c>
      <c r="AA679" s="2">
        <v>480900</v>
      </c>
    </row>
    <row r="680" spans="1:27" x14ac:dyDescent="0.3">
      <c r="A680" s="3">
        <v>12</v>
      </c>
      <c r="B680" s="2" t="str">
        <f>"09800010100"</f>
        <v>09800010100</v>
      </c>
      <c r="C680" s="2" t="s">
        <v>2555</v>
      </c>
      <c r="D680" t="s">
        <v>2512</v>
      </c>
      <c r="E680" s="2" t="s">
        <v>30</v>
      </c>
      <c r="F680" s="2">
        <v>37076</v>
      </c>
      <c r="G680" s="2" t="s">
        <v>64</v>
      </c>
      <c r="H680" t="s">
        <v>2551</v>
      </c>
      <c r="I680" s="6">
        <v>37406</v>
      </c>
      <c r="J680" s="2" t="s">
        <v>2552</v>
      </c>
      <c r="K680" s="2">
        <v>640000</v>
      </c>
      <c r="L680" t="s">
        <v>35</v>
      </c>
      <c r="M680" t="s">
        <v>29</v>
      </c>
      <c r="N680" t="s">
        <v>30</v>
      </c>
      <c r="O680">
        <v>37219</v>
      </c>
      <c r="P680" t="s">
        <v>2556</v>
      </c>
      <c r="Q680" s="2">
        <v>26.45</v>
      </c>
      <c r="R680" s="2">
        <v>0</v>
      </c>
      <c r="S680" s="2">
        <v>0</v>
      </c>
      <c r="T680" t="s">
        <v>2557</v>
      </c>
      <c r="U680" s="6">
        <v>25020</v>
      </c>
      <c r="V680" s="2">
        <v>47037015610</v>
      </c>
      <c r="W680" s="2" t="s">
        <v>38</v>
      </c>
      <c r="X680" s="1">
        <v>45658</v>
      </c>
      <c r="Y680" s="2">
        <v>1355300</v>
      </c>
      <c r="Z680" s="2">
        <v>0</v>
      </c>
      <c r="AA680" s="2">
        <v>1355300</v>
      </c>
    </row>
    <row r="681" spans="1:27" x14ac:dyDescent="0.3">
      <c r="A681" s="3">
        <v>12</v>
      </c>
      <c r="B681" s="2" t="str">
        <f>"10900019900"</f>
        <v>10900019900</v>
      </c>
      <c r="C681" s="2" t="s">
        <v>2558</v>
      </c>
      <c r="D681" t="s">
        <v>29</v>
      </c>
      <c r="E681" s="2" t="s">
        <v>30</v>
      </c>
      <c r="F681" s="2">
        <v>37214</v>
      </c>
      <c r="G681" s="2" t="s">
        <v>64</v>
      </c>
      <c r="H681" t="s">
        <v>280</v>
      </c>
      <c r="I681" s="6">
        <v>27894</v>
      </c>
      <c r="J681" s="2" t="s">
        <v>2559</v>
      </c>
      <c r="K681" s="2" t="s">
        <v>34</v>
      </c>
      <c r="L681" t="s">
        <v>35</v>
      </c>
      <c r="M681" t="s">
        <v>29</v>
      </c>
      <c r="N681" t="s">
        <v>30</v>
      </c>
      <c r="O681">
        <v>37219</v>
      </c>
      <c r="P681" t="s">
        <v>2560</v>
      </c>
      <c r="Q681" s="2">
        <v>0.46</v>
      </c>
      <c r="R681" s="2">
        <v>100</v>
      </c>
      <c r="S681" s="2">
        <v>200</v>
      </c>
      <c r="T681" t="s">
        <v>2561</v>
      </c>
      <c r="U681" s="6">
        <v>30760</v>
      </c>
      <c r="V681" s="2">
        <v>47037015624</v>
      </c>
      <c r="W681" s="2" t="s">
        <v>38</v>
      </c>
      <c r="X681" s="1">
        <v>45658</v>
      </c>
      <c r="Y681" s="2">
        <v>2500</v>
      </c>
      <c r="Z681" s="2">
        <v>0</v>
      </c>
      <c r="AA681" s="2">
        <v>2500</v>
      </c>
    </row>
    <row r="682" spans="1:27" x14ac:dyDescent="0.3">
      <c r="A682" s="3">
        <v>12</v>
      </c>
      <c r="B682" s="2" t="str">
        <f>"09805010600"</f>
        <v>09805010600</v>
      </c>
      <c r="C682" s="2" t="s">
        <v>2562</v>
      </c>
      <c r="D682" t="s">
        <v>2512</v>
      </c>
      <c r="E682" s="2" t="s">
        <v>30</v>
      </c>
      <c r="F682" s="2">
        <v>37076</v>
      </c>
      <c r="G682" s="2" t="s">
        <v>64</v>
      </c>
      <c r="H682" t="s">
        <v>280</v>
      </c>
      <c r="I682" s="6">
        <v>34485</v>
      </c>
      <c r="J682" s="2" t="s">
        <v>2563</v>
      </c>
      <c r="K682" s="2">
        <v>0</v>
      </c>
      <c r="L682" t="s">
        <v>35</v>
      </c>
      <c r="M682" t="s">
        <v>29</v>
      </c>
      <c r="N682" t="s">
        <v>30</v>
      </c>
      <c r="O682">
        <v>37219</v>
      </c>
      <c r="P682" t="s">
        <v>2564</v>
      </c>
      <c r="Q682" s="2">
        <v>0.35</v>
      </c>
      <c r="R682" s="2">
        <v>90</v>
      </c>
      <c r="S682" s="2">
        <v>171</v>
      </c>
      <c r="T682" t="s">
        <v>2541</v>
      </c>
      <c r="U682" s="6">
        <v>30767</v>
      </c>
      <c r="V682" s="2">
        <v>47037015610</v>
      </c>
      <c r="W682" s="2" t="s">
        <v>38</v>
      </c>
      <c r="X682" s="1">
        <v>45658</v>
      </c>
      <c r="Y682" s="2">
        <v>80000</v>
      </c>
      <c r="Z682" s="2">
        <v>0</v>
      </c>
      <c r="AA682" s="2">
        <v>80000</v>
      </c>
    </row>
    <row r="683" spans="1:27" x14ac:dyDescent="0.3">
      <c r="A683" s="3">
        <v>12</v>
      </c>
      <c r="B683" s="2" t="str">
        <f>"09802005900"</f>
        <v>09802005900</v>
      </c>
      <c r="C683" s="2" t="s">
        <v>2565</v>
      </c>
      <c r="D683" t="s">
        <v>2512</v>
      </c>
      <c r="E683" s="2" t="s">
        <v>30</v>
      </c>
      <c r="F683" s="2">
        <v>37076</v>
      </c>
      <c r="G683" s="2" t="s">
        <v>64</v>
      </c>
      <c r="H683" t="s">
        <v>280</v>
      </c>
      <c r="I683" s="6">
        <v>37825</v>
      </c>
      <c r="J683" s="2" t="s">
        <v>2566</v>
      </c>
      <c r="K683" s="2">
        <v>0</v>
      </c>
      <c r="L683" t="s">
        <v>35</v>
      </c>
      <c r="M683" t="s">
        <v>29</v>
      </c>
      <c r="N683" t="s">
        <v>30</v>
      </c>
      <c r="O683">
        <v>37219</v>
      </c>
      <c r="P683" t="s">
        <v>2567</v>
      </c>
      <c r="Q683" s="2">
        <v>0.26</v>
      </c>
      <c r="R683" s="2">
        <v>69</v>
      </c>
      <c r="S683" s="2">
        <v>243</v>
      </c>
      <c r="T683" t="s">
        <v>2568</v>
      </c>
      <c r="U683" s="6">
        <v>33744</v>
      </c>
      <c r="V683" s="2">
        <v>47037015610</v>
      </c>
      <c r="W683" s="2" t="s">
        <v>38</v>
      </c>
      <c r="X683" s="1">
        <v>45658</v>
      </c>
      <c r="Y683" s="2">
        <v>200</v>
      </c>
      <c r="Z683" s="2">
        <v>0</v>
      </c>
      <c r="AA683" s="2">
        <v>200</v>
      </c>
    </row>
    <row r="684" spans="1:27" x14ac:dyDescent="0.3">
      <c r="A684" s="3">
        <v>12</v>
      </c>
      <c r="B684" s="2" t="str">
        <f>"09802005800"</f>
        <v>09802005800</v>
      </c>
      <c r="C684" s="2" t="s">
        <v>2569</v>
      </c>
      <c r="D684" t="s">
        <v>2512</v>
      </c>
      <c r="E684" s="2" t="s">
        <v>30</v>
      </c>
      <c r="F684" s="2">
        <v>37076</v>
      </c>
      <c r="G684" s="2" t="s">
        <v>64</v>
      </c>
      <c r="H684" t="s">
        <v>280</v>
      </c>
      <c r="I684" s="6">
        <v>37825</v>
      </c>
      <c r="J684" s="2" t="s">
        <v>2570</v>
      </c>
      <c r="K684" s="2">
        <v>0</v>
      </c>
      <c r="L684" t="s">
        <v>35</v>
      </c>
      <c r="M684" t="s">
        <v>29</v>
      </c>
      <c r="N684" t="s">
        <v>30</v>
      </c>
      <c r="O684">
        <v>37219</v>
      </c>
      <c r="P684" t="s">
        <v>2571</v>
      </c>
      <c r="Q684" s="2">
        <v>0.12</v>
      </c>
      <c r="R684" s="2">
        <v>105</v>
      </c>
      <c r="S684" s="2">
        <v>73</v>
      </c>
      <c r="T684" t="s">
        <v>2568</v>
      </c>
      <c r="U684" s="6">
        <v>33744</v>
      </c>
      <c r="V684" s="2">
        <v>47037015610</v>
      </c>
      <c r="W684" s="2" t="s">
        <v>38</v>
      </c>
      <c r="X684" s="1">
        <v>45658</v>
      </c>
      <c r="Y684" s="2">
        <v>200</v>
      </c>
      <c r="Z684" s="2">
        <v>0</v>
      </c>
      <c r="AA684" s="2">
        <v>200</v>
      </c>
    </row>
    <row r="685" spans="1:27" x14ac:dyDescent="0.3">
      <c r="A685" s="3">
        <v>12</v>
      </c>
      <c r="B685" s="2" t="str">
        <f>"09700012300"</f>
        <v>09700012300</v>
      </c>
      <c r="C685" s="2" t="s">
        <v>2572</v>
      </c>
      <c r="D685" t="s">
        <v>2512</v>
      </c>
      <c r="E685" s="2" t="s">
        <v>30</v>
      </c>
      <c r="F685" s="2">
        <v>37076</v>
      </c>
      <c r="G685" s="2" t="s">
        <v>64</v>
      </c>
      <c r="H685" t="s">
        <v>280</v>
      </c>
      <c r="I685" s="6">
        <v>37825</v>
      </c>
      <c r="J685" s="2" t="s">
        <v>2573</v>
      </c>
      <c r="K685" s="2">
        <v>0</v>
      </c>
      <c r="L685" t="s">
        <v>35</v>
      </c>
      <c r="M685" t="s">
        <v>29</v>
      </c>
      <c r="N685" t="s">
        <v>30</v>
      </c>
      <c r="O685">
        <v>37219</v>
      </c>
      <c r="P685" t="s">
        <v>2574</v>
      </c>
      <c r="Q685" s="2">
        <v>0.06</v>
      </c>
      <c r="R685" s="2">
        <v>40</v>
      </c>
      <c r="S685" s="2">
        <v>60</v>
      </c>
      <c r="T685" t="s">
        <v>2575</v>
      </c>
      <c r="U685" s="6">
        <v>27527</v>
      </c>
      <c r="V685" s="2">
        <v>47037015610</v>
      </c>
      <c r="W685" s="2" t="s">
        <v>38</v>
      </c>
      <c r="X685" s="1">
        <v>45658</v>
      </c>
      <c r="Y685" s="2">
        <v>5600</v>
      </c>
      <c r="Z685" s="2">
        <v>0</v>
      </c>
      <c r="AA685" s="2">
        <v>5600</v>
      </c>
    </row>
    <row r="686" spans="1:27" x14ac:dyDescent="0.3">
      <c r="A686" s="3">
        <v>12</v>
      </c>
      <c r="B686" s="2" t="str">
        <f>"09805018000"</f>
        <v>09805018000</v>
      </c>
      <c r="C686" s="2" t="s">
        <v>2576</v>
      </c>
      <c r="D686" t="s">
        <v>2512</v>
      </c>
      <c r="E686" s="2" t="s">
        <v>30</v>
      </c>
      <c r="F686" s="2">
        <v>37076</v>
      </c>
      <c r="G686" s="2" t="s">
        <v>64</v>
      </c>
      <c r="H686" t="s">
        <v>280</v>
      </c>
      <c r="I686" s="6">
        <v>43003</v>
      </c>
      <c r="J686" s="2" t="s">
        <v>2577</v>
      </c>
      <c r="K686" s="2" t="s">
        <v>34</v>
      </c>
      <c r="L686" t="s">
        <v>343</v>
      </c>
      <c r="M686" t="s">
        <v>29</v>
      </c>
      <c r="N686" t="s">
        <v>30</v>
      </c>
      <c r="O686">
        <v>37201</v>
      </c>
      <c r="P686" t="s">
        <v>2578</v>
      </c>
      <c r="Q686" s="2">
        <v>0.18</v>
      </c>
      <c r="R686" s="2">
        <v>56</v>
      </c>
      <c r="S686" s="2">
        <v>205</v>
      </c>
      <c r="T686" t="s">
        <v>2579</v>
      </c>
      <c r="U686" s="6">
        <v>31421</v>
      </c>
      <c r="V686" s="2">
        <v>47037015610</v>
      </c>
      <c r="W686" s="2" t="s">
        <v>38</v>
      </c>
      <c r="X686" s="1">
        <v>45658</v>
      </c>
      <c r="Y686" s="2">
        <v>72000</v>
      </c>
      <c r="Z686" s="2">
        <v>0</v>
      </c>
      <c r="AA686" s="2">
        <v>72000</v>
      </c>
    </row>
    <row r="687" spans="1:27" x14ac:dyDescent="0.3">
      <c r="A687" s="3">
        <v>12</v>
      </c>
      <c r="B687" s="2" t="str">
        <f>"09805010700"</f>
        <v>09805010700</v>
      </c>
      <c r="C687" s="2" t="s">
        <v>2580</v>
      </c>
      <c r="D687" t="s">
        <v>2512</v>
      </c>
      <c r="E687" s="2" t="s">
        <v>30</v>
      </c>
      <c r="F687" s="2">
        <v>37076</v>
      </c>
      <c r="G687" s="2" t="s">
        <v>64</v>
      </c>
      <c r="H687" t="s">
        <v>280</v>
      </c>
      <c r="I687" s="6">
        <v>34485</v>
      </c>
      <c r="J687" s="2" t="s">
        <v>2563</v>
      </c>
      <c r="K687" s="2">
        <v>0</v>
      </c>
      <c r="L687" t="s">
        <v>35</v>
      </c>
      <c r="M687" t="s">
        <v>29</v>
      </c>
      <c r="N687" t="s">
        <v>30</v>
      </c>
      <c r="O687">
        <v>37219</v>
      </c>
      <c r="P687" t="s">
        <v>2581</v>
      </c>
      <c r="Q687" s="2">
        <v>0.35</v>
      </c>
      <c r="R687" s="2">
        <v>90</v>
      </c>
      <c r="S687" s="2">
        <v>171</v>
      </c>
      <c r="T687" t="s">
        <v>2541</v>
      </c>
      <c r="U687" s="6">
        <v>30767</v>
      </c>
      <c r="V687" s="2">
        <v>47037015610</v>
      </c>
      <c r="W687" s="2" t="s">
        <v>38</v>
      </c>
      <c r="X687" s="1">
        <v>45658</v>
      </c>
      <c r="Y687" s="2">
        <v>80000</v>
      </c>
      <c r="Z687" s="2">
        <v>0</v>
      </c>
      <c r="AA687" s="2">
        <v>80000</v>
      </c>
    </row>
    <row r="688" spans="1:27" x14ac:dyDescent="0.3">
      <c r="A688" s="3">
        <v>12</v>
      </c>
      <c r="B688" s="2" t="str">
        <f>"09805010800"</f>
        <v>09805010800</v>
      </c>
      <c r="C688" s="2" t="s">
        <v>2582</v>
      </c>
      <c r="D688" t="s">
        <v>2512</v>
      </c>
      <c r="E688" s="2" t="s">
        <v>30</v>
      </c>
      <c r="F688" s="2">
        <v>37076</v>
      </c>
      <c r="G688" s="2" t="s">
        <v>64</v>
      </c>
      <c r="H688" t="s">
        <v>280</v>
      </c>
      <c r="I688" s="6">
        <v>34485</v>
      </c>
      <c r="J688" s="2" t="s">
        <v>2563</v>
      </c>
      <c r="K688" s="2">
        <v>0</v>
      </c>
      <c r="L688" t="s">
        <v>35</v>
      </c>
      <c r="M688" t="s">
        <v>29</v>
      </c>
      <c r="N688" t="s">
        <v>30</v>
      </c>
      <c r="O688">
        <v>37219</v>
      </c>
      <c r="P688" t="s">
        <v>2583</v>
      </c>
      <c r="Q688" s="2">
        <v>0.36</v>
      </c>
      <c r="R688" s="2">
        <v>92</v>
      </c>
      <c r="S688" s="2">
        <v>171</v>
      </c>
      <c r="T688" t="s">
        <v>2541</v>
      </c>
      <c r="U688" s="6">
        <v>30767</v>
      </c>
      <c r="V688" s="2">
        <v>47037015610</v>
      </c>
      <c r="W688" s="2" t="s">
        <v>38</v>
      </c>
      <c r="X688" s="1">
        <v>45658</v>
      </c>
      <c r="Y688" s="2">
        <v>80000</v>
      </c>
      <c r="Z688" s="2">
        <v>0</v>
      </c>
      <c r="AA688" s="2">
        <v>80000</v>
      </c>
    </row>
    <row r="689" spans="1:27" x14ac:dyDescent="0.3">
      <c r="A689" s="3">
        <v>12</v>
      </c>
      <c r="B689" s="2" t="str">
        <f>"09805015000"</f>
        <v>09805015000</v>
      </c>
      <c r="C689" s="2" t="s">
        <v>2584</v>
      </c>
      <c r="D689" t="s">
        <v>2512</v>
      </c>
      <c r="E689" s="2" t="s">
        <v>30</v>
      </c>
      <c r="F689" s="2">
        <v>37076</v>
      </c>
      <c r="G689" s="2" t="s">
        <v>64</v>
      </c>
      <c r="H689" t="s">
        <v>280</v>
      </c>
      <c r="I689" s="6">
        <v>34485</v>
      </c>
      <c r="J689" s="2" t="s">
        <v>2563</v>
      </c>
      <c r="K689" s="2">
        <v>0</v>
      </c>
      <c r="L689" t="s">
        <v>35</v>
      </c>
      <c r="M689" t="s">
        <v>29</v>
      </c>
      <c r="N689" t="s">
        <v>30</v>
      </c>
      <c r="O689">
        <v>37219</v>
      </c>
      <c r="P689" t="s">
        <v>2585</v>
      </c>
      <c r="Q689" s="2">
        <v>0.35</v>
      </c>
      <c r="R689" s="2">
        <v>108</v>
      </c>
      <c r="S689" s="2">
        <v>140</v>
      </c>
      <c r="T689" t="s">
        <v>2541</v>
      </c>
      <c r="U689" s="6">
        <v>30767</v>
      </c>
      <c r="V689" s="2">
        <v>47037015610</v>
      </c>
      <c r="W689" s="2" t="s">
        <v>38</v>
      </c>
      <c r="X689" s="1">
        <v>45658</v>
      </c>
      <c r="Y689" s="2">
        <v>80000</v>
      </c>
      <c r="Z689" s="2">
        <v>0</v>
      </c>
      <c r="AA689" s="2">
        <v>80000</v>
      </c>
    </row>
    <row r="690" spans="1:27" x14ac:dyDescent="0.3">
      <c r="A690" s="3">
        <v>12</v>
      </c>
      <c r="B690" s="2" t="str">
        <f>"09805015100"</f>
        <v>09805015100</v>
      </c>
      <c r="C690" s="2" t="s">
        <v>2586</v>
      </c>
      <c r="D690" t="s">
        <v>2512</v>
      </c>
      <c r="E690" s="2" t="s">
        <v>30</v>
      </c>
      <c r="F690" s="2">
        <v>37076</v>
      </c>
      <c r="G690" s="2" t="s">
        <v>64</v>
      </c>
      <c r="H690" t="s">
        <v>280</v>
      </c>
      <c r="I690" s="6">
        <v>34485</v>
      </c>
      <c r="J690" s="2" t="s">
        <v>2563</v>
      </c>
      <c r="K690" s="2">
        <v>0</v>
      </c>
      <c r="L690" t="s">
        <v>35</v>
      </c>
      <c r="M690" t="s">
        <v>29</v>
      </c>
      <c r="N690" t="s">
        <v>30</v>
      </c>
      <c r="O690">
        <v>37219</v>
      </c>
      <c r="P690" t="s">
        <v>2587</v>
      </c>
      <c r="Q690" s="2">
        <v>0.35</v>
      </c>
      <c r="R690" s="2">
        <v>110</v>
      </c>
      <c r="S690" s="2">
        <v>139</v>
      </c>
      <c r="T690" t="s">
        <v>2541</v>
      </c>
      <c r="U690" s="6">
        <v>30767</v>
      </c>
      <c r="V690" s="2">
        <v>47037015610</v>
      </c>
      <c r="W690" s="2" t="s">
        <v>38</v>
      </c>
      <c r="X690" s="1">
        <v>45658</v>
      </c>
      <c r="Y690" s="2">
        <v>80000</v>
      </c>
      <c r="Z690" s="2">
        <v>0</v>
      </c>
      <c r="AA690" s="2">
        <v>80000</v>
      </c>
    </row>
    <row r="691" spans="1:27" x14ac:dyDescent="0.3">
      <c r="A691" s="3">
        <v>12</v>
      </c>
      <c r="B691" s="2" t="str">
        <f>"09805012900"</f>
        <v>09805012900</v>
      </c>
      <c r="C691" s="2" t="s">
        <v>2588</v>
      </c>
      <c r="D691" t="s">
        <v>2512</v>
      </c>
      <c r="E691" s="2" t="s">
        <v>30</v>
      </c>
      <c r="F691" s="2">
        <v>37076</v>
      </c>
      <c r="G691" s="2" t="s">
        <v>64</v>
      </c>
      <c r="H691" t="s">
        <v>280</v>
      </c>
      <c r="I691" s="6">
        <v>43003</v>
      </c>
      <c r="J691" s="2" t="s">
        <v>2589</v>
      </c>
      <c r="K691" s="2" t="s">
        <v>34</v>
      </c>
      <c r="L691" t="s">
        <v>343</v>
      </c>
      <c r="M691" t="s">
        <v>29</v>
      </c>
      <c r="N691" t="s">
        <v>30</v>
      </c>
      <c r="O691">
        <v>37201</v>
      </c>
      <c r="P691" t="s">
        <v>2590</v>
      </c>
      <c r="Q691" s="2">
        <v>0.17</v>
      </c>
      <c r="R691" s="2">
        <v>43</v>
      </c>
      <c r="S691" s="2">
        <v>205</v>
      </c>
      <c r="T691" t="s">
        <v>2579</v>
      </c>
      <c r="U691" s="6">
        <v>31421</v>
      </c>
      <c r="V691" s="2">
        <v>47037015610</v>
      </c>
      <c r="W691" s="2" t="s">
        <v>38</v>
      </c>
      <c r="X691" s="1">
        <v>45658</v>
      </c>
      <c r="Y691" s="2">
        <v>72000</v>
      </c>
      <c r="Z691" s="2">
        <v>0</v>
      </c>
      <c r="AA691" s="2">
        <v>72000</v>
      </c>
    </row>
    <row r="692" spans="1:27" x14ac:dyDescent="0.3">
      <c r="A692" s="3">
        <v>12</v>
      </c>
      <c r="B692" s="2" t="str">
        <f>"09805015200"</f>
        <v>09805015200</v>
      </c>
      <c r="C692" s="2" t="s">
        <v>2591</v>
      </c>
      <c r="D692" t="s">
        <v>2512</v>
      </c>
      <c r="E692" s="2" t="s">
        <v>30</v>
      </c>
      <c r="F692" s="2">
        <v>37076</v>
      </c>
      <c r="G692" s="2" t="s">
        <v>64</v>
      </c>
      <c r="H692" t="s">
        <v>280</v>
      </c>
      <c r="I692" s="6">
        <v>40157</v>
      </c>
      <c r="J692" s="2" t="s">
        <v>2592</v>
      </c>
      <c r="K692" s="2">
        <v>0</v>
      </c>
      <c r="L692" t="s">
        <v>35</v>
      </c>
      <c r="M692" t="s">
        <v>29</v>
      </c>
      <c r="N692" t="s">
        <v>30</v>
      </c>
      <c r="O692">
        <v>37219</v>
      </c>
      <c r="P692" t="s">
        <v>2593</v>
      </c>
      <c r="Q692" s="2">
        <v>0.35</v>
      </c>
      <c r="R692" s="2">
        <v>110</v>
      </c>
      <c r="S692" s="2">
        <v>139</v>
      </c>
      <c r="T692" t="s">
        <v>2541</v>
      </c>
      <c r="U692" s="6">
        <v>30767</v>
      </c>
      <c r="V692" s="2">
        <v>47037015610</v>
      </c>
      <c r="W692" s="2" t="s">
        <v>38</v>
      </c>
      <c r="X692" s="1">
        <v>45658</v>
      </c>
      <c r="Y692" s="2">
        <v>80000</v>
      </c>
      <c r="Z692" s="2">
        <v>0</v>
      </c>
      <c r="AA692" s="2">
        <v>80000</v>
      </c>
    </row>
    <row r="693" spans="1:27" x14ac:dyDescent="0.3">
      <c r="A693" s="3">
        <v>12</v>
      </c>
      <c r="B693" s="2" t="str">
        <f>"09700016800"</f>
        <v>09700016800</v>
      </c>
      <c r="C693" s="2" t="s">
        <v>2594</v>
      </c>
      <c r="D693" t="s">
        <v>2512</v>
      </c>
      <c r="E693" s="2" t="s">
        <v>30</v>
      </c>
      <c r="F693" s="2">
        <v>37076</v>
      </c>
      <c r="G693" s="2" t="s">
        <v>2595</v>
      </c>
      <c r="H693" t="s">
        <v>379</v>
      </c>
      <c r="I693" s="6">
        <v>38028</v>
      </c>
      <c r="J693" s="2" t="s">
        <v>2596</v>
      </c>
      <c r="K693" s="2">
        <v>0</v>
      </c>
      <c r="L693" t="s">
        <v>35</v>
      </c>
      <c r="M693" t="s">
        <v>29</v>
      </c>
      <c r="N693" t="s">
        <v>30</v>
      </c>
      <c r="O693">
        <v>37219</v>
      </c>
      <c r="P693" t="s">
        <v>2597</v>
      </c>
      <c r="Q693" s="2">
        <v>0.26</v>
      </c>
      <c r="R693" s="2">
        <v>0</v>
      </c>
      <c r="S693" s="2">
        <v>0</v>
      </c>
      <c r="T693" t="s">
        <v>2598</v>
      </c>
      <c r="U693" s="6">
        <v>36158</v>
      </c>
      <c r="V693" s="2">
        <v>47037015610</v>
      </c>
      <c r="W693" s="2" t="s">
        <v>2599</v>
      </c>
      <c r="X693" s="1">
        <v>45658</v>
      </c>
      <c r="Y693" s="2">
        <v>301000</v>
      </c>
      <c r="Z693" s="2">
        <v>0</v>
      </c>
      <c r="AA693" s="2">
        <v>301000</v>
      </c>
    </row>
    <row r="694" spans="1:27" x14ac:dyDescent="0.3">
      <c r="A694" s="3">
        <v>12</v>
      </c>
      <c r="B694" s="2" t="str">
        <f>"08600023700"</f>
        <v>08600023700</v>
      </c>
      <c r="C694" s="2" t="s">
        <v>2600</v>
      </c>
      <c r="D694" t="s">
        <v>2512</v>
      </c>
      <c r="E694" s="2" t="s">
        <v>30</v>
      </c>
      <c r="F694" s="2">
        <v>37076</v>
      </c>
      <c r="G694" s="2" t="s">
        <v>2601</v>
      </c>
      <c r="H694" t="s">
        <v>2602</v>
      </c>
      <c r="I694" s="6">
        <v>45735</v>
      </c>
      <c r="J694" s="2" t="s">
        <v>2603</v>
      </c>
      <c r="K694" s="2">
        <v>0</v>
      </c>
      <c r="L694" t="s">
        <v>2604</v>
      </c>
      <c r="M694" t="s">
        <v>29</v>
      </c>
      <c r="N694" t="s">
        <v>30</v>
      </c>
      <c r="O694">
        <v>37206</v>
      </c>
      <c r="P694" t="s">
        <v>2605</v>
      </c>
      <c r="Q694" s="2">
        <v>22.25</v>
      </c>
      <c r="R694" s="2">
        <v>0</v>
      </c>
      <c r="S694" s="2">
        <v>0</v>
      </c>
      <c r="T694" t="s">
        <v>2606</v>
      </c>
      <c r="U694" s="6">
        <v>28364</v>
      </c>
      <c r="V694" s="2">
        <v>47037015623</v>
      </c>
      <c r="W694" s="2" t="s">
        <v>38</v>
      </c>
      <c r="X694" s="1">
        <v>45658</v>
      </c>
      <c r="Y694" s="2">
        <v>39520800</v>
      </c>
      <c r="Z694" s="2">
        <v>32520800</v>
      </c>
      <c r="AA694" s="2">
        <v>7000000</v>
      </c>
    </row>
    <row r="695" spans="1:27" x14ac:dyDescent="0.3">
      <c r="A695" s="3">
        <v>13</v>
      </c>
      <c r="B695" s="2" t="str">
        <f>"10808032200"</f>
        <v>10808032200</v>
      </c>
      <c r="C695" s="2" t="s">
        <v>2607</v>
      </c>
      <c r="D695" t="s">
        <v>29</v>
      </c>
      <c r="E695" s="2" t="s">
        <v>30</v>
      </c>
      <c r="F695" s="2">
        <v>37214</v>
      </c>
      <c r="G695" s="2" t="s">
        <v>64</v>
      </c>
      <c r="H695" t="s">
        <v>32</v>
      </c>
      <c r="I695" s="6">
        <v>33984</v>
      </c>
      <c r="J695" s="2" t="s">
        <v>2608</v>
      </c>
      <c r="K695" s="2" t="s">
        <v>34</v>
      </c>
      <c r="L695" t="s">
        <v>35</v>
      </c>
      <c r="M695" t="s">
        <v>29</v>
      </c>
      <c r="N695" t="s">
        <v>30</v>
      </c>
      <c r="O695">
        <v>37219</v>
      </c>
      <c r="P695" t="s">
        <v>2609</v>
      </c>
      <c r="Q695" s="2">
        <v>0.34</v>
      </c>
      <c r="R695" s="2">
        <v>242</v>
      </c>
      <c r="S695" s="2">
        <v>91</v>
      </c>
      <c r="T695" t="s">
        <v>2608</v>
      </c>
      <c r="U695" s="6">
        <v>33984</v>
      </c>
      <c r="V695" s="2">
        <v>47037015625</v>
      </c>
      <c r="W695" s="2" t="s">
        <v>38</v>
      </c>
      <c r="X695" s="1">
        <v>45658</v>
      </c>
      <c r="Y695" s="2">
        <v>1000</v>
      </c>
      <c r="Z695" s="2">
        <v>0</v>
      </c>
      <c r="AA695" s="2">
        <v>1000</v>
      </c>
    </row>
    <row r="696" spans="1:27" x14ac:dyDescent="0.3">
      <c r="A696" s="3">
        <v>13</v>
      </c>
      <c r="B696" s="2" t="str">
        <f>"13500042700"</f>
        <v>13500042700</v>
      </c>
      <c r="C696" s="2" t="s">
        <v>2610</v>
      </c>
      <c r="D696" t="s">
        <v>29</v>
      </c>
      <c r="E696" s="2" t="s">
        <v>30</v>
      </c>
      <c r="F696" s="2">
        <v>37217</v>
      </c>
      <c r="G696" s="2" t="s">
        <v>64</v>
      </c>
      <c r="H696" t="s">
        <v>32</v>
      </c>
      <c r="I696" s="6">
        <v>39001</v>
      </c>
      <c r="J696" s="2" t="s">
        <v>2611</v>
      </c>
      <c r="K696" s="2">
        <v>0</v>
      </c>
      <c r="L696" t="s">
        <v>35</v>
      </c>
      <c r="M696" t="s">
        <v>29</v>
      </c>
      <c r="N696" t="s">
        <v>30</v>
      </c>
      <c r="O696">
        <v>37219</v>
      </c>
      <c r="P696" t="s">
        <v>2612</v>
      </c>
      <c r="Q696" s="2">
        <v>24.98</v>
      </c>
      <c r="R696" s="2">
        <v>322</v>
      </c>
      <c r="S696" s="2">
        <v>0</v>
      </c>
      <c r="T696" t="s">
        <v>2613</v>
      </c>
      <c r="U696" s="6">
        <v>38908</v>
      </c>
      <c r="V696" s="2">
        <v>47037015612</v>
      </c>
      <c r="W696" s="2" t="s">
        <v>68</v>
      </c>
      <c r="X696" s="1">
        <v>45658</v>
      </c>
      <c r="Y696" s="2">
        <v>761400</v>
      </c>
      <c r="Z696" s="2">
        <v>0</v>
      </c>
      <c r="AA696" s="2">
        <v>761400</v>
      </c>
    </row>
    <row r="697" spans="1:27" x14ac:dyDescent="0.3">
      <c r="A697" s="3">
        <v>13</v>
      </c>
      <c r="B697" s="2" t="str">
        <f>"13400031900"</f>
        <v>13400031900</v>
      </c>
      <c r="C697" s="2" t="s">
        <v>2614</v>
      </c>
      <c r="D697" t="s">
        <v>29</v>
      </c>
      <c r="E697" s="2" t="s">
        <v>30</v>
      </c>
      <c r="F697" s="2">
        <v>37217</v>
      </c>
      <c r="G697" s="2" t="s">
        <v>1485</v>
      </c>
      <c r="H697" t="s">
        <v>32</v>
      </c>
      <c r="I697" s="6">
        <v>41976</v>
      </c>
      <c r="J697" s="2" t="s">
        <v>2615</v>
      </c>
      <c r="K697" s="2">
        <v>0</v>
      </c>
      <c r="L697" t="s">
        <v>35</v>
      </c>
      <c r="M697" t="s">
        <v>29</v>
      </c>
      <c r="N697" t="s">
        <v>30</v>
      </c>
      <c r="O697">
        <v>37219</v>
      </c>
      <c r="P697" t="s">
        <v>2616</v>
      </c>
      <c r="Q697" s="2">
        <v>22.23</v>
      </c>
      <c r="R697" s="2">
        <v>0</v>
      </c>
      <c r="S697" s="2">
        <v>0</v>
      </c>
      <c r="T697" t="s">
        <v>2615</v>
      </c>
      <c r="U697" s="6">
        <v>41976</v>
      </c>
      <c r="V697" s="2">
        <v>47037980100</v>
      </c>
      <c r="W697" s="2" t="s">
        <v>68</v>
      </c>
      <c r="X697" s="1">
        <v>45658</v>
      </c>
      <c r="Y697" s="2">
        <v>1222700</v>
      </c>
      <c r="Z697" s="2">
        <v>0</v>
      </c>
      <c r="AA697" s="2">
        <v>1222700</v>
      </c>
    </row>
    <row r="698" spans="1:27" x14ac:dyDescent="0.3">
      <c r="A698" s="3">
        <v>13</v>
      </c>
      <c r="B698" s="2" t="str">
        <f>"12100021200"</f>
        <v>12100021200</v>
      </c>
      <c r="C698" s="2" t="s">
        <v>2617</v>
      </c>
      <c r="D698" t="s">
        <v>29</v>
      </c>
      <c r="E698" s="2" t="s">
        <v>30</v>
      </c>
      <c r="F698" s="2">
        <v>37214</v>
      </c>
      <c r="G698" s="2" t="s">
        <v>194</v>
      </c>
      <c r="H698" t="s">
        <v>2618</v>
      </c>
      <c r="I698" s="6">
        <v>44180</v>
      </c>
      <c r="J698" s="2" t="s">
        <v>2619</v>
      </c>
      <c r="K698" s="2" t="s">
        <v>34</v>
      </c>
      <c r="L698" t="s">
        <v>2620</v>
      </c>
      <c r="M698" t="s">
        <v>29</v>
      </c>
      <c r="N698" t="s">
        <v>30</v>
      </c>
      <c r="O698">
        <v>37214</v>
      </c>
      <c r="P698" t="s">
        <v>2621</v>
      </c>
      <c r="Q698" s="2">
        <v>2.94</v>
      </c>
      <c r="R698" s="2">
        <v>234</v>
      </c>
      <c r="S698" s="2">
        <v>437</v>
      </c>
      <c r="T698" t="s">
        <v>2622</v>
      </c>
      <c r="U698" s="6">
        <v>28361</v>
      </c>
      <c r="V698" s="2">
        <v>47037015625</v>
      </c>
      <c r="W698" s="2" t="s">
        <v>38</v>
      </c>
      <c r="X698" s="1">
        <v>45658</v>
      </c>
      <c r="Y698" s="2">
        <v>174900</v>
      </c>
      <c r="Z698" s="2">
        <v>0</v>
      </c>
      <c r="AA698" s="2">
        <v>174900</v>
      </c>
    </row>
    <row r="699" spans="1:27" x14ac:dyDescent="0.3">
      <c r="A699" s="3">
        <v>13</v>
      </c>
      <c r="B699" s="2" t="str">
        <f>"10808009100"</f>
        <v>10808009100</v>
      </c>
      <c r="C699" s="2" t="s">
        <v>2623</v>
      </c>
      <c r="D699" t="s">
        <v>29</v>
      </c>
      <c r="E699" s="2" t="s">
        <v>30</v>
      </c>
      <c r="F699" s="2">
        <v>37214</v>
      </c>
      <c r="G699" s="2" t="s">
        <v>64</v>
      </c>
      <c r="H699" t="s">
        <v>99</v>
      </c>
      <c r="I699" s="6">
        <v>40443</v>
      </c>
      <c r="J699" s="2" t="s">
        <v>2624</v>
      </c>
      <c r="K699" s="2">
        <v>669</v>
      </c>
      <c r="L699" t="s">
        <v>35</v>
      </c>
      <c r="M699" t="s">
        <v>29</v>
      </c>
      <c r="N699" t="s">
        <v>30</v>
      </c>
      <c r="O699">
        <v>37219</v>
      </c>
      <c r="P699" t="s">
        <v>2625</v>
      </c>
      <c r="Q699" s="2">
        <v>0.05</v>
      </c>
      <c r="R699" s="2">
        <v>65</v>
      </c>
      <c r="S699" s="2">
        <v>36</v>
      </c>
      <c r="T699" t="s">
        <v>2626</v>
      </c>
      <c r="U699" s="6">
        <v>29117</v>
      </c>
      <c r="V699" s="2">
        <v>47037015624</v>
      </c>
      <c r="W699" s="2" t="s">
        <v>38</v>
      </c>
      <c r="X699" s="1">
        <v>45658</v>
      </c>
      <c r="Y699" s="2">
        <v>1000</v>
      </c>
      <c r="Z699" s="2">
        <v>0</v>
      </c>
      <c r="AA699" s="2">
        <v>1000</v>
      </c>
    </row>
    <row r="700" spans="1:27" x14ac:dyDescent="0.3">
      <c r="A700" s="3">
        <v>13</v>
      </c>
      <c r="B700" s="2" t="str">
        <f>"12000014900"</f>
        <v>12000014900</v>
      </c>
      <c r="C700" s="2" t="s">
        <v>2627</v>
      </c>
      <c r="D700" t="s">
        <v>29</v>
      </c>
      <c r="E700" s="2" t="s">
        <v>30</v>
      </c>
      <c r="F700" s="2">
        <v>37217</v>
      </c>
      <c r="G700" s="2" t="s">
        <v>64</v>
      </c>
      <c r="H700" t="s">
        <v>2628</v>
      </c>
      <c r="I700" s="6">
        <v>41444</v>
      </c>
      <c r="J700" s="2" t="s">
        <v>2629</v>
      </c>
      <c r="K700" s="2">
        <v>1435</v>
      </c>
      <c r="L700" t="s">
        <v>35</v>
      </c>
      <c r="M700" t="s">
        <v>29</v>
      </c>
      <c r="N700" t="s">
        <v>30</v>
      </c>
      <c r="O700">
        <v>37219</v>
      </c>
      <c r="P700" t="s">
        <v>2630</v>
      </c>
      <c r="Q700" s="2">
        <v>0.32</v>
      </c>
      <c r="R700" s="2">
        <v>266</v>
      </c>
      <c r="S700" s="2">
        <v>131</v>
      </c>
      <c r="T700" t="s">
        <v>2631</v>
      </c>
      <c r="U700" s="6">
        <v>33084</v>
      </c>
      <c r="V700" s="2">
        <v>47037015700</v>
      </c>
      <c r="W700" s="2" t="s">
        <v>68</v>
      </c>
      <c r="X700" s="1">
        <v>45658</v>
      </c>
      <c r="Y700" s="2">
        <v>48000</v>
      </c>
      <c r="Z700" s="2">
        <v>0</v>
      </c>
      <c r="AA700" s="2">
        <v>48000</v>
      </c>
    </row>
    <row r="701" spans="1:27" x14ac:dyDescent="0.3">
      <c r="A701" s="3">
        <v>13</v>
      </c>
      <c r="B701" s="2" t="str">
        <f>"12002004900"</f>
        <v>12002004900</v>
      </c>
      <c r="C701" s="2" t="s">
        <v>2632</v>
      </c>
      <c r="D701" t="s">
        <v>29</v>
      </c>
      <c r="E701" s="2" t="s">
        <v>30</v>
      </c>
      <c r="F701" s="2">
        <v>37217</v>
      </c>
      <c r="G701" s="2" t="s">
        <v>147</v>
      </c>
      <c r="H701" t="s">
        <v>2633</v>
      </c>
      <c r="I701" s="6">
        <v>22714</v>
      </c>
      <c r="J701" s="2" t="s">
        <v>2634</v>
      </c>
      <c r="K701" s="2" t="s">
        <v>34</v>
      </c>
      <c r="L701" t="s">
        <v>35</v>
      </c>
      <c r="M701" t="s">
        <v>29</v>
      </c>
      <c r="N701" t="s">
        <v>30</v>
      </c>
      <c r="O701">
        <v>37219</v>
      </c>
      <c r="P701" t="s">
        <v>2635</v>
      </c>
      <c r="Q701" s="2">
        <v>0.49</v>
      </c>
      <c r="R701" s="2">
        <v>100</v>
      </c>
      <c r="S701" s="2">
        <v>180</v>
      </c>
      <c r="T701" t="s">
        <v>2634</v>
      </c>
      <c r="U701" s="6">
        <v>22714</v>
      </c>
      <c r="V701" s="2">
        <v>47037015802</v>
      </c>
      <c r="W701" s="2" t="s">
        <v>68</v>
      </c>
      <c r="X701" s="1">
        <v>45658</v>
      </c>
      <c r="Y701" s="2">
        <v>192100</v>
      </c>
      <c r="Z701" s="2">
        <v>0</v>
      </c>
      <c r="AA701" s="2">
        <v>192100</v>
      </c>
    </row>
    <row r="702" spans="1:27" x14ac:dyDescent="0.3">
      <c r="A702" s="3">
        <v>13</v>
      </c>
      <c r="B702" s="2" t="str">
        <f>"12000015700"</f>
        <v>12000015700</v>
      </c>
      <c r="C702" s="2" t="s">
        <v>2636</v>
      </c>
      <c r="D702" t="s">
        <v>29</v>
      </c>
      <c r="E702" s="2" t="s">
        <v>30</v>
      </c>
      <c r="F702" s="2">
        <v>37217</v>
      </c>
      <c r="G702" s="2" t="s">
        <v>41</v>
      </c>
      <c r="H702" t="s">
        <v>1668</v>
      </c>
      <c r="I702" s="6">
        <v>35856</v>
      </c>
      <c r="J702" s="2" t="s">
        <v>2637</v>
      </c>
      <c r="K702" s="2" t="s">
        <v>34</v>
      </c>
      <c r="L702" t="s">
        <v>35</v>
      </c>
      <c r="M702" t="s">
        <v>29</v>
      </c>
      <c r="N702" t="s">
        <v>30</v>
      </c>
      <c r="O702">
        <v>37219</v>
      </c>
      <c r="P702" t="s">
        <v>2638</v>
      </c>
      <c r="Q702" s="2">
        <v>65.09</v>
      </c>
      <c r="R702" s="2">
        <v>0</v>
      </c>
      <c r="S702" s="2">
        <v>0</v>
      </c>
      <c r="T702" t="s">
        <v>2639</v>
      </c>
      <c r="U702" s="6">
        <v>40388</v>
      </c>
      <c r="V702" s="2">
        <v>47037980100</v>
      </c>
      <c r="W702" s="2" t="s">
        <v>68</v>
      </c>
      <c r="X702" s="1">
        <v>45658</v>
      </c>
      <c r="Y702" s="2">
        <v>7290100</v>
      </c>
      <c r="Z702" s="2">
        <v>0</v>
      </c>
      <c r="AA702" s="2">
        <v>7290100</v>
      </c>
    </row>
    <row r="703" spans="1:27" x14ac:dyDescent="0.3">
      <c r="A703" s="3">
        <v>13</v>
      </c>
      <c r="B703" s="2" t="str">
        <f>"12100000900"</f>
        <v>12100000900</v>
      </c>
      <c r="C703" s="2" t="s">
        <v>2640</v>
      </c>
      <c r="D703" t="s">
        <v>29</v>
      </c>
      <c r="E703" s="2" t="s">
        <v>30</v>
      </c>
      <c r="F703" s="2">
        <v>37214</v>
      </c>
      <c r="G703" s="2" t="s">
        <v>152</v>
      </c>
      <c r="H703" t="s">
        <v>176</v>
      </c>
      <c r="I703" s="6">
        <v>35767</v>
      </c>
      <c r="J703" s="2" t="s">
        <v>2641</v>
      </c>
      <c r="K703" s="2">
        <v>300000</v>
      </c>
      <c r="L703" t="s">
        <v>178</v>
      </c>
      <c r="M703" t="s">
        <v>29</v>
      </c>
      <c r="N703" t="s">
        <v>30</v>
      </c>
      <c r="O703">
        <v>37246</v>
      </c>
      <c r="P703" t="s">
        <v>2642</v>
      </c>
      <c r="Q703" s="2">
        <v>14.86</v>
      </c>
      <c r="R703" s="2">
        <v>0</v>
      </c>
      <c r="S703" s="2">
        <v>0</v>
      </c>
      <c r="T703" t="s">
        <v>2643</v>
      </c>
      <c r="U703" s="6">
        <v>32191</v>
      </c>
      <c r="V703" s="2">
        <v>47037015625</v>
      </c>
      <c r="W703" s="2" t="s">
        <v>38</v>
      </c>
      <c r="X703" s="1">
        <v>45658</v>
      </c>
      <c r="Y703" s="2">
        <v>924400</v>
      </c>
      <c r="Z703" s="2">
        <v>0</v>
      </c>
      <c r="AA703" s="2">
        <v>924400</v>
      </c>
    </row>
    <row r="704" spans="1:27" x14ac:dyDescent="0.3">
      <c r="A704" s="3">
        <v>13</v>
      </c>
      <c r="B704" s="2" t="str">
        <f>"13400001801"</f>
        <v>13400001801</v>
      </c>
      <c r="C704" s="2" t="s">
        <v>2644</v>
      </c>
      <c r="D704" t="s">
        <v>29</v>
      </c>
      <c r="E704" s="2" t="s">
        <v>30</v>
      </c>
      <c r="F704" s="2">
        <v>37217</v>
      </c>
      <c r="G704" s="2" t="s">
        <v>152</v>
      </c>
      <c r="H704" t="s">
        <v>176</v>
      </c>
      <c r="I704" s="6">
        <v>19886</v>
      </c>
      <c r="J704" s="2" t="s">
        <v>2645</v>
      </c>
      <c r="K704" s="2" t="s">
        <v>34</v>
      </c>
      <c r="L704" t="s">
        <v>178</v>
      </c>
      <c r="M704" t="s">
        <v>29</v>
      </c>
      <c r="N704" t="s">
        <v>30</v>
      </c>
      <c r="O704">
        <v>37246</v>
      </c>
      <c r="P704" t="s">
        <v>2646</v>
      </c>
      <c r="Q704" s="2">
        <v>2.75</v>
      </c>
      <c r="R704" s="2">
        <v>0</v>
      </c>
      <c r="S704" s="2">
        <v>0</v>
      </c>
      <c r="T704" t="s">
        <v>2645</v>
      </c>
      <c r="U704" s="6">
        <v>19886</v>
      </c>
      <c r="V704" s="2">
        <v>47037980100</v>
      </c>
      <c r="W704" s="2" t="s">
        <v>68</v>
      </c>
      <c r="X704" s="1">
        <v>45658</v>
      </c>
      <c r="Y704" s="2">
        <v>126500</v>
      </c>
      <c r="Z704" s="2">
        <v>0</v>
      </c>
      <c r="AA704" s="2">
        <v>126500</v>
      </c>
    </row>
    <row r="705" spans="1:27" x14ac:dyDescent="0.3">
      <c r="A705" s="3">
        <v>13</v>
      </c>
      <c r="B705" s="2" t="str">
        <f>"12001013700"</f>
        <v>12001013700</v>
      </c>
      <c r="C705" s="2" t="s">
        <v>2647</v>
      </c>
      <c r="D705" t="s">
        <v>29</v>
      </c>
      <c r="E705" s="2" t="s">
        <v>30</v>
      </c>
      <c r="F705" s="2">
        <v>37217</v>
      </c>
      <c r="G705" s="2" t="s">
        <v>152</v>
      </c>
      <c r="H705" t="s">
        <v>176</v>
      </c>
      <c r="I705" s="6">
        <v>18003</v>
      </c>
      <c r="J705" s="2" t="s">
        <v>2648</v>
      </c>
      <c r="K705" s="2" t="s">
        <v>34</v>
      </c>
      <c r="L705" t="s">
        <v>178</v>
      </c>
      <c r="M705" t="s">
        <v>29</v>
      </c>
      <c r="N705" t="s">
        <v>30</v>
      </c>
      <c r="O705">
        <v>37246</v>
      </c>
      <c r="P705" t="s">
        <v>2649</v>
      </c>
      <c r="Q705" s="2">
        <v>0.19</v>
      </c>
      <c r="R705" s="2">
        <v>20</v>
      </c>
      <c r="S705" s="2">
        <v>208</v>
      </c>
      <c r="T705" t="s">
        <v>62</v>
      </c>
      <c r="U705" s="6">
        <v>35432</v>
      </c>
      <c r="V705" s="2">
        <v>47037015802</v>
      </c>
      <c r="W705" s="2" t="s">
        <v>68</v>
      </c>
      <c r="X705" s="1">
        <v>45658</v>
      </c>
      <c r="Y705" s="2">
        <v>26900</v>
      </c>
      <c r="Z705" s="2">
        <v>0</v>
      </c>
      <c r="AA705" s="2">
        <v>26900</v>
      </c>
    </row>
    <row r="706" spans="1:27" x14ac:dyDescent="0.3">
      <c r="A706" s="3">
        <v>13</v>
      </c>
      <c r="B706" s="2" t="str">
        <f>"10705017500"</f>
        <v>10705017500</v>
      </c>
      <c r="C706" s="2" t="s">
        <v>2650</v>
      </c>
      <c r="D706" t="s">
        <v>29</v>
      </c>
      <c r="E706" s="2" t="s">
        <v>30</v>
      </c>
      <c r="F706" s="2">
        <v>37217</v>
      </c>
      <c r="G706" s="2" t="s">
        <v>152</v>
      </c>
      <c r="H706" t="s">
        <v>176</v>
      </c>
      <c r="I706" s="6">
        <v>21845</v>
      </c>
      <c r="J706" s="2" t="s">
        <v>2651</v>
      </c>
      <c r="K706" s="2" t="s">
        <v>34</v>
      </c>
      <c r="L706" t="s">
        <v>178</v>
      </c>
      <c r="M706" t="s">
        <v>29</v>
      </c>
      <c r="N706" t="s">
        <v>30</v>
      </c>
      <c r="O706">
        <v>37246</v>
      </c>
      <c r="P706" t="s">
        <v>2652</v>
      </c>
      <c r="Q706" s="2">
        <v>0.22</v>
      </c>
      <c r="R706" s="2">
        <v>72</v>
      </c>
      <c r="S706" s="2">
        <v>140</v>
      </c>
      <c r="T706" t="s">
        <v>2651</v>
      </c>
      <c r="U706" s="6">
        <v>21845</v>
      </c>
      <c r="V706" s="2">
        <v>47037015804</v>
      </c>
      <c r="W706" s="2" t="s">
        <v>68</v>
      </c>
      <c r="X706" s="1">
        <v>45658</v>
      </c>
      <c r="Y706" s="2">
        <v>52200</v>
      </c>
      <c r="Z706" s="2">
        <v>0</v>
      </c>
      <c r="AA706" s="2">
        <v>52200</v>
      </c>
    </row>
    <row r="707" spans="1:27" x14ac:dyDescent="0.3">
      <c r="A707" s="3">
        <v>13</v>
      </c>
      <c r="B707" s="2" t="str">
        <f>"12009010000"</f>
        <v>12009010000</v>
      </c>
      <c r="C707" s="2" t="s">
        <v>2653</v>
      </c>
      <c r="D707" t="s">
        <v>29</v>
      </c>
      <c r="E707" s="2" t="s">
        <v>30</v>
      </c>
      <c r="F707" s="2">
        <v>37217</v>
      </c>
      <c r="G707" s="2" t="s">
        <v>152</v>
      </c>
      <c r="H707" t="s">
        <v>176</v>
      </c>
      <c r="I707" s="6">
        <v>22867</v>
      </c>
      <c r="J707" s="2" t="s">
        <v>2654</v>
      </c>
      <c r="K707" s="2" t="s">
        <v>34</v>
      </c>
      <c r="L707" t="s">
        <v>178</v>
      </c>
      <c r="M707" t="s">
        <v>29</v>
      </c>
      <c r="N707" t="s">
        <v>30</v>
      </c>
      <c r="O707">
        <v>37246</v>
      </c>
      <c r="P707" t="s">
        <v>2655</v>
      </c>
      <c r="Q707" s="2">
        <v>0.34</v>
      </c>
      <c r="R707" s="2">
        <v>95</v>
      </c>
      <c r="S707" s="2">
        <v>186</v>
      </c>
      <c r="T707" t="s">
        <v>2654</v>
      </c>
      <c r="U707" s="6">
        <v>22867</v>
      </c>
      <c r="V707" s="2">
        <v>47037015700</v>
      </c>
      <c r="W707" s="2" t="s">
        <v>68</v>
      </c>
      <c r="X707" s="1">
        <v>45658</v>
      </c>
      <c r="Y707" s="2">
        <v>77100</v>
      </c>
      <c r="Z707" s="2">
        <v>0</v>
      </c>
      <c r="AA707" s="2">
        <v>77100</v>
      </c>
    </row>
    <row r="708" spans="1:27" x14ac:dyDescent="0.3">
      <c r="A708" s="3">
        <v>13</v>
      </c>
      <c r="B708" s="2" t="str">
        <f>"12000006200"</f>
        <v>12000006200</v>
      </c>
      <c r="C708" s="2" t="s">
        <v>2656</v>
      </c>
      <c r="D708" t="s">
        <v>29</v>
      </c>
      <c r="E708" s="2" t="s">
        <v>30</v>
      </c>
      <c r="F708" s="2">
        <v>37217</v>
      </c>
      <c r="G708" s="2" t="s">
        <v>200</v>
      </c>
      <c r="H708" t="s">
        <v>2657</v>
      </c>
      <c r="I708" s="6">
        <v>23434</v>
      </c>
      <c r="J708" s="2" t="s">
        <v>2658</v>
      </c>
      <c r="K708" s="2" t="s">
        <v>34</v>
      </c>
      <c r="L708" t="s">
        <v>35</v>
      </c>
      <c r="M708" t="s">
        <v>29</v>
      </c>
      <c r="N708" t="s">
        <v>30</v>
      </c>
      <c r="O708">
        <v>37219</v>
      </c>
      <c r="P708" t="s">
        <v>2659</v>
      </c>
      <c r="Q708" s="2">
        <v>72.7</v>
      </c>
      <c r="R708" s="2">
        <v>0</v>
      </c>
      <c r="S708" s="2">
        <v>0</v>
      </c>
      <c r="T708" t="s">
        <v>278</v>
      </c>
      <c r="U708" s="6">
        <v>36587</v>
      </c>
      <c r="V708" s="2">
        <v>47037015700</v>
      </c>
      <c r="W708" s="2" t="s">
        <v>68</v>
      </c>
      <c r="X708" s="1">
        <v>45658</v>
      </c>
      <c r="Y708" s="2">
        <v>2912200</v>
      </c>
      <c r="Z708" s="2">
        <v>0</v>
      </c>
      <c r="AA708" s="2">
        <v>2912200</v>
      </c>
    </row>
    <row r="709" spans="1:27" x14ac:dyDescent="0.3">
      <c r="A709" s="3">
        <v>13</v>
      </c>
      <c r="B709" s="2" t="str">
        <f>"12000011900"</f>
        <v>12000011900</v>
      </c>
      <c r="C709" s="2" t="s">
        <v>2627</v>
      </c>
      <c r="D709" t="s">
        <v>29</v>
      </c>
      <c r="E709" s="2" t="s">
        <v>30</v>
      </c>
      <c r="F709" s="2">
        <v>37217</v>
      </c>
      <c r="G709" s="2" t="s">
        <v>200</v>
      </c>
      <c r="H709" t="s">
        <v>2657</v>
      </c>
      <c r="I709" s="6">
        <v>23083</v>
      </c>
      <c r="J709" s="2" t="s">
        <v>2660</v>
      </c>
      <c r="K709" s="2" t="s">
        <v>34</v>
      </c>
      <c r="L709" t="s">
        <v>35</v>
      </c>
      <c r="M709" t="s">
        <v>29</v>
      </c>
      <c r="N709" t="s">
        <v>30</v>
      </c>
      <c r="O709">
        <v>37219</v>
      </c>
      <c r="P709" t="s">
        <v>2661</v>
      </c>
      <c r="Q709" s="2">
        <v>3.11</v>
      </c>
      <c r="R709" s="2">
        <v>0</v>
      </c>
      <c r="S709" s="2">
        <v>0</v>
      </c>
      <c r="T709" t="s">
        <v>2660</v>
      </c>
      <c r="U709" s="6">
        <v>23083</v>
      </c>
      <c r="V709" s="2">
        <v>47037015700</v>
      </c>
      <c r="W709" s="2" t="s">
        <v>68</v>
      </c>
      <c r="X709" s="1">
        <v>45658</v>
      </c>
      <c r="Y709" s="2">
        <v>147200</v>
      </c>
      <c r="Z709" s="2">
        <v>0</v>
      </c>
      <c r="AA709" s="2">
        <v>147200</v>
      </c>
    </row>
    <row r="710" spans="1:27" x14ac:dyDescent="0.3">
      <c r="A710" s="3">
        <v>13</v>
      </c>
      <c r="B710" s="2" t="str">
        <f>"13500041200"</f>
        <v>13500041200</v>
      </c>
      <c r="C710" s="2" t="s">
        <v>2662</v>
      </c>
      <c r="D710" t="s">
        <v>29</v>
      </c>
      <c r="E710" s="2" t="s">
        <v>30</v>
      </c>
      <c r="F710" s="2">
        <v>37217</v>
      </c>
      <c r="G710" s="2" t="s">
        <v>1471</v>
      </c>
      <c r="H710" t="s">
        <v>1332</v>
      </c>
      <c r="I710" s="6">
        <v>37315</v>
      </c>
      <c r="J710" s="2" t="s">
        <v>2663</v>
      </c>
      <c r="K710" s="2">
        <v>0</v>
      </c>
      <c r="L710" t="s">
        <v>35</v>
      </c>
      <c r="M710" t="s">
        <v>29</v>
      </c>
      <c r="N710" t="s">
        <v>30</v>
      </c>
      <c r="O710">
        <v>37219</v>
      </c>
      <c r="P710" t="s">
        <v>2664</v>
      </c>
      <c r="Q710" s="2">
        <v>10</v>
      </c>
      <c r="R710" s="2">
        <v>0</v>
      </c>
      <c r="S710" s="2">
        <v>0</v>
      </c>
      <c r="T710" t="s">
        <v>2665</v>
      </c>
      <c r="U710" s="6">
        <v>36990</v>
      </c>
      <c r="V710" s="2">
        <v>47037015612</v>
      </c>
      <c r="W710" s="2" t="s">
        <v>68</v>
      </c>
      <c r="X710" s="1">
        <v>45658</v>
      </c>
      <c r="Y710" s="2">
        <v>827200</v>
      </c>
      <c r="Z710" s="2">
        <v>195400</v>
      </c>
      <c r="AA710" s="2">
        <v>631800</v>
      </c>
    </row>
    <row r="711" spans="1:27" x14ac:dyDescent="0.3">
      <c r="A711" s="3">
        <v>13</v>
      </c>
      <c r="B711" s="2" t="str">
        <f>"12000002400"</f>
        <v>12000002400</v>
      </c>
      <c r="C711" s="2" t="s">
        <v>2666</v>
      </c>
      <c r="D711" t="s">
        <v>29</v>
      </c>
      <c r="E711" s="2" t="s">
        <v>30</v>
      </c>
      <c r="F711" s="2">
        <v>37217</v>
      </c>
      <c r="G711" s="2" t="s">
        <v>253</v>
      </c>
      <c r="H711" t="s">
        <v>2667</v>
      </c>
      <c r="I711" s="6">
        <v>22658</v>
      </c>
      <c r="J711" s="2" t="s">
        <v>2668</v>
      </c>
      <c r="K711" s="2" t="s">
        <v>34</v>
      </c>
      <c r="L711" t="s">
        <v>35</v>
      </c>
      <c r="M711" t="s">
        <v>29</v>
      </c>
      <c r="N711" t="s">
        <v>30</v>
      </c>
      <c r="O711">
        <v>37219</v>
      </c>
      <c r="P711" t="s">
        <v>2669</v>
      </c>
      <c r="Q711" s="2">
        <v>10.9</v>
      </c>
      <c r="R711" s="2">
        <v>0</v>
      </c>
      <c r="S711" s="2">
        <v>0</v>
      </c>
      <c r="T711" t="s">
        <v>2668</v>
      </c>
      <c r="U711" s="6">
        <v>22658</v>
      </c>
      <c r="V711" s="2">
        <v>47037015700</v>
      </c>
      <c r="W711" s="2" t="s">
        <v>68</v>
      </c>
      <c r="X711" s="1">
        <v>45658</v>
      </c>
      <c r="Y711" s="2">
        <v>740400</v>
      </c>
      <c r="Z711" s="2">
        <v>0</v>
      </c>
      <c r="AA711" s="2">
        <v>740400</v>
      </c>
    </row>
    <row r="712" spans="1:27" x14ac:dyDescent="0.3">
      <c r="A712" s="3">
        <v>13</v>
      </c>
      <c r="B712" s="2" t="str">
        <f>"10713001800"</f>
        <v>10713001800</v>
      </c>
      <c r="C712" s="2" t="s">
        <v>2670</v>
      </c>
      <c r="D712" t="s">
        <v>29</v>
      </c>
      <c r="E712" s="2" t="s">
        <v>30</v>
      </c>
      <c r="F712" s="2">
        <v>37217</v>
      </c>
      <c r="G712" s="2" t="s">
        <v>64</v>
      </c>
      <c r="H712" t="s">
        <v>2671</v>
      </c>
      <c r="I712" s="6">
        <v>40630</v>
      </c>
      <c r="J712" s="2" t="s">
        <v>2672</v>
      </c>
      <c r="K712" s="2">
        <v>125000</v>
      </c>
      <c r="L712" t="s">
        <v>35</v>
      </c>
      <c r="M712" t="s">
        <v>29</v>
      </c>
      <c r="N712" t="s">
        <v>30</v>
      </c>
      <c r="O712">
        <v>37219</v>
      </c>
      <c r="P712" t="s">
        <v>2673</v>
      </c>
      <c r="Q712" s="2">
        <v>0.95</v>
      </c>
      <c r="R712" s="2">
        <v>185</v>
      </c>
      <c r="S712" s="2">
        <v>279</v>
      </c>
      <c r="T712" t="s">
        <v>2674</v>
      </c>
      <c r="U712" s="6">
        <v>20948</v>
      </c>
      <c r="V712" s="2">
        <v>47037015804</v>
      </c>
      <c r="W712" s="2" t="s">
        <v>68</v>
      </c>
      <c r="X712" s="1">
        <v>45658</v>
      </c>
      <c r="Y712" s="2">
        <v>101300</v>
      </c>
      <c r="Z712" s="2">
        <v>0</v>
      </c>
      <c r="AA712" s="2">
        <v>101300</v>
      </c>
    </row>
    <row r="713" spans="1:27" x14ac:dyDescent="0.3">
      <c r="A713" s="3">
        <v>13</v>
      </c>
      <c r="B713" s="2" t="str">
        <f>"10713014600"</f>
        <v>10713014600</v>
      </c>
      <c r="C713" s="2" t="s">
        <v>2675</v>
      </c>
      <c r="D713" t="s">
        <v>29</v>
      </c>
      <c r="E713" s="2" t="s">
        <v>30</v>
      </c>
      <c r="F713" s="2">
        <v>37217</v>
      </c>
      <c r="G713" s="2" t="s">
        <v>253</v>
      </c>
      <c r="H713" t="s">
        <v>2671</v>
      </c>
      <c r="I713" s="6">
        <v>20600</v>
      </c>
      <c r="J713" s="2" t="s">
        <v>2676</v>
      </c>
      <c r="K713" s="2" t="s">
        <v>34</v>
      </c>
      <c r="L713" t="s">
        <v>35</v>
      </c>
      <c r="M713" t="s">
        <v>29</v>
      </c>
      <c r="N713" t="s">
        <v>30</v>
      </c>
      <c r="O713">
        <v>37219</v>
      </c>
      <c r="P713" t="s">
        <v>2677</v>
      </c>
      <c r="Q713" s="2">
        <v>9.6</v>
      </c>
      <c r="R713" s="2">
        <v>0</v>
      </c>
      <c r="S713" s="2">
        <v>0</v>
      </c>
      <c r="T713" t="s">
        <v>2678</v>
      </c>
      <c r="U713" s="6">
        <v>18154</v>
      </c>
      <c r="V713" s="2">
        <v>47037015804</v>
      </c>
      <c r="W713" s="2" t="s">
        <v>68</v>
      </c>
      <c r="X713" s="1">
        <v>45658</v>
      </c>
      <c r="Y713" s="2">
        <v>748500</v>
      </c>
      <c r="Z713" s="2">
        <v>0</v>
      </c>
      <c r="AA713" s="2">
        <v>748500</v>
      </c>
    </row>
    <row r="714" spans="1:27" x14ac:dyDescent="0.3">
      <c r="A714" s="3">
        <v>13</v>
      </c>
      <c r="B714" s="2" t="str">
        <f>"13500023700"</f>
        <v>13500023700</v>
      </c>
      <c r="C714" s="2" t="s">
        <v>2679</v>
      </c>
      <c r="D714" t="s">
        <v>29</v>
      </c>
      <c r="E714" s="2" t="s">
        <v>30</v>
      </c>
      <c r="F714" s="2">
        <v>37217</v>
      </c>
      <c r="G714" s="2" t="s">
        <v>253</v>
      </c>
      <c r="H714" t="s">
        <v>2680</v>
      </c>
      <c r="I714" s="6">
        <v>18651</v>
      </c>
      <c r="J714" s="2" t="s">
        <v>2681</v>
      </c>
      <c r="K714" s="2" t="s">
        <v>34</v>
      </c>
      <c r="L714" t="s">
        <v>35</v>
      </c>
      <c r="M714" t="s">
        <v>29</v>
      </c>
      <c r="N714" t="s">
        <v>30</v>
      </c>
      <c r="O714">
        <v>37219</v>
      </c>
      <c r="P714" t="s">
        <v>2682</v>
      </c>
      <c r="Q714" s="2">
        <v>11.72</v>
      </c>
      <c r="R714" s="2">
        <v>0</v>
      </c>
      <c r="S714" s="2">
        <v>0</v>
      </c>
      <c r="T714" t="s">
        <v>2681</v>
      </c>
      <c r="U714" s="6">
        <v>18651</v>
      </c>
      <c r="V714" s="2">
        <v>47037015612</v>
      </c>
      <c r="W714" s="2" t="s">
        <v>68</v>
      </c>
      <c r="X714" s="1">
        <v>45658</v>
      </c>
      <c r="Y714" s="2">
        <v>913000</v>
      </c>
      <c r="Z714" s="2">
        <v>0</v>
      </c>
      <c r="AA714" s="2">
        <v>913000</v>
      </c>
    </row>
    <row r="715" spans="1:27" x14ac:dyDescent="0.3">
      <c r="A715" s="3">
        <v>13</v>
      </c>
      <c r="B715" s="2" t="str">
        <f>"12000016200"</f>
        <v>12000016200</v>
      </c>
      <c r="C715" s="2" t="s">
        <v>2683</v>
      </c>
      <c r="D715" t="s">
        <v>29</v>
      </c>
      <c r="E715" s="2" t="s">
        <v>30</v>
      </c>
      <c r="F715" s="2">
        <v>37217</v>
      </c>
      <c r="G715" s="2" t="s">
        <v>1471</v>
      </c>
      <c r="H715" t="s">
        <v>280</v>
      </c>
      <c r="I715" s="6">
        <v>15915</v>
      </c>
      <c r="J715" s="2" t="s">
        <v>2684</v>
      </c>
      <c r="K715" s="2">
        <v>0</v>
      </c>
      <c r="L715" t="s">
        <v>35</v>
      </c>
      <c r="M715" t="s">
        <v>29</v>
      </c>
      <c r="N715" t="s">
        <v>30</v>
      </c>
      <c r="O715">
        <v>37219</v>
      </c>
      <c r="P715" t="s">
        <v>2685</v>
      </c>
      <c r="Q715" s="2">
        <v>2.16</v>
      </c>
      <c r="R715" s="2">
        <v>290</v>
      </c>
      <c r="S715" s="2">
        <v>325</v>
      </c>
      <c r="T715" t="s">
        <v>2684</v>
      </c>
      <c r="U715" s="6">
        <v>15915</v>
      </c>
      <c r="V715" s="2">
        <v>47037980100</v>
      </c>
      <c r="W715" s="2" t="s">
        <v>68</v>
      </c>
      <c r="X715" s="1">
        <v>45658</v>
      </c>
      <c r="Y715" s="2">
        <v>921300</v>
      </c>
      <c r="Z715" s="2">
        <v>74500</v>
      </c>
      <c r="AA715" s="2">
        <v>846800</v>
      </c>
    </row>
    <row r="716" spans="1:27" x14ac:dyDescent="0.3">
      <c r="A716" s="3">
        <v>13</v>
      </c>
      <c r="B716" s="2" t="str">
        <f>"10800022700"</f>
        <v>10800022700</v>
      </c>
      <c r="C716" s="2" t="s">
        <v>2686</v>
      </c>
      <c r="D716" t="s">
        <v>29</v>
      </c>
      <c r="E716" s="2" t="s">
        <v>30</v>
      </c>
      <c r="F716" s="2">
        <v>37214</v>
      </c>
      <c r="G716" s="2" t="s">
        <v>64</v>
      </c>
      <c r="H716" t="s">
        <v>2687</v>
      </c>
      <c r="I716" s="6">
        <v>44082</v>
      </c>
      <c r="J716" s="2" t="s">
        <v>2688</v>
      </c>
      <c r="K716" s="2">
        <v>0</v>
      </c>
      <c r="L716" t="s">
        <v>2689</v>
      </c>
      <c r="M716" t="s">
        <v>29</v>
      </c>
      <c r="N716" t="s">
        <v>30</v>
      </c>
      <c r="O716">
        <v>37214</v>
      </c>
      <c r="P716" t="s">
        <v>2690</v>
      </c>
      <c r="Q716" s="2">
        <v>52.32</v>
      </c>
      <c r="R716" s="2">
        <v>0</v>
      </c>
      <c r="S716" s="2">
        <v>0</v>
      </c>
      <c r="T716" t="s">
        <v>2691</v>
      </c>
      <c r="U716" s="6">
        <v>33764</v>
      </c>
      <c r="V716" s="2">
        <v>47037015625</v>
      </c>
      <c r="W716" s="2" t="s">
        <v>38</v>
      </c>
      <c r="X716" s="1">
        <v>45658</v>
      </c>
      <c r="Y716" s="2">
        <v>1513500</v>
      </c>
      <c r="Z716" s="2">
        <v>0</v>
      </c>
      <c r="AA716" s="2">
        <v>1513500</v>
      </c>
    </row>
    <row r="717" spans="1:27" x14ac:dyDescent="0.3">
      <c r="A717" s="3">
        <v>13</v>
      </c>
      <c r="B717" s="2" t="str">
        <f>"12100001601"</f>
        <v>12100001601</v>
      </c>
      <c r="C717" s="2" t="s">
        <v>2692</v>
      </c>
      <c r="D717" t="s">
        <v>29</v>
      </c>
      <c r="E717" s="2" t="s">
        <v>30</v>
      </c>
      <c r="F717" s="2">
        <v>37214</v>
      </c>
      <c r="G717" s="2" t="s">
        <v>31</v>
      </c>
      <c r="H717" t="s">
        <v>2687</v>
      </c>
      <c r="I717" s="6">
        <v>44740</v>
      </c>
      <c r="J717" s="2" t="s">
        <v>2693</v>
      </c>
      <c r="K717" s="2" t="s">
        <v>34</v>
      </c>
      <c r="L717" t="s">
        <v>2694</v>
      </c>
      <c r="M717" t="s">
        <v>29</v>
      </c>
      <c r="N717" t="s">
        <v>30</v>
      </c>
      <c r="O717">
        <v>37214</v>
      </c>
      <c r="P717" t="s">
        <v>2695</v>
      </c>
      <c r="Q717" s="2">
        <v>4.2300000000000004</v>
      </c>
      <c r="R717" s="2">
        <v>0</v>
      </c>
      <c r="S717" s="2">
        <v>0</v>
      </c>
      <c r="T717" t="s">
        <v>2696</v>
      </c>
      <c r="U717" s="6">
        <v>23586</v>
      </c>
      <c r="V717" s="2">
        <v>47037015625</v>
      </c>
      <c r="W717" s="2" t="s">
        <v>38</v>
      </c>
      <c r="X717" s="1">
        <v>45658</v>
      </c>
      <c r="Y717" s="2">
        <v>186100</v>
      </c>
      <c r="Z717" s="2">
        <v>0</v>
      </c>
      <c r="AA717" s="2">
        <v>186100</v>
      </c>
    </row>
    <row r="718" spans="1:27" x14ac:dyDescent="0.3">
      <c r="A718" s="3">
        <v>13</v>
      </c>
      <c r="B718" s="2" t="str">
        <f>"12100021300"</f>
        <v>12100021300</v>
      </c>
      <c r="C718" s="2" t="s">
        <v>2697</v>
      </c>
      <c r="D718" t="s">
        <v>29</v>
      </c>
      <c r="E718" s="2" t="s">
        <v>30</v>
      </c>
      <c r="F718" s="2">
        <v>37214</v>
      </c>
      <c r="G718" s="2" t="s">
        <v>194</v>
      </c>
      <c r="H718" t="s">
        <v>2687</v>
      </c>
      <c r="I718" s="6">
        <v>44082</v>
      </c>
      <c r="J718" s="2" t="s">
        <v>2688</v>
      </c>
      <c r="K718" s="2">
        <v>0</v>
      </c>
      <c r="L718" t="s">
        <v>2689</v>
      </c>
      <c r="M718" t="s">
        <v>29</v>
      </c>
      <c r="N718" t="s">
        <v>30</v>
      </c>
      <c r="O718">
        <v>37214</v>
      </c>
      <c r="P718" t="s">
        <v>2698</v>
      </c>
      <c r="Q718" s="2">
        <v>5.07</v>
      </c>
      <c r="R718" s="2">
        <v>0</v>
      </c>
      <c r="S718" s="2">
        <v>0</v>
      </c>
      <c r="T718" t="s">
        <v>2643</v>
      </c>
      <c r="U718" s="6">
        <v>32191</v>
      </c>
      <c r="V718" s="2">
        <v>47037015625</v>
      </c>
      <c r="W718" s="2" t="s">
        <v>38</v>
      </c>
      <c r="X718" s="1">
        <v>45658</v>
      </c>
      <c r="Y718" s="2">
        <v>702900</v>
      </c>
      <c r="Z718" s="2">
        <v>380100</v>
      </c>
      <c r="AA718" s="2">
        <v>322800</v>
      </c>
    </row>
    <row r="719" spans="1:27" x14ac:dyDescent="0.3">
      <c r="A719" s="3">
        <v>13</v>
      </c>
      <c r="B719" s="2" t="str">
        <f>"12014018100"</f>
        <v>12014018100</v>
      </c>
      <c r="C719" s="2" t="s">
        <v>2699</v>
      </c>
      <c r="D719" t="s">
        <v>29</v>
      </c>
      <c r="E719" s="2" t="s">
        <v>30</v>
      </c>
      <c r="F719" s="2">
        <v>37217</v>
      </c>
      <c r="G719" s="2" t="s">
        <v>64</v>
      </c>
      <c r="H719" t="s">
        <v>2687</v>
      </c>
      <c r="I719" s="6">
        <v>32245</v>
      </c>
      <c r="J719" s="2" t="s">
        <v>2700</v>
      </c>
      <c r="K719" s="2">
        <v>22000</v>
      </c>
      <c r="L719" t="s">
        <v>2689</v>
      </c>
      <c r="M719" t="s">
        <v>29</v>
      </c>
      <c r="N719" t="s">
        <v>30</v>
      </c>
      <c r="O719">
        <v>37214</v>
      </c>
      <c r="P719" t="s">
        <v>2701</v>
      </c>
      <c r="Q719" s="2">
        <v>0.28000000000000003</v>
      </c>
      <c r="R719" s="2">
        <v>80</v>
      </c>
      <c r="S719" s="2">
        <v>166</v>
      </c>
      <c r="T719" t="s">
        <v>2702</v>
      </c>
      <c r="U719" s="6">
        <v>25992</v>
      </c>
      <c r="V719" s="2">
        <v>47037015700</v>
      </c>
      <c r="W719" s="2" t="s">
        <v>68</v>
      </c>
      <c r="X719" s="1">
        <v>45658</v>
      </c>
      <c r="Y719" s="2">
        <v>57600</v>
      </c>
      <c r="Z719" s="2">
        <v>0</v>
      </c>
      <c r="AA719" s="2">
        <v>57600</v>
      </c>
    </row>
    <row r="720" spans="1:27" x14ac:dyDescent="0.3">
      <c r="A720" s="3">
        <v>13</v>
      </c>
      <c r="B720" s="2" t="str">
        <f>"10616008800"</f>
        <v>10616008800</v>
      </c>
      <c r="C720" s="2" t="s">
        <v>1986</v>
      </c>
      <c r="D720" t="s">
        <v>29</v>
      </c>
      <c r="E720" s="2" t="s">
        <v>30</v>
      </c>
      <c r="F720" s="2">
        <v>37217</v>
      </c>
      <c r="G720" s="2" t="s">
        <v>41</v>
      </c>
      <c r="H720" t="s">
        <v>2213</v>
      </c>
      <c r="I720" s="6">
        <v>41320</v>
      </c>
      <c r="J720" s="2" t="s">
        <v>2703</v>
      </c>
      <c r="K720" s="2">
        <v>840</v>
      </c>
      <c r="L720" t="s">
        <v>2212</v>
      </c>
      <c r="M720" t="s">
        <v>866</v>
      </c>
      <c r="N720" t="s">
        <v>30</v>
      </c>
      <c r="O720">
        <v>37115</v>
      </c>
      <c r="P720" t="s">
        <v>2704</v>
      </c>
      <c r="Q720" s="2">
        <v>0.01</v>
      </c>
      <c r="R720" s="2">
        <v>42</v>
      </c>
      <c r="S720" s="2">
        <v>2</v>
      </c>
      <c r="T720" t="s">
        <v>2703</v>
      </c>
      <c r="U720" s="6">
        <v>41320</v>
      </c>
      <c r="V720" s="2">
        <v>47037015803</v>
      </c>
      <c r="W720" s="2" t="s">
        <v>68</v>
      </c>
      <c r="X720" s="1">
        <v>45658</v>
      </c>
      <c r="Y720" s="2">
        <v>2800</v>
      </c>
      <c r="Z720" s="2">
        <v>0</v>
      </c>
      <c r="AA720" s="2">
        <v>2800</v>
      </c>
    </row>
    <row r="721" spans="1:27" x14ac:dyDescent="0.3">
      <c r="A721" s="3">
        <v>13</v>
      </c>
      <c r="B721" s="2" t="str">
        <f>"10700011700"</f>
        <v>10700011700</v>
      </c>
      <c r="C721" s="2" t="s">
        <v>2705</v>
      </c>
      <c r="D721" t="s">
        <v>29</v>
      </c>
      <c r="E721" s="2" t="s">
        <v>30</v>
      </c>
      <c r="F721" s="2">
        <v>37217</v>
      </c>
      <c r="G721" s="2" t="s">
        <v>2706</v>
      </c>
      <c r="H721" t="s">
        <v>2707</v>
      </c>
      <c r="I721" s="6">
        <v>28313</v>
      </c>
      <c r="J721" s="2" t="s">
        <v>2708</v>
      </c>
      <c r="K721" s="2" t="s">
        <v>34</v>
      </c>
      <c r="L721" t="s">
        <v>2689</v>
      </c>
      <c r="M721" t="s">
        <v>29</v>
      </c>
      <c r="N721" t="s">
        <v>30</v>
      </c>
      <c r="O721">
        <v>37214</v>
      </c>
      <c r="P721" t="s">
        <v>2709</v>
      </c>
      <c r="Q721" s="2">
        <v>12.01</v>
      </c>
      <c r="R721" s="2">
        <v>516</v>
      </c>
      <c r="S721" s="2">
        <v>0</v>
      </c>
      <c r="T721" t="s">
        <v>2710</v>
      </c>
      <c r="U721" s="6">
        <v>41814</v>
      </c>
      <c r="V721" s="2">
        <v>47037980100</v>
      </c>
      <c r="W721" s="2" t="s">
        <v>68</v>
      </c>
      <c r="X721" s="1">
        <v>45658</v>
      </c>
      <c r="Y721" s="2">
        <v>5440800</v>
      </c>
      <c r="Z721" s="2">
        <v>0</v>
      </c>
      <c r="AA721" s="2">
        <v>5440800</v>
      </c>
    </row>
    <row r="722" spans="1:27" x14ac:dyDescent="0.3">
      <c r="A722" s="3">
        <v>13</v>
      </c>
      <c r="B722" s="2" t="str">
        <f>"12000008700"</f>
        <v>12000008700</v>
      </c>
      <c r="C722" s="2" t="s">
        <v>2711</v>
      </c>
      <c r="D722" t="s">
        <v>29</v>
      </c>
      <c r="E722" s="2" t="s">
        <v>30</v>
      </c>
      <c r="F722" s="2">
        <v>37217</v>
      </c>
      <c r="G722" s="2" t="s">
        <v>41</v>
      </c>
      <c r="H722" t="s">
        <v>2707</v>
      </c>
      <c r="I722" s="6">
        <v>25797</v>
      </c>
      <c r="J722" s="2" t="s">
        <v>2712</v>
      </c>
      <c r="K722" s="2" t="s">
        <v>34</v>
      </c>
      <c r="L722" t="s">
        <v>2713</v>
      </c>
      <c r="M722" t="s">
        <v>29</v>
      </c>
      <c r="N722" t="s">
        <v>30</v>
      </c>
      <c r="O722">
        <v>37214</v>
      </c>
      <c r="P722" t="s">
        <v>2714</v>
      </c>
      <c r="Q722" s="2">
        <v>1.53</v>
      </c>
      <c r="R722" s="2">
        <v>180</v>
      </c>
      <c r="S722" s="2">
        <v>225</v>
      </c>
      <c r="T722" t="s">
        <v>278</v>
      </c>
      <c r="U722" s="6">
        <v>35339</v>
      </c>
      <c r="V722" s="2">
        <v>47037980100</v>
      </c>
      <c r="W722" s="2" t="s">
        <v>68</v>
      </c>
      <c r="X722" s="1">
        <v>45658</v>
      </c>
      <c r="Y722" s="2">
        <v>513500</v>
      </c>
      <c r="Z722" s="2">
        <v>0</v>
      </c>
      <c r="AA722" s="2">
        <v>513500</v>
      </c>
    </row>
    <row r="723" spans="1:27" x14ac:dyDescent="0.3">
      <c r="A723" s="3">
        <v>13</v>
      </c>
      <c r="B723" s="2" t="str">
        <f>"12000009600"</f>
        <v>12000009600</v>
      </c>
      <c r="C723" s="2" t="s">
        <v>1986</v>
      </c>
      <c r="D723" t="s">
        <v>29</v>
      </c>
      <c r="E723" s="2" t="s">
        <v>30</v>
      </c>
      <c r="F723" s="2">
        <v>37217</v>
      </c>
      <c r="G723" s="2" t="s">
        <v>41</v>
      </c>
      <c r="H723" t="s">
        <v>2707</v>
      </c>
      <c r="I723" s="6">
        <v>25798</v>
      </c>
      <c r="J723" s="2" t="s">
        <v>2715</v>
      </c>
      <c r="K723" s="2" t="s">
        <v>34</v>
      </c>
      <c r="L723" t="s">
        <v>2689</v>
      </c>
      <c r="M723" t="s">
        <v>29</v>
      </c>
      <c r="N723" t="s">
        <v>30</v>
      </c>
      <c r="O723">
        <v>37214</v>
      </c>
      <c r="P723" t="s">
        <v>2716</v>
      </c>
      <c r="Q723" s="2">
        <v>1.1000000000000001</v>
      </c>
      <c r="R723" s="2">
        <v>0</v>
      </c>
      <c r="S723" s="2">
        <v>0</v>
      </c>
      <c r="T723" t="s">
        <v>2712</v>
      </c>
      <c r="U723" s="6">
        <v>25798</v>
      </c>
      <c r="V723" s="2">
        <v>47037980100</v>
      </c>
      <c r="W723" s="2" t="s">
        <v>68</v>
      </c>
      <c r="X723" s="1">
        <v>45658</v>
      </c>
      <c r="Y723" s="2">
        <v>345000</v>
      </c>
      <c r="Z723" s="2">
        <v>0</v>
      </c>
      <c r="AA723" s="2">
        <v>345000</v>
      </c>
    </row>
    <row r="724" spans="1:27" x14ac:dyDescent="0.3">
      <c r="A724" s="3">
        <v>13</v>
      </c>
      <c r="B724" s="2" t="str">
        <f>"12000005600"</f>
        <v>12000005600</v>
      </c>
      <c r="C724" s="2" t="s">
        <v>2717</v>
      </c>
      <c r="D724" t="s">
        <v>29</v>
      </c>
      <c r="E724" s="2" t="s">
        <v>30</v>
      </c>
      <c r="F724" s="2">
        <v>37217</v>
      </c>
      <c r="G724" s="2" t="s">
        <v>152</v>
      </c>
      <c r="H724" t="s">
        <v>2707</v>
      </c>
      <c r="I724" s="6">
        <v>25798</v>
      </c>
      <c r="J724" s="2" t="s">
        <v>2715</v>
      </c>
      <c r="K724" s="2" t="s">
        <v>34</v>
      </c>
      <c r="L724" t="s">
        <v>2689</v>
      </c>
      <c r="M724" t="s">
        <v>29</v>
      </c>
      <c r="N724" t="s">
        <v>30</v>
      </c>
      <c r="O724">
        <v>37214</v>
      </c>
      <c r="P724" t="s">
        <v>2718</v>
      </c>
      <c r="Q724" s="2">
        <v>51.6</v>
      </c>
      <c r="R724" s="2">
        <v>0</v>
      </c>
      <c r="S724" s="2">
        <v>0</v>
      </c>
      <c r="T724" t="s">
        <v>2719</v>
      </c>
      <c r="U724" s="6">
        <v>31414</v>
      </c>
      <c r="V724" s="2">
        <v>47037015700</v>
      </c>
      <c r="W724" s="2" t="s">
        <v>68</v>
      </c>
      <c r="X724" s="1">
        <v>45658</v>
      </c>
      <c r="Y724" s="2">
        <v>39810400</v>
      </c>
      <c r="Z724" s="2">
        <v>34418200</v>
      </c>
      <c r="AA724" s="2">
        <v>5392200</v>
      </c>
    </row>
    <row r="725" spans="1:27" x14ac:dyDescent="0.3">
      <c r="A725" s="3">
        <v>13</v>
      </c>
      <c r="B725" s="2" t="str">
        <f>"12000006100"</f>
        <v>12000006100</v>
      </c>
      <c r="C725" s="2" t="s">
        <v>2720</v>
      </c>
      <c r="D725" t="s">
        <v>29</v>
      </c>
      <c r="E725" s="2" t="s">
        <v>30</v>
      </c>
      <c r="F725" s="2">
        <v>37217</v>
      </c>
      <c r="G725" s="2" t="s">
        <v>64</v>
      </c>
      <c r="H725" t="s">
        <v>2707</v>
      </c>
      <c r="I725" s="6">
        <v>32916</v>
      </c>
      <c r="J725" s="2" t="s">
        <v>2721</v>
      </c>
      <c r="K725" s="2">
        <v>62000</v>
      </c>
      <c r="L725" t="s">
        <v>2689</v>
      </c>
      <c r="M725" t="s">
        <v>29</v>
      </c>
      <c r="N725" t="s">
        <v>30</v>
      </c>
      <c r="O725">
        <v>37214</v>
      </c>
      <c r="P725" t="s">
        <v>2659</v>
      </c>
      <c r="Q725" s="2">
        <v>0.54</v>
      </c>
      <c r="R725" s="2">
        <v>44</v>
      </c>
      <c r="S725" s="2">
        <v>320</v>
      </c>
      <c r="T725" t="s">
        <v>2722</v>
      </c>
      <c r="U725" s="6">
        <v>21002</v>
      </c>
      <c r="V725" s="2">
        <v>47037015700</v>
      </c>
      <c r="W725" s="2" t="s">
        <v>68</v>
      </c>
      <c r="X725" s="1">
        <v>45658</v>
      </c>
      <c r="Y725" s="2">
        <v>63400</v>
      </c>
      <c r="Z725" s="2">
        <v>0</v>
      </c>
      <c r="AA725" s="2">
        <v>63400</v>
      </c>
    </row>
    <row r="726" spans="1:27" x14ac:dyDescent="0.3">
      <c r="A726" s="3">
        <v>13</v>
      </c>
      <c r="B726" s="2" t="str">
        <f>"12000006000"</f>
        <v>12000006000</v>
      </c>
      <c r="C726" s="2" t="s">
        <v>2723</v>
      </c>
      <c r="D726" t="s">
        <v>29</v>
      </c>
      <c r="E726" s="2" t="s">
        <v>30</v>
      </c>
      <c r="F726" s="2">
        <v>37217</v>
      </c>
      <c r="G726" s="2" t="s">
        <v>64</v>
      </c>
      <c r="H726" t="s">
        <v>2707</v>
      </c>
      <c r="I726" s="6">
        <v>32846</v>
      </c>
      <c r="J726" s="2" t="s">
        <v>2724</v>
      </c>
      <c r="K726" s="2">
        <v>65000</v>
      </c>
      <c r="L726" t="s">
        <v>2689</v>
      </c>
      <c r="M726" t="s">
        <v>29</v>
      </c>
      <c r="N726" t="s">
        <v>30</v>
      </c>
      <c r="O726">
        <v>37214</v>
      </c>
      <c r="P726" t="s">
        <v>2725</v>
      </c>
      <c r="Q726" s="2">
        <v>0.6</v>
      </c>
      <c r="R726" s="2">
        <v>91</v>
      </c>
      <c r="S726" s="2">
        <v>299</v>
      </c>
      <c r="T726" t="s">
        <v>2726</v>
      </c>
      <c r="U726" s="6">
        <v>24128</v>
      </c>
      <c r="V726" s="2">
        <v>47037015700</v>
      </c>
      <c r="W726" s="2" t="s">
        <v>68</v>
      </c>
      <c r="X726" s="1">
        <v>45658</v>
      </c>
      <c r="Y726" s="2">
        <v>63400</v>
      </c>
      <c r="Z726" s="2">
        <v>0</v>
      </c>
      <c r="AA726" s="2">
        <v>63400</v>
      </c>
    </row>
    <row r="727" spans="1:27" x14ac:dyDescent="0.3">
      <c r="A727" s="3">
        <v>13</v>
      </c>
      <c r="B727" s="2" t="str">
        <f>"12000005900"</f>
        <v>12000005900</v>
      </c>
      <c r="C727" s="2" t="s">
        <v>2727</v>
      </c>
      <c r="D727" t="s">
        <v>29</v>
      </c>
      <c r="E727" s="2" t="s">
        <v>30</v>
      </c>
      <c r="F727" s="2">
        <v>37217</v>
      </c>
      <c r="G727" s="2" t="s">
        <v>64</v>
      </c>
      <c r="H727" t="s">
        <v>2707</v>
      </c>
      <c r="I727" s="6">
        <v>32829</v>
      </c>
      <c r="J727" s="2" t="s">
        <v>2728</v>
      </c>
      <c r="K727" s="2">
        <v>73000</v>
      </c>
      <c r="L727" t="s">
        <v>2689</v>
      </c>
      <c r="M727" t="s">
        <v>29</v>
      </c>
      <c r="N727" t="s">
        <v>30</v>
      </c>
      <c r="O727">
        <v>37214</v>
      </c>
      <c r="P727" t="s">
        <v>2729</v>
      </c>
      <c r="Q727" s="2">
        <v>0.56999999999999995</v>
      </c>
      <c r="R727" s="2">
        <v>90</v>
      </c>
      <c r="S727" s="2">
        <v>287</v>
      </c>
      <c r="T727" t="s">
        <v>2730</v>
      </c>
      <c r="U727" s="6">
        <v>19763</v>
      </c>
      <c r="V727" s="2">
        <v>47037015700</v>
      </c>
      <c r="W727" s="2" t="s">
        <v>68</v>
      </c>
      <c r="X727" s="1">
        <v>45658</v>
      </c>
      <c r="Y727" s="2">
        <v>63400</v>
      </c>
      <c r="Z727" s="2">
        <v>0</v>
      </c>
      <c r="AA727" s="2">
        <v>63400</v>
      </c>
    </row>
    <row r="728" spans="1:27" x14ac:dyDescent="0.3">
      <c r="A728" s="3">
        <v>13</v>
      </c>
      <c r="B728" s="2" t="str">
        <f>"12000005800"</f>
        <v>12000005800</v>
      </c>
      <c r="C728" s="2" t="s">
        <v>2731</v>
      </c>
      <c r="D728" t="s">
        <v>29</v>
      </c>
      <c r="E728" s="2" t="s">
        <v>30</v>
      </c>
      <c r="F728" s="2">
        <v>37217</v>
      </c>
      <c r="G728" s="2" t="s">
        <v>64</v>
      </c>
      <c r="H728" t="s">
        <v>2707</v>
      </c>
      <c r="I728" s="6">
        <v>32889</v>
      </c>
      <c r="J728" s="2" t="s">
        <v>2732</v>
      </c>
      <c r="K728" s="2">
        <v>41000</v>
      </c>
      <c r="L728" t="s">
        <v>2689</v>
      </c>
      <c r="M728" t="s">
        <v>29</v>
      </c>
      <c r="N728" t="s">
        <v>30</v>
      </c>
      <c r="O728">
        <v>37214</v>
      </c>
      <c r="P728" t="s">
        <v>2733</v>
      </c>
      <c r="Q728" s="2">
        <v>0.32</v>
      </c>
      <c r="R728" s="2">
        <v>80</v>
      </c>
      <c r="S728" s="2">
        <v>180</v>
      </c>
      <c r="T728" t="s">
        <v>2734</v>
      </c>
      <c r="U728" s="6">
        <v>24338</v>
      </c>
      <c r="V728" s="2">
        <v>47037015700</v>
      </c>
      <c r="W728" s="2" t="s">
        <v>68</v>
      </c>
      <c r="X728" s="1">
        <v>45658</v>
      </c>
      <c r="Y728" s="2">
        <v>57600</v>
      </c>
      <c r="Z728" s="2">
        <v>0</v>
      </c>
      <c r="AA728" s="2">
        <v>57600</v>
      </c>
    </row>
    <row r="729" spans="1:27" x14ac:dyDescent="0.3">
      <c r="A729" s="3">
        <v>13</v>
      </c>
      <c r="B729" s="2" t="str">
        <f>"12000005700"</f>
        <v>12000005700</v>
      </c>
      <c r="C729" s="2" t="s">
        <v>2735</v>
      </c>
      <c r="D729" t="s">
        <v>29</v>
      </c>
      <c r="E729" s="2" t="s">
        <v>30</v>
      </c>
      <c r="F729" s="2">
        <v>37217</v>
      </c>
      <c r="G729" s="2" t="s">
        <v>64</v>
      </c>
      <c r="H729" t="s">
        <v>2707</v>
      </c>
      <c r="I729" s="6">
        <v>32933</v>
      </c>
      <c r="J729" s="2" t="s">
        <v>2736</v>
      </c>
      <c r="K729" s="2">
        <v>65000</v>
      </c>
      <c r="L729" t="s">
        <v>2689</v>
      </c>
      <c r="M729" t="s">
        <v>29</v>
      </c>
      <c r="N729" t="s">
        <v>30</v>
      </c>
      <c r="O729">
        <v>37214</v>
      </c>
      <c r="P729" t="s">
        <v>2659</v>
      </c>
      <c r="Q729" s="2">
        <v>0.61</v>
      </c>
      <c r="R729" s="2">
        <v>102</v>
      </c>
      <c r="S729" s="2">
        <v>180</v>
      </c>
      <c r="T729" t="s">
        <v>2737</v>
      </c>
      <c r="U729" s="6">
        <v>20001</v>
      </c>
      <c r="V729" s="2">
        <v>47037015700</v>
      </c>
      <c r="W729" s="2" t="s">
        <v>68</v>
      </c>
      <c r="X729" s="1">
        <v>45658</v>
      </c>
      <c r="Y729" s="2">
        <v>63400</v>
      </c>
      <c r="Z729" s="2">
        <v>0</v>
      </c>
      <c r="AA729" s="2">
        <v>63400</v>
      </c>
    </row>
    <row r="730" spans="1:27" x14ac:dyDescent="0.3">
      <c r="A730" s="3">
        <v>13</v>
      </c>
      <c r="B730" s="2" t="str">
        <f>"12014002800"</f>
        <v>12014002800</v>
      </c>
      <c r="C730" s="2" t="s">
        <v>2738</v>
      </c>
      <c r="D730" t="s">
        <v>29</v>
      </c>
      <c r="E730" s="2" t="s">
        <v>30</v>
      </c>
      <c r="F730" s="2">
        <v>37217</v>
      </c>
      <c r="G730" s="2" t="s">
        <v>64</v>
      </c>
      <c r="H730" t="s">
        <v>2707</v>
      </c>
      <c r="I730" s="6">
        <v>32549</v>
      </c>
      <c r="J730" s="2" t="s">
        <v>2739</v>
      </c>
      <c r="K730" s="2">
        <v>67000</v>
      </c>
      <c r="L730" t="s">
        <v>2689</v>
      </c>
      <c r="M730" t="s">
        <v>29</v>
      </c>
      <c r="N730" t="s">
        <v>30</v>
      </c>
      <c r="O730">
        <v>37214</v>
      </c>
      <c r="P730" t="s">
        <v>2740</v>
      </c>
      <c r="Q730" s="2">
        <v>0.5</v>
      </c>
      <c r="R730" s="2">
        <v>120</v>
      </c>
      <c r="S730" s="2">
        <v>260</v>
      </c>
      <c r="T730" t="s">
        <v>2741</v>
      </c>
      <c r="U730" s="6">
        <v>24959</v>
      </c>
      <c r="V730" s="2">
        <v>47037015700</v>
      </c>
      <c r="W730" s="2" t="s">
        <v>68</v>
      </c>
      <c r="X730" s="1">
        <v>45658</v>
      </c>
      <c r="Y730" s="2">
        <v>63400</v>
      </c>
      <c r="Z730" s="2">
        <v>0</v>
      </c>
      <c r="AA730" s="2">
        <v>63400</v>
      </c>
    </row>
    <row r="731" spans="1:27" x14ac:dyDescent="0.3">
      <c r="A731" s="3">
        <v>13</v>
      </c>
      <c r="B731" s="2" t="str">
        <f>"12014002900"</f>
        <v>12014002900</v>
      </c>
      <c r="C731" s="2" t="s">
        <v>2742</v>
      </c>
      <c r="D731" t="s">
        <v>29</v>
      </c>
      <c r="E731" s="2" t="s">
        <v>30</v>
      </c>
      <c r="F731" s="2">
        <v>37217</v>
      </c>
      <c r="G731" s="2" t="s">
        <v>152</v>
      </c>
      <c r="H731" t="s">
        <v>2707</v>
      </c>
      <c r="I731" s="6">
        <v>32541</v>
      </c>
      <c r="J731" s="2" t="s">
        <v>2743</v>
      </c>
      <c r="K731" s="2">
        <v>59000</v>
      </c>
      <c r="L731" t="s">
        <v>2689</v>
      </c>
      <c r="M731" t="s">
        <v>29</v>
      </c>
      <c r="N731" t="s">
        <v>30</v>
      </c>
      <c r="O731">
        <v>37214</v>
      </c>
      <c r="P731" t="s">
        <v>2744</v>
      </c>
      <c r="Q731" s="2">
        <v>0.36</v>
      </c>
      <c r="R731" s="2">
        <v>65</v>
      </c>
      <c r="S731" s="2">
        <v>173</v>
      </c>
      <c r="T731" t="s">
        <v>2745</v>
      </c>
      <c r="U731" s="6">
        <v>23435</v>
      </c>
      <c r="V731" s="2">
        <v>47037015700</v>
      </c>
      <c r="W731" s="2" t="s">
        <v>68</v>
      </c>
      <c r="X731" s="1">
        <v>45658</v>
      </c>
      <c r="Y731" s="2">
        <v>57600</v>
      </c>
      <c r="Z731" s="2">
        <v>0</v>
      </c>
      <c r="AA731" s="2">
        <v>57600</v>
      </c>
    </row>
    <row r="732" spans="1:27" x14ac:dyDescent="0.3">
      <c r="A732" s="3">
        <v>13</v>
      </c>
      <c r="B732" s="2" t="str">
        <f>"12014002700"</f>
        <v>12014002700</v>
      </c>
      <c r="C732" s="2" t="s">
        <v>2746</v>
      </c>
      <c r="D732" t="s">
        <v>29</v>
      </c>
      <c r="E732" s="2" t="s">
        <v>30</v>
      </c>
      <c r="F732" s="2">
        <v>37217</v>
      </c>
      <c r="G732" s="2" t="s">
        <v>64</v>
      </c>
      <c r="H732" t="s">
        <v>2707</v>
      </c>
      <c r="I732" s="6">
        <v>32540</v>
      </c>
      <c r="J732" s="2" t="s">
        <v>2747</v>
      </c>
      <c r="K732" s="2">
        <v>58000</v>
      </c>
      <c r="L732" t="s">
        <v>2689</v>
      </c>
      <c r="M732" t="s">
        <v>29</v>
      </c>
      <c r="N732" t="s">
        <v>30</v>
      </c>
      <c r="O732">
        <v>37214</v>
      </c>
      <c r="P732" t="s">
        <v>2748</v>
      </c>
      <c r="Q732" s="2">
        <v>0.31</v>
      </c>
      <c r="R732" s="2">
        <v>85</v>
      </c>
      <c r="S732" s="2">
        <v>260</v>
      </c>
      <c r="T732" t="s">
        <v>2749</v>
      </c>
      <c r="U732" s="6">
        <v>23804</v>
      </c>
      <c r="V732" s="2">
        <v>47037015700</v>
      </c>
      <c r="W732" s="2" t="s">
        <v>68</v>
      </c>
      <c r="X732" s="1">
        <v>45658</v>
      </c>
      <c r="Y732" s="2">
        <v>57600</v>
      </c>
      <c r="Z732" s="2">
        <v>0</v>
      </c>
      <c r="AA732" s="2">
        <v>57600</v>
      </c>
    </row>
    <row r="733" spans="1:27" x14ac:dyDescent="0.3">
      <c r="A733" s="3">
        <v>13</v>
      </c>
      <c r="B733" s="2" t="str">
        <f>"12014003000"</f>
        <v>12014003000</v>
      </c>
      <c r="C733" s="2" t="s">
        <v>2750</v>
      </c>
      <c r="D733" t="s">
        <v>29</v>
      </c>
      <c r="E733" s="2" t="s">
        <v>30</v>
      </c>
      <c r="F733" s="2">
        <v>37217</v>
      </c>
      <c r="G733" s="2" t="s">
        <v>64</v>
      </c>
      <c r="H733" t="s">
        <v>2707</v>
      </c>
      <c r="I733" s="6">
        <v>32363</v>
      </c>
      <c r="J733" s="2" t="s">
        <v>2751</v>
      </c>
      <c r="K733" s="2">
        <v>38000</v>
      </c>
      <c r="L733" t="s">
        <v>2689</v>
      </c>
      <c r="M733" t="s">
        <v>29</v>
      </c>
      <c r="N733" t="s">
        <v>30</v>
      </c>
      <c r="O733">
        <v>37214</v>
      </c>
      <c r="P733" t="s">
        <v>2752</v>
      </c>
      <c r="Q733" s="2">
        <v>0.28000000000000003</v>
      </c>
      <c r="R733" s="2">
        <v>70</v>
      </c>
      <c r="S733" s="2">
        <v>197</v>
      </c>
      <c r="T733" t="s">
        <v>2753</v>
      </c>
      <c r="U733" s="6">
        <v>20497</v>
      </c>
      <c r="V733" s="2">
        <v>47037015700</v>
      </c>
      <c r="W733" s="2" t="s">
        <v>68</v>
      </c>
      <c r="X733" s="1">
        <v>45658</v>
      </c>
      <c r="Y733" s="2">
        <v>57600</v>
      </c>
      <c r="Z733" s="2">
        <v>0</v>
      </c>
      <c r="AA733" s="2">
        <v>57600</v>
      </c>
    </row>
    <row r="734" spans="1:27" x14ac:dyDescent="0.3">
      <c r="A734" s="3">
        <v>13</v>
      </c>
      <c r="B734" s="2" t="str">
        <f>"12014002600"</f>
        <v>12014002600</v>
      </c>
      <c r="C734" s="2" t="s">
        <v>2754</v>
      </c>
      <c r="D734" t="s">
        <v>29</v>
      </c>
      <c r="E734" s="2" t="s">
        <v>30</v>
      </c>
      <c r="F734" s="2">
        <v>37217</v>
      </c>
      <c r="G734" s="2" t="s">
        <v>64</v>
      </c>
      <c r="H734" t="s">
        <v>2707</v>
      </c>
      <c r="I734" s="6">
        <v>32540</v>
      </c>
      <c r="J734" s="2" t="s">
        <v>2755</v>
      </c>
      <c r="K734" s="2">
        <v>50000</v>
      </c>
      <c r="L734" t="s">
        <v>2689</v>
      </c>
      <c r="M734" t="s">
        <v>29</v>
      </c>
      <c r="N734" t="s">
        <v>30</v>
      </c>
      <c r="O734">
        <v>37214</v>
      </c>
      <c r="P734" t="s">
        <v>2756</v>
      </c>
      <c r="Q734" s="2">
        <v>0.27</v>
      </c>
      <c r="R734" s="2">
        <v>70</v>
      </c>
      <c r="S734" s="2">
        <v>252</v>
      </c>
      <c r="T734" t="s">
        <v>2757</v>
      </c>
      <c r="U734" s="6">
        <v>20828</v>
      </c>
      <c r="V734" s="2">
        <v>47037015700</v>
      </c>
      <c r="W734" s="2" t="s">
        <v>68</v>
      </c>
      <c r="X734" s="1">
        <v>45658</v>
      </c>
      <c r="Y734" s="2">
        <v>57600</v>
      </c>
      <c r="Z734" s="2">
        <v>0</v>
      </c>
      <c r="AA734" s="2">
        <v>57600</v>
      </c>
    </row>
    <row r="735" spans="1:27" x14ac:dyDescent="0.3">
      <c r="A735" s="3">
        <v>13</v>
      </c>
      <c r="B735" s="2" t="str">
        <f>"12014003100"</f>
        <v>12014003100</v>
      </c>
      <c r="C735" s="2" t="s">
        <v>2758</v>
      </c>
      <c r="D735" t="s">
        <v>29</v>
      </c>
      <c r="E735" s="2" t="s">
        <v>30</v>
      </c>
      <c r="F735" s="2">
        <v>37217</v>
      </c>
      <c r="G735" s="2" t="s">
        <v>64</v>
      </c>
      <c r="H735" t="s">
        <v>2707</v>
      </c>
      <c r="I735" s="6">
        <v>32342</v>
      </c>
      <c r="J735" s="2" t="s">
        <v>2759</v>
      </c>
      <c r="K735" s="2">
        <v>42500</v>
      </c>
      <c r="L735" t="s">
        <v>2689</v>
      </c>
      <c r="M735" t="s">
        <v>29</v>
      </c>
      <c r="N735" t="s">
        <v>30</v>
      </c>
      <c r="O735">
        <v>37214</v>
      </c>
      <c r="P735" t="s">
        <v>2760</v>
      </c>
      <c r="Q735" s="2">
        <v>0.27</v>
      </c>
      <c r="R735" s="2">
        <v>70</v>
      </c>
      <c r="S735" s="2">
        <v>189</v>
      </c>
      <c r="T735" t="s">
        <v>2761</v>
      </c>
      <c r="U735" s="6">
        <v>27086</v>
      </c>
      <c r="V735" s="2">
        <v>47037015700</v>
      </c>
      <c r="W735" s="2" t="s">
        <v>68</v>
      </c>
      <c r="X735" s="1">
        <v>45658</v>
      </c>
      <c r="Y735" s="2">
        <v>57600</v>
      </c>
      <c r="Z735" s="2">
        <v>0</v>
      </c>
      <c r="AA735" s="2">
        <v>57600</v>
      </c>
    </row>
    <row r="736" spans="1:27" x14ac:dyDescent="0.3">
      <c r="A736" s="3">
        <v>13</v>
      </c>
      <c r="B736" s="2" t="str">
        <f>"12014002500"</f>
        <v>12014002500</v>
      </c>
      <c r="C736" s="2" t="s">
        <v>2762</v>
      </c>
      <c r="D736" t="s">
        <v>29</v>
      </c>
      <c r="E736" s="2" t="s">
        <v>30</v>
      </c>
      <c r="F736" s="2">
        <v>37217</v>
      </c>
      <c r="G736" s="2" t="s">
        <v>64</v>
      </c>
      <c r="H736" t="s">
        <v>2707</v>
      </c>
      <c r="I736" s="6">
        <v>33164</v>
      </c>
      <c r="J736" s="2" t="s">
        <v>2763</v>
      </c>
      <c r="K736" s="2">
        <v>57000</v>
      </c>
      <c r="L736" t="s">
        <v>2689</v>
      </c>
      <c r="M736" t="s">
        <v>29</v>
      </c>
      <c r="N736" t="s">
        <v>30</v>
      </c>
      <c r="O736">
        <v>37214</v>
      </c>
      <c r="P736" t="s">
        <v>2764</v>
      </c>
      <c r="Q736" s="2">
        <v>0.41</v>
      </c>
      <c r="R736" s="2">
        <v>70</v>
      </c>
      <c r="S736" s="2">
        <v>271</v>
      </c>
      <c r="T736" t="s">
        <v>2765</v>
      </c>
      <c r="U736" s="6">
        <v>24632</v>
      </c>
      <c r="V736" s="2">
        <v>47037015700</v>
      </c>
      <c r="W736" s="2" t="s">
        <v>68</v>
      </c>
      <c r="X736" s="1">
        <v>45658</v>
      </c>
      <c r="Y736" s="2">
        <v>57600</v>
      </c>
      <c r="Z736" s="2">
        <v>0</v>
      </c>
      <c r="AA736" s="2">
        <v>57600</v>
      </c>
    </row>
    <row r="737" spans="1:27" x14ac:dyDescent="0.3">
      <c r="A737" s="3">
        <v>13</v>
      </c>
      <c r="B737" s="2" t="str">
        <f>"12014003200"</f>
        <v>12014003200</v>
      </c>
      <c r="C737" s="2" t="s">
        <v>2766</v>
      </c>
      <c r="D737" t="s">
        <v>29</v>
      </c>
      <c r="E737" s="2" t="s">
        <v>30</v>
      </c>
      <c r="F737" s="2">
        <v>37217</v>
      </c>
      <c r="G737" s="2" t="s">
        <v>64</v>
      </c>
      <c r="H737" t="s">
        <v>2707</v>
      </c>
      <c r="I737" s="6">
        <v>32345</v>
      </c>
      <c r="J737" s="2" t="s">
        <v>2767</v>
      </c>
      <c r="K737" s="2">
        <v>39500</v>
      </c>
      <c r="L737" t="s">
        <v>2689</v>
      </c>
      <c r="M737" t="s">
        <v>29</v>
      </c>
      <c r="N737" t="s">
        <v>30</v>
      </c>
      <c r="O737">
        <v>37214</v>
      </c>
      <c r="P737" t="s">
        <v>2768</v>
      </c>
      <c r="Q737" s="2">
        <v>0.25</v>
      </c>
      <c r="R737" s="2">
        <v>70</v>
      </c>
      <c r="S737" s="2">
        <v>175</v>
      </c>
      <c r="T737" t="s">
        <v>2769</v>
      </c>
      <c r="U737" s="6">
        <v>21243</v>
      </c>
      <c r="V737" s="2">
        <v>47037015700</v>
      </c>
      <c r="W737" s="2" t="s">
        <v>68</v>
      </c>
      <c r="X737" s="1">
        <v>45658</v>
      </c>
      <c r="Y737" s="2">
        <v>57600</v>
      </c>
      <c r="Z737" s="2">
        <v>0</v>
      </c>
      <c r="AA737" s="2">
        <v>57600</v>
      </c>
    </row>
    <row r="738" spans="1:27" x14ac:dyDescent="0.3">
      <c r="A738" s="3">
        <v>13</v>
      </c>
      <c r="B738" s="2" t="str">
        <f>"12014003300"</f>
        <v>12014003300</v>
      </c>
      <c r="C738" s="2" t="s">
        <v>2770</v>
      </c>
      <c r="D738" t="s">
        <v>29</v>
      </c>
      <c r="E738" s="2" t="s">
        <v>30</v>
      </c>
      <c r="F738" s="2">
        <v>37217</v>
      </c>
      <c r="G738" s="2" t="s">
        <v>64</v>
      </c>
      <c r="H738" t="s">
        <v>2707</v>
      </c>
      <c r="I738" s="6">
        <v>32314</v>
      </c>
      <c r="J738" s="2" t="s">
        <v>2771</v>
      </c>
      <c r="K738" s="2">
        <v>54000</v>
      </c>
      <c r="L738" t="s">
        <v>2689</v>
      </c>
      <c r="M738" t="s">
        <v>29</v>
      </c>
      <c r="N738" t="s">
        <v>30</v>
      </c>
      <c r="O738">
        <v>37214</v>
      </c>
      <c r="P738" t="s">
        <v>2772</v>
      </c>
      <c r="Q738" s="2">
        <v>0.25</v>
      </c>
      <c r="R738" s="2">
        <v>70</v>
      </c>
      <c r="S738" s="2">
        <v>161</v>
      </c>
      <c r="T738" t="s">
        <v>2773</v>
      </c>
      <c r="U738" s="6">
        <v>22850</v>
      </c>
      <c r="V738" s="2">
        <v>47037015700</v>
      </c>
      <c r="W738" s="2" t="s">
        <v>68</v>
      </c>
      <c r="X738" s="1">
        <v>45658</v>
      </c>
      <c r="Y738" s="2">
        <v>57600</v>
      </c>
      <c r="Z738" s="2">
        <v>0</v>
      </c>
      <c r="AA738" s="2">
        <v>57600</v>
      </c>
    </row>
    <row r="739" spans="1:27" x14ac:dyDescent="0.3">
      <c r="A739" s="3">
        <v>13</v>
      </c>
      <c r="B739" s="2" t="str">
        <f>"12014003400"</f>
        <v>12014003400</v>
      </c>
      <c r="C739" s="2" t="s">
        <v>2774</v>
      </c>
      <c r="D739" t="s">
        <v>29</v>
      </c>
      <c r="E739" s="2" t="s">
        <v>30</v>
      </c>
      <c r="F739" s="2">
        <v>37217</v>
      </c>
      <c r="G739" s="2" t="s">
        <v>64</v>
      </c>
      <c r="H739" t="s">
        <v>2707</v>
      </c>
      <c r="I739" s="6">
        <v>32357</v>
      </c>
      <c r="J739" s="2" t="s">
        <v>2775</v>
      </c>
      <c r="K739" s="2">
        <v>62500</v>
      </c>
      <c r="L739" t="s">
        <v>2689</v>
      </c>
      <c r="M739" t="s">
        <v>29</v>
      </c>
      <c r="N739" t="s">
        <v>30</v>
      </c>
      <c r="O739">
        <v>37214</v>
      </c>
      <c r="P739" t="s">
        <v>2776</v>
      </c>
      <c r="Q739" s="2">
        <v>0.25</v>
      </c>
      <c r="R739" s="2">
        <v>70</v>
      </c>
      <c r="S739" s="2">
        <v>160</v>
      </c>
      <c r="T739" t="s">
        <v>2777</v>
      </c>
      <c r="U739" s="6">
        <v>21440</v>
      </c>
      <c r="V739" s="2">
        <v>47037015700</v>
      </c>
      <c r="W739" s="2" t="s">
        <v>68</v>
      </c>
      <c r="X739" s="1">
        <v>45658</v>
      </c>
      <c r="Y739" s="2">
        <v>57600</v>
      </c>
      <c r="Z739" s="2">
        <v>0</v>
      </c>
      <c r="AA739" s="2">
        <v>57600</v>
      </c>
    </row>
    <row r="740" spans="1:27" x14ac:dyDescent="0.3">
      <c r="A740" s="3">
        <v>13</v>
      </c>
      <c r="B740" s="2" t="str">
        <f>"12014002400"</f>
        <v>12014002400</v>
      </c>
      <c r="C740" s="2" t="s">
        <v>2778</v>
      </c>
      <c r="D740" t="s">
        <v>29</v>
      </c>
      <c r="E740" s="2" t="s">
        <v>30</v>
      </c>
      <c r="F740" s="2">
        <v>37217</v>
      </c>
      <c r="G740" s="2" t="s">
        <v>64</v>
      </c>
      <c r="H740" t="s">
        <v>2707</v>
      </c>
      <c r="I740" s="6">
        <v>32917</v>
      </c>
      <c r="J740" s="2" t="s">
        <v>2779</v>
      </c>
      <c r="K740" s="2">
        <v>52250</v>
      </c>
      <c r="L740" t="s">
        <v>2689</v>
      </c>
      <c r="M740" t="s">
        <v>29</v>
      </c>
      <c r="N740" t="s">
        <v>30</v>
      </c>
      <c r="O740">
        <v>37214</v>
      </c>
      <c r="P740" t="s">
        <v>2780</v>
      </c>
      <c r="Q740" s="2">
        <v>0.33</v>
      </c>
      <c r="R740" s="2">
        <v>70</v>
      </c>
      <c r="S740" s="2">
        <v>271</v>
      </c>
      <c r="T740" t="s">
        <v>2781</v>
      </c>
      <c r="U740" s="6">
        <v>26912</v>
      </c>
      <c r="V740" s="2">
        <v>47037015700</v>
      </c>
      <c r="W740" s="2" t="s">
        <v>68</v>
      </c>
      <c r="X740" s="1">
        <v>45658</v>
      </c>
      <c r="Y740" s="2">
        <v>57600</v>
      </c>
      <c r="Z740" s="2">
        <v>0</v>
      </c>
      <c r="AA740" s="2">
        <v>57600</v>
      </c>
    </row>
    <row r="741" spans="1:27" x14ac:dyDescent="0.3">
      <c r="A741" s="3">
        <v>13</v>
      </c>
      <c r="B741" s="2" t="str">
        <f>"12014003500"</f>
        <v>12014003500</v>
      </c>
      <c r="C741" s="2" t="s">
        <v>2782</v>
      </c>
      <c r="D741" t="s">
        <v>29</v>
      </c>
      <c r="E741" s="2" t="s">
        <v>30</v>
      </c>
      <c r="F741" s="2">
        <v>37217</v>
      </c>
      <c r="G741" s="2" t="s">
        <v>64</v>
      </c>
      <c r="H741" t="s">
        <v>2707</v>
      </c>
      <c r="I741" s="6">
        <v>31775</v>
      </c>
      <c r="J741" s="2" t="s">
        <v>2783</v>
      </c>
      <c r="K741" s="2">
        <v>38000</v>
      </c>
      <c r="L741" t="s">
        <v>2689</v>
      </c>
      <c r="M741" t="s">
        <v>29</v>
      </c>
      <c r="N741" t="s">
        <v>30</v>
      </c>
      <c r="O741">
        <v>37214</v>
      </c>
      <c r="P741" t="s">
        <v>2784</v>
      </c>
      <c r="Q741" s="2">
        <v>0.25</v>
      </c>
      <c r="R741" s="2">
        <v>70</v>
      </c>
      <c r="S741" s="2">
        <v>159</v>
      </c>
      <c r="T741" t="s">
        <v>2785</v>
      </c>
      <c r="U741" s="6">
        <v>18780</v>
      </c>
      <c r="V741" s="2">
        <v>47037015700</v>
      </c>
      <c r="W741" s="2" t="s">
        <v>68</v>
      </c>
      <c r="X741" s="1">
        <v>45658</v>
      </c>
      <c r="Y741" s="2">
        <v>57600</v>
      </c>
      <c r="Z741" s="2">
        <v>0</v>
      </c>
      <c r="AA741" s="2">
        <v>57600</v>
      </c>
    </row>
    <row r="742" spans="1:27" x14ac:dyDescent="0.3">
      <c r="A742" s="3">
        <v>13</v>
      </c>
      <c r="B742" s="2" t="str">
        <f>"12014003600"</f>
        <v>12014003600</v>
      </c>
      <c r="C742" s="2" t="s">
        <v>2786</v>
      </c>
      <c r="D742" t="s">
        <v>29</v>
      </c>
      <c r="E742" s="2" t="s">
        <v>30</v>
      </c>
      <c r="F742" s="2">
        <v>37217</v>
      </c>
      <c r="G742" s="2" t="s">
        <v>64</v>
      </c>
      <c r="H742" t="s">
        <v>2707</v>
      </c>
      <c r="I742" s="6">
        <v>31953</v>
      </c>
      <c r="J742" s="2" t="s">
        <v>2787</v>
      </c>
      <c r="K742" s="2">
        <v>43000</v>
      </c>
      <c r="L742" t="s">
        <v>2689</v>
      </c>
      <c r="M742" t="s">
        <v>29</v>
      </c>
      <c r="N742" t="s">
        <v>30</v>
      </c>
      <c r="O742">
        <v>37214</v>
      </c>
      <c r="P742" t="s">
        <v>2788</v>
      </c>
      <c r="Q742" s="2">
        <v>0.25</v>
      </c>
      <c r="R742" s="2">
        <v>70</v>
      </c>
      <c r="S742" s="2">
        <v>158</v>
      </c>
      <c r="T742" t="s">
        <v>2789</v>
      </c>
      <c r="U742" s="6">
        <v>26989</v>
      </c>
      <c r="V742" s="2">
        <v>47037015700</v>
      </c>
      <c r="W742" s="2" t="s">
        <v>68</v>
      </c>
      <c r="X742" s="1">
        <v>45658</v>
      </c>
      <c r="Y742" s="2">
        <v>57600</v>
      </c>
      <c r="Z742" s="2">
        <v>0</v>
      </c>
      <c r="AA742" s="2">
        <v>57600</v>
      </c>
    </row>
    <row r="743" spans="1:27" x14ac:dyDescent="0.3">
      <c r="A743" s="3">
        <v>13</v>
      </c>
      <c r="B743" s="2" t="str">
        <f>"12014005400"</f>
        <v>12014005400</v>
      </c>
      <c r="C743" s="2" t="s">
        <v>2790</v>
      </c>
      <c r="D743" t="s">
        <v>29</v>
      </c>
      <c r="E743" s="2" t="s">
        <v>30</v>
      </c>
      <c r="F743" s="2">
        <v>37217</v>
      </c>
      <c r="G743" s="2" t="s">
        <v>64</v>
      </c>
      <c r="H743" t="s">
        <v>2707</v>
      </c>
      <c r="I743" s="6">
        <v>32541</v>
      </c>
      <c r="J743" s="2" t="s">
        <v>2791</v>
      </c>
      <c r="K743" s="2">
        <v>55000</v>
      </c>
      <c r="L743" t="s">
        <v>2689</v>
      </c>
      <c r="M743" t="s">
        <v>29</v>
      </c>
      <c r="N743" t="s">
        <v>30</v>
      </c>
      <c r="O743">
        <v>37214</v>
      </c>
      <c r="P743" t="s">
        <v>2792</v>
      </c>
      <c r="Q743" s="2">
        <v>0.39</v>
      </c>
      <c r="R743" s="2">
        <v>76</v>
      </c>
      <c r="S743" s="2">
        <v>173</v>
      </c>
      <c r="T743" t="s">
        <v>2793</v>
      </c>
      <c r="U743" s="6">
        <v>23288</v>
      </c>
      <c r="V743" s="2">
        <v>47037015700</v>
      </c>
      <c r="W743" s="2" t="s">
        <v>68</v>
      </c>
      <c r="X743" s="1">
        <v>45658</v>
      </c>
      <c r="Y743" s="2">
        <v>57600</v>
      </c>
      <c r="Z743" s="2">
        <v>0</v>
      </c>
      <c r="AA743" s="2">
        <v>57600</v>
      </c>
    </row>
    <row r="744" spans="1:27" x14ac:dyDescent="0.3">
      <c r="A744" s="3">
        <v>13</v>
      </c>
      <c r="B744" s="2" t="str">
        <f>"12014003700"</f>
        <v>12014003700</v>
      </c>
      <c r="C744" s="2" t="s">
        <v>2794</v>
      </c>
      <c r="D744" t="s">
        <v>29</v>
      </c>
      <c r="E744" s="2" t="s">
        <v>30</v>
      </c>
      <c r="F744" s="2">
        <v>37217</v>
      </c>
      <c r="G744" s="2" t="s">
        <v>64</v>
      </c>
      <c r="H744" t="s">
        <v>2707</v>
      </c>
      <c r="I744" s="6">
        <v>31951</v>
      </c>
      <c r="J744" s="2" t="s">
        <v>2795</v>
      </c>
      <c r="K744" s="2">
        <v>54000</v>
      </c>
      <c r="L744" t="s">
        <v>2689</v>
      </c>
      <c r="M744" t="s">
        <v>29</v>
      </c>
      <c r="N744" t="s">
        <v>30</v>
      </c>
      <c r="O744">
        <v>37214</v>
      </c>
      <c r="P744" t="s">
        <v>2796</v>
      </c>
      <c r="Q744" s="2">
        <v>0.25</v>
      </c>
      <c r="R744" s="2">
        <v>70</v>
      </c>
      <c r="S744" s="2">
        <v>156</v>
      </c>
      <c r="T744" t="s">
        <v>2797</v>
      </c>
      <c r="U744" s="6">
        <v>26879</v>
      </c>
      <c r="V744" s="2">
        <v>47037015700</v>
      </c>
      <c r="W744" s="2" t="s">
        <v>68</v>
      </c>
      <c r="X744" s="1">
        <v>45658</v>
      </c>
      <c r="Y744" s="2">
        <v>57600</v>
      </c>
      <c r="Z744" s="2">
        <v>0</v>
      </c>
      <c r="AA744" s="2">
        <v>57600</v>
      </c>
    </row>
    <row r="745" spans="1:27" x14ac:dyDescent="0.3">
      <c r="A745" s="3">
        <v>13</v>
      </c>
      <c r="B745" s="2" t="str">
        <f>"12015000100"</f>
        <v>12015000100</v>
      </c>
      <c r="C745" s="2" t="s">
        <v>2798</v>
      </c>
      <c r="D745" t="s">
        <v>29</v>
      </c>
      <c r="E745" s="2" t="s">
        <v>30</v>
      </c>
      <c r="F745" s="2">
        <v>37217</v>
      </c>
      <c r="G745" s="2" t="s">
        <v>64</v>
      </c>
      <c r="H745" t="s">
        <v>2707</v>
      </c>
      <c r="I745" s="6">
        <v>31824</v>
      </c>
      <c r="J745" s="2" t="s">
        <v>2799</v>
      </c>
      <c r="K745" s="2">
        <v>48000</v>
      </c>
      <c r="L745" t="s">
        <v>2689</v>
      </c>
      <c r="M745" t="s">
        <v>29</v>
      </c>
      <c r="N745" t="s">
        <v>30</v>
      </c>
      <c r="O745">
        <v>37214</v>
      </c>
      <c r="P745" t="s">
        <v>2800</v>
      </c>
      <c r="Q745" s="2">
        <v>0.25</v>
      </c>
      <c r="R745" s="2">
        <v>70</v>
      </c>
      <c r="S745" s="2">
        <v>155</v>
      </c>
      <c r="T745" t="s">
        <v>2801</v>
      </c>
      <c r="U745" s="6">
        <v>26063</v>
      </c>
      <c r="V745" s="2">
        <v>47037015700</v>
      </c>
      <c r="W745" s="2" t="s">
        <v>68</v>
      </c>
      <c r="X745" s="1">
        <v>45658</v>
      </c>
      <c r="Y745" s="2">
        <v>57600</v>
      </c>
      <c r="Z745" s="2">
        <v>0</v>
      </c>
      <c r="AA745" s="2">
        <v>57600</v>
      </c>
    </row>
    <row r="746" spans="1:27" x14ac:dyDescent="0.3">
      <c r="A746" s="3">
        <v>13</v>
      </c>
      <c r="B746" s="2" t="str">
        <f>"12014005300"</f>
        <v>12014005300</v>
      </c>
      <c r="C746" s="2" t="s">
        <v>2802</v>
      </c>
      <c r="D746" t="s">
        <v>29</v>
      </c>
      <c r="E746" s="2" t="s">
        <v>30</v>
      </c>
      <c r="F746" s="2">
        <v>37217</v>
      </c>
      <c r="G746" s="2" t="s">
        <v>64</v>
      </c>
      <c r="H746" t="s">
        <v>2707</v>
      </c>
      <c r="I746" s="6">
        <v>32540</v>
      </c>
      <c r="J746" s="2" t="s">
        <v>2803</v>
      </c>
      <c r="K746" s="2">
        <v>42500</v>
      </c>
      <c r="L746" t="s">
        <v>2689</v>
      </c>
      <c r="M746" t="s">
        <v>29</v>
      </c>
      <c r="N746" t="s">
        <v>30</v>
      </c>
      <c r="O746">
        <v>37214</v>
      </c>
      <c r="P746" t="s">
        <v>2804</v>
      </c>
      <c r="Q746" s="2">
        <v>0.28000000000000003</v>
      </c>
      <c r="R746" s="2">
        <v>70</v>
      </c>
      <c r="S746" s="2">
        <v>172</v>
      </c>
      <c r="T746" t="s">
        <v>2805</v>
      </c>
      <c r="U746" s="6">
        <v>25532</v>
      </c>
      <c r="V746" s="2">
        <v>47037015700</v>
      </c>
      <c r="W746" s="2" t="s">
        <v>68</v>
      </c>
      <c r="X746" s="1">
        <v>45658</v>
      </c>
      <c r="Y746" s="2">
        <v>57600</v>
      </c>
      <c r="Z746" s="2">
        <v>0</v>
      </c>
      <c r="AA746" s="2">
        <v>57600</v>
      </c>
    </row>
    <row r="747" spans="1:27" x14ac:dyDescent="0.3">
      <c r="A747" s="3">
        <v>13</v>
      </c>
      <c r="B747" s="2" t="str">
        <f>"12014002300"</f>
        <v>12014002300</v>
      </c>
      <c r="C747" s="2" t="s">
        <v>2806</v>
      </c>
      <c r="D747" t="s">
        <v>29</v>
      </c>
      <c r="E747" s="2" t="s">
        <v>30</v>
      </c>
      <c r="F747" s="2">
        <v>37217</v>
      </c>
      <c r="G747" s="2" t="s">
        <v>64</v>
      </c>
      <c r="H747" t="s">
        <v>2707</v>
      </c>
      <c r="I747" s="6">
        <v>32830</v>
      </c>
      <c r="J747" s="2" t="s">
        <v>2807</v>
      </c>
      <c r="K747" s="2">
        <v>68000</v>
      </c>
      <c r="L747" t="s">
        <v>2689</v>
      </c>
      <c r="M747" t="s">
        <v>29</v>
      </c>
      <c r="N747" t="s">
        <v>30</v>
      </c>
      <c r="O747">
        <v>37214</v>
      </c>
      <c r="P747" t="s">
        <v>2808</v>
      </c>
      <c r="Q747" s="2">
        <v>0.28999999999999998</v>
      </c>
      <c r="R747" s="2">
        <v>70</v>
      </c>
      <c r="S747" s="2">
        <v>184</v>
      </c>
      <c r="T747" t="s">
        <v>2809</v>
      </c>
      <c r="U747" s="6">
        <v>26235</v>
      </c>
      <c r="V747" s="2">
        <v>47037015700</v>
      </c>
      <c r="W747" s="2" t="s">
        <v>68</v>
      </c>
      <c r="X747" s="1">
        <v>45658</v>
      </c>
      <c r="Y747" s="2">
        <v>57600</v>
      </c>
      <c r="Z747" s="2">
        <v>0</v>
      </c>
      <c r="AA747" s="2">
        <v>57600</v>
      </c>
    </row>
    <row r="748" spans="1:27" x14ac:dyDescent="0.3">
      <c r="A748" s="3">
        <v>13</v>
      </c>
      <c r="B748" s="2" t="str">
        <f>"12015000300"</f>
        <v>12015000300</v>
      </c>
      <c r="C748" s="2" t="s">
        <v>2810</v>
      </c>
      <c r="D748" t="s">
        <v>29</v>
      </c>
      <c r="E748" s="2" t="s">
        <v>30</v>
      </c>
      <c r="F748" s="2">
        <v>37217</v>
      </c>
      <c r="G748" s="2" t="s">
        <v>64</v>
      </c>
      <c r="H748" t="s">
        <v>2707</v>
      </c>
      <c r="I748" s="6">
        <v>31769</v>
      </c>
      <c r="J748" s="2" t="s">
        <v>2811</v>
      </c>
      <c r="K748" s="2">
        <v>45000</v>
      </c>
      <c r="L748" t="s">
        <v>2689</v>
      </c>
      <c r="M748" t="s">
        <v>29</v>
      </c>
      <c r="N748" t="s">
        <v>30</v>
      </c>
      <c r="O748">
        <v>37214</v>
      </c>
      <c r="P748" t="s">
        <v>2812</v>
      </c>
      <c r="Q748" s="2">
        <v>0.27</v>
      </c>
      <c r="R748" s="2">
        <v>74</v>
      </c>
      <c r="S748" s="2">
        <v>166</v>
      </c>
      <c r="T748" t="s">
        <v>2813</v>
      </c>
      <c r="U748" s="6">
        <v>20271</v>
      </c>
      <c r="V748" s="2">
        <v>47037015700</v>
      </c>
      <c r="W748" s="2" t="s">
        <v>68</v>
      </c>
      <c r="X748" s="1">
        <v>45658</v>
      </c>
      <c r="Y748" s="2">
        <v>57600</v>
      </c>
      <c r="Z748" s="2">
        <v>0</v>
      </c>
      <c r="AA748" s="2">
        <v>57600</v>
      </c>
    </row>
    <row r="749" spans="1:27" x14ac:dyDescent="0.3">
      <c r="A749" s="3">
        <v>13</v>
      </c>
      <c r="B749" s="2" t="str">
        <f>"12014002200"</f>
        <v>12014002200</v>
      </c>
      <c r="C749" s="2" t="s">
        <v>2814</v>
      </c>
      <c r="D749" t="s">
        <v>29</v>
      </c>
      <c r="E749" s="2" t="s">
        <v>30</v>
      </c>
      <c r="F749" s="2">
        <v>37217</v>
      </c>
      <c r="G749" s="2" t="s">
        <v>64</v>
      </c>
      <c r="H749" t="s">
        <v>2707</v>
      </c>
      <c r="I749" s="6">
        <v>32832</v>
      </c>
      <c r="J749" s="2" t="s">
        <v>2815</v>
      </c>
      <c r="K749" s="2">
        <v>68500</v>
      </c>
      <c r="L749" t="s">
        <v>2689</v>
      </c>
      <c r="M749" t="s">
        <v>29</v>
      </c>
      <c r="N749" t="s">
        <v>30</v>
      </c>
      <c r="O749">
        <v>37214</v>
      </c>
      <c r="P749" t="s">
        <v>2816</v>
      </c>
      <c r="Q749" s="2">
        <v>0.36</v>
      </c>
      <c r="R749" s="2">
        <v>70</v>
      </c>
      <c r="S749" s="2">
        <v>236</v>
      </c>
      <c r="T749" t="s">
        <v>2817</v>
      </c>
      <c r="U749" s="6">
        <v>18218</v>
      </c>
      <c r="V749" s="2">
        <v>47037015700</v>
      </c>
      <c r="W749" s="2" t="s">
        <v>68</v>
      </c>
      <c r="X749" s="1">
        <v>45658</v>
      </c>
      <c r="Y749" s="2">
        <v>57600</v>
      </c>
      <c r="Z749" s="2">
        <v>0</v>
      </c>
      <c r="AA749" s="2">
        <v>57600</v>
      </c>
    </row>
    <row r="750" spans="1:27" x14ac:dyDescent="0.3">
      <c r="A750" s="3">
        <v>13</v>
      </c>
      <c r="B750" s="2" t="str">
        <f>"12014005200"</f>
        <v>12014005200</v>
      </c>
      <c r="C750" s="2" t="s">
        <v>2818</v>
      </c>
      <c r="D750" t="s">
        <v>29</v>
      </c>
      <c r="E750" s="2" t="s">
        <v>30</v>
      </c>
      <c r="F750" s="2">
        <v>37217</v>
      </c>
      <c r="G750" s="2" t="s">
        <v>64</v>
      </c>
      <c r="H750" t="s">
        <v>2707</v>
      </c>
      <c r="I750" s="6">
        <v>32517</v>
      </c>
      <c r="J750" s="2" t="s">
        <v>2819</v>
      </c>
      <c r="K750" s="2">
        <v>46000</v>
      </c>
      <c r="L750" t="s">
        <v>2689</v>
      </c>
      <c r="M750" t="s">
        <v>29</v>
      </c>
      <c r="N750" t="s">
        <v>30</v>
      </c>
      <c r="O750">
        <v>37214</v>
      </c>
      <c r="P750" t="s">
        <v>2820</v>
      </c>
      <c r="Q750" s="2">
        <v>0.22</v>
      </c>
      <c r="R750" s="2">
        <v>78</v>
      </c>
      <c r="S750" s="2">
        <v>129</v>
      </c>
      <c r="T750" t="s">
        <v>2821</v>
      </c>
      <c r="U750" s="6">
        <v>25542</v>
      </c>
      <c r="V750" s="2">
        <v>47037015700</v>
      </c>
      <c r="W750" s="2" t="s">
        <v>68</v>
      </c>
      <c r="X750" s="1">
        <v>45658</v>
      </c>
      <c r="Y750" s="2">
        <v>51800</v>
      </c>
      <c r="Z750" s="2">
        <v>0</v>
      </c>
      <c r="AA750" s="2">
        <v>51800</v>
      </c>
    </row>
    <row r="751" spans="1:27" x14ac:dyDescent="0.3">
      <c r="A751" s="3">
        <v>13</v>
      </c>
      <c r="B751" s="2" t="str">
        <f>"12014004200"</f>
        <v>12014004200</v>
      </c>
      <c r="C751" s="2" t="s">
        <v>2822</v>
      </c>
      <c r="D751" t="s">
        <v>29</v>
      </c>
      <c r="E751" s="2" t="s">
        <v>30</v>
      </c>
      <c r="F751" s="2">
        <v>37217</v>
      </c>
      <c r="G751" s="2" t="s">
        <v>64</v>
      </c>
      <c r="H751" t="s">
        <v>2707</v>
      </c>
      <c r="I751" s="6">
        <v>32314</v>
      </c>
      <c r="J751" s="2" t="s">
        <v>2823</v>
      </c>
      <c r="K751" s="2">
        <v>57000</v>
      </c>
      <c r="L751" t="s">
        <v>2689</v>
      </c>
      <c r="M751" t="s">
        <v>29</v>
      </c>
      <c r="N751" t="s">
        <v>30</v>
      </c>
      <c r="O751">
        <v>37214</v>
      </c>
      <c r="P751" t="s">
        <v>2824</v>
      </c>
      <c r="Q751" s="2">
        <v>0.26</v>
      </c>
      <c r="R751" s="2">
        <v>70</v>
      </c>
      <c r="S751" s="2">
        <v>158</v>
      </c>
      <c r="T751" t="s">
        <v>2825</v>
      </c>
      <c r="U751" s="6">
        <v>21773</v>
      </c>
      <c r="V751" s="2">
        <v>47037015700</v>
      </c>
      <c r="W751" s="2" t="s">
        <v>68</v>
      </c>
      <c r="X751" s="1">
        <v>45658</v>
      </c>
      <c r="Y751" s="2">
        <v>57600</v>
      </c>
      <c r="Z751" s="2">
        <v>0</v>
      </c>
      <c r="AA751" s="2">
        <v>57600</v>
      </c>
    </row>
    <row r="752" spans="1:27" x14ac:dyDescent="0.3">
      <c r="A752" s="3">
        <v>13</v>
      </c>
      <c r="B752" s="2" t="str">
        <f>"12014004300"</f>
        <v>12014004300</v>
      </c>
      <c r="C752" s="2" t="s">
        <v>2826</v>
      </c>
      <c r="D752" t="s">
        <v>29</v>
      </c>
      <c r="E752" s="2" t="s">
        <v>30</v>
      </c>
      <c r="F752" s="2">
        <v>37217</v>
      </c>
      <c r="G752" s="2" t="s">
        <v>64</v>
      </c>
      <c r="H752" t="s">
        <v>2707</v>
      </c>
      <c r="I752" s="6">
        <v>32345</v>
      </c>
      <c r="J752" s="2" t="s">
        <v>2827</v>
      </c>
      <c r="K752" s="2">
        <v>45000</v>
      </c>
      <c r="L752" t="s">
        <v>2689</v>
      </c>
      <c r="M752" t="s">
        <v>29</v>
      </c>
      <c r="N752" t="s">
        <v>30</v>
      </c>
      <c r="O752">
        <v>37214</v>
      </c>
      <c r="P752" t="s">
        <v>2828</v>
      </c>
      <c r="Q752" s="2">
        <v>0.34</v>
      </c>
      <c r="R752" s="2">
        <v>70</v>
      </c>
      <c r="S752" s="2">
        <v>180</v>
      </c>
      <c r="T752" t="s">
        <v>2829</v>
      </c>
      <c r="U752" s="6">
        <v>23068</v>
      </c>
      <c r="V752" s="2">
        <v>47037015700</v>
      </c>
      <c r="W752" s="2" t="s">
        <v>68</v>
      </c>
      <c r="X752" s="1">
        <v>45658</v>
      </c>
      <c r="Y752" s="2">
        <v>57600</v>
      </c>
      <c r="Z752" s="2">
        <v>0</v>
      </c>
      <c r="AA752" s="2">
        <v>57600</v>
      </c>
    </row>
    <row r="753" spans="1:27" x14ac:dyDescent="0.3">
      <c r="A753" s="3">
        <v>13</v>
      </c>
      <c r="B753" s="2" t="str">
        <f>"12014004400"</f>
        <v>12014004400</v>
      </c>
      <c r="C753" s="2" t="s">
        <v>2830</v>
      </c>
      <c r="D753" t="s">
        <v>29</v>
      </c>
      <c r="E753" s="2" t="s">
        <v>30</v>
      </c>
      <c r="F753" s="2">
        <v>37217</v>
      </c>
      <c r="G753" s="2" t="s">
        <v>64</v>
      </c>
      <c r="H753" t="s">
        <v>2707</v>
      </c>
      <c r="I753" s="6">
        <v>32353</v>
      </c>
      <c r="J753" s="2" t="s">
        <v>2831</v>
      </c>
      <c r="K753" s="2">
        <v>62000</v>
      </c>
      <c r="L753" t="s">
        <v>2689</v>
      </c>
      <c r="M753" t="s">
        <v>29</v>
      </c>
      <c r="N753" t="s">
        <v>30</v>
      </c>
      <c r="O753">
        <v>37214</v>
      </c>
      <c r="P753" t="s">
        <v>2832</v>
      </c>
      <c r="Q753" s="2">
        <v>0.28999999999999998</v>
      </c>
      <c r="R753" s="2">
        <v>70</v>
      </c>
      <c r="S753" s="2">
        <v>193</v>
      </c>
      <c r="T753" t="s">
        <v>2833</v>
      </c>
      <c r="U753" s="6">
        <v>17772</v>
      </c>
      <c r="V753" s="2">
        <v>47037015700</v>
      </c>
      <c r="W753" s="2" t="s">
        <v>68</v>
      </c>
      <c r="X753" s="1">
        <v>45658</v>
      </c>
      <c r="Y753" s="2">
        <v>57600</v>
      </c>
      <c r="Z753" s="2">
        <v>0</v>
      </c>
      <c r="AA753" s="2">
        <v>57600</v>
      </c>
    </row>
    <row r="754" spans="1:27" x14ac:dyDescent="0.3">
      <c r="A754" s="3">
        <v>13</v>
      </c>
      <c r="B754" s="2" t="str">
        <f>"12014004100"</f>
        <v>12014004100</v>
      </c>
      <c r="C754" s="2" t="s">
        <v>2834</v>
      </c>
      <c r="D754" t="s">
        <v>29</v>
      </c>
      <c r="E754" s="2" t="s">
        <v>30</v>
      </c>
      <c r="F754" s="2">
        <v>37217</v>
      </c>
      <c r="G754" s="2" t="s">
        <v>64</v>
      </c>
      <c r="H754" t="s">
        <v>2707</v>
      </c>
      <c r="I754" s="6">
        <v>32314</v>
      </c>
      <c r="J754" s="2" t="s">
        <v>2835</v>
      </c>
      <c r="K754" s="2">
        <v>52500</v>
      </c>
      <c r="L754" t="s">
        <v>2689</v>
      </c>
      <c r="M754" t="s">
        <v>29</v>
      </c>
      <c r="N754" t="s">
        <v>30</v>
      </c>
      <c r="O754">
        <v>37214</v>
      </c>
      <c r="P754" t="s">
        <v>2836</v>
      </c>
      <c r="Q754" s="2">
        <v>0.26</v>
      </c>
      <c r="R754" s="2">
        <v>70</v>
      </c>
      <c r="S754" s="2">
        <v>150</v>
      </c>
      <c r="T754" t="s">
        <v>2837</v>
      </c>
      <c r="U754" s="6">
        <v>24624</v>
      </c>
      <c r="V754" s="2">
        <v>47037015700</v>
      </c>
      <c r="W754" s="2" t="s">
        <v>68</v>
      </c>
      <c r="X754" s="1">
        <v>45658</v>
      </c>
      <c r="Y754" s="2">
        <v>57600</v>
      </c>
      <c r="Z754" s="2">
        <v>0</v>
      </c>
      <c r="AA754" s="2">
        <v>57600</v>
      </c>
    </row>
    <row r="755" spans="1:27" x14ac:dyDescent="0.3">
      <c r="A755" s="3">
        <v>13</v>
      </c>
      <c r="B755" s="2" t="str">
        <f>"12014004000"</f>
        <v>12014004000</v>
      </c>
      <c r="C755" s="2" t="s">
        <v>2838</v>
      </c>
      <c r="D755" t="s">
        <v>29</v>
      </c>
      <c r="E755" s="2" t="s">
        <v>30</v>
      </c>
      <c r="F755" s="2">
        <v>37217</v>
      </c>
      <c r="G755" s="2" t="s">
        <v>64</v>
      </c>
      <c r="H755" t="s">
        <v>2707</v>
      </c>
      <c r="I755" s="6">
        <v>31891</v>
      </c>
      <c r="J755" s="2" t="s">
        <v>2839</v>
      </c>
      <c r="K755" s="2">
        <v>35000</v>
      </c>
      <c r="L755" t="s">
        <v>2689</v>
      </c>
      <c r="M755" t="s">
        <v>29</v>
      </c>
      <c r="N755" t="s">
        <v>30</v>
      </c>
      <c r="O755">
        <v>37214</v>
      </c>
      <c r="P755" t="s">
        <v>2840</v>
      </c>
      <c r="Q755" s="2">
        <v>0.24</v>
      </c>
      <c r="R755" s="2">
        <v>70</v>
      </c>
      <c r="S755" s="2">
        <v>147</v>
      </c>
      <c r="T755" t="s">
        <v>2841</v>
      </c>
      <c r="U755" s="6">
        <v>26082</v>
      </c>
      <c r="V755" s="2">
        <v>47037015700</v>
      </c>
      <c r="W755" s="2" t="s">
        <v>68</v>
      </c>
      <c r="X755" s="1">
        <v>45658</v>
      </c>
      <c r="Y755" s="2">
        <v>57600</v>
      </c>
      <c r="Z755" s="2">
        <v>0</v>
      </c>
      <c r="AA755" s="2">
        <v>57600</v>
      </c>
    </row>
    <row r="756" spans="1:27" x14ac:dyDescent="0.3">
      <c r="A756" s="3">
        <v>13</v>
      </c>
      <c r="B756" s="2" t="str">
        <f>"12014002100"</f>
        <v>12014002100</v>
      </c>
      <c r="C756" s="2" t="s">
        <v>2842</v>
      </c>
      <c r="D756" t="s">
        <v>29</v>
      </c>
      <c r="E756" s="2" t="s">
        <v>30</v>
      </c>
      <c r="F756" s="2">
        <v>37217</v>
      </c>
      <c r="G756" s="2" t="s">
        <v>64</v>
      </c>
      <c r="H756" t="s">
        <v>2707</v>
      </c>
      <c r="I756" s="6">
        <v>32801</v>
      </c>
      <c r="J756" s="2" t="s">
        <v>2843</v>
      </c>
      <c r="K756" s="2">
        <v>47000</v>
      </c>
      <c r="L756" t="s">
        <v>2689</v>
      </c>
      <c r="M756" t="s">
        <v>29</v>
      </c>
      <c r="N756" t="s">
        <v>30</v>
      </c>
      <c r="O756">
        <v>37214</v>
      </c>
      <c r="P756" t="s">
        <v>2844</v>
      </c>
      <c r="Q756" s="2">
        <v>0.56999999999999995</v>
      </c>
      <c r="R756" s="2">
        <v>70</v>
      </c>
      <c r="S756" s="2">
        <v>285</v>
      </c>
      <c r="T756" t="s">
        <v>2845</v>
      </c>
      <c r="U756" s="6">
        <v>27180</v>
      </c>
      <c r="V756" s="2">
        <v>47037015700</v>
      </c>
      <c r="W756" s="2" t="s">
        <v>68</v>
      </c>
      <c r="X756" s="1">
        <v>45658</v>
      </c>
      <c r="Y756" s="2">
        <v>63400</v>
      </c>
      <c r="Z756" s="2">
        <v>0</v>
      </c>
      <c r="AA756" s="2">
        <v>63400</v>
      </c>
    </row>
    <row r="757" spans="1:27" x14ac:dyDescent="0.3">
      <c r="A757" s="3">
        <v>13</v>
      </c>
      <c r="B757" s="2" t="str">
        <f>"12014003900"</f>
        <v>12014003900</v>
      </c>
      <c r="C757" s="2" t="s">
        <v>2846</v>
      </c>
      <c r="D757" t="s">
        <v>29</v>
      </c>
      <c r="E757" s="2" t="s">
        <v>30</v>
      </c>
      <c r="F757" s="2">
        <v>37217</v>
      </c>
      <c r="G757" s="2" t="s">
        <v>64</v>
      </c>
      <c r="H757" t="s">
        <v>2707</v>
      </c>
      <c r="I757" s="6">
        <v>31966</v>
      </c>
      <c r="J757" s="2" t="s">
        <v>2847</v>
      </c>
      <c r="K757" s="2">
        <v>44500</v>
      </c>
      <c r="L757" t="s">
        <v>2689</v>
      </c>
      <c r="M757" t="s">
        <v>29</v>
      </c>
      <c r="N757" t="s">
        <v>30</v>
      </c>
      <c r="O757">
        <v>37214</v>
      </c>
      <c r="P757" t="s">
        <v>2848</v>
      </c>
      <c r="Q757" s="2">
        <v>0.23</v>
      </c>
      <c r="R757" s="2">
        <v>70</v>
      </c>
      <c r="S757" s="2">
        <v>149</v>
      </c>
      <c r="T757" t="s">
        <v>2849</v>
      </c>
      <c r="U757" s="6">
        <v>20985</v>
      </c>
      <c r="V757" s="2">
        <v>47037015700</v>
      </c>
      <c r="W757" s="2" t="s">
        <v>68</v>
      </c>
      <c r="X757" s="1">
        <v>45658</v>
      </c>
      <c r="Y757" s="2">
        <v>57600</v>
      </c>
      <c r="Z757" s="2">
        <v>0</v>
      </c>
      <c r="AA757" s="2">
        <v>57600</v>
      </c>
    </row>
    <row r="758" spans="1:27" x14ac:dyDescent="0.3">
      <c r="A758" s="3">
        <v>13</v>
      </c>
      <c r="B758" s="2" t="str">
        <f>"12014003800"</f>
        <v>12014003800</v>
      </c>
      <c r="C758" s="2" t="s">
        <v>2850</v>
      </c>
      <c r="D758" t="s">
        <v>29</v>
      </c>
      <c r="E758" s="2" t="s">
        <v>30</v>
      </c>
      <c r="F758" s="2">
        <v>37217</v>
      </c>
      <c r="G758" s="2" t="s">
        <v>64</v>
      </c>
      <c r="H758" t="s">
        <v>2707</v>
      </c>
      <c r="I758" s="6">
        <v>31898</v>
      </c>
      <c r="J758" s="2" t="s">
        <v>2851</v>
      </c>
      <c r="K758" s="2">
        <v>39500</v>
      </c>
      <c r="L758" t="s">
        <v>2689</v>
      </c>
      <c r="M758" t="s">
        <v>29</v>
      </c>
      <c r="N758" t="s">
        <v>30</v>
      </c>
      <c r="O758">
        <v>37214</v>
      </c>
      <c r="P758" t="s">
        <v>2852</v>
      </c>
      <c r="Q758" s="2">
        <v>0.24</v>
      </c>
      <c r="R758" s="2">
        <v>70</v>
      </c>
      <c r="S758" s="2">
        <v>151</v>
      </c>
      <c r="T758" t="s">
        <v>2853</v>
      </c>
      <c r="U758" s="6">
        <v>20600</v>
      </c>
      <c r="V758" s="2">
        <v>47037015700</v>
      </c>
      <c r="W758" s="2" t="s">
        <v>68</v>
      </c>
      <c r="X758" s="1">
        <v>45658</v>
      </c>
      <c r="Y758" s="2">
        <v>57600</v>
      </c>
      <c r="Z758" s="2">
        <v>0</v>
      </c>
      <c r="AA758" s="2">
        <v>57600</v>
      </c>
    </row>
    <row r="759" spans="1:27" x14ac:dyDescent="0.3">
      <c r="A759" s="3">
        <v>13</v>
      </c>
      <c r="B759" s="2" t="str">
        <f>"12015000600"</f>
        <v>12015000600</v>
      </c>
      <c r="C759" s="2" t="s">
        <v>2854</v>
      </c>
      <c r="D759" t="s">
        <v>29</v>
      </c>
      <c r="E759" s="2" t="s">
        <v>30</v>
      </c>
      <c r="F759" s="2">
        <v>37217</v>
      </c>
      <c r="G759" s="2" t="s">
        <v>64</v>
      </c>
      <c r="H759" t="s">
        <v>2707</v>
      </c>
      <c r="I759" s="6">
        <v>31797</v>
      </c>
      <c r="J759" s="2" t="s">
        <v>2855</v>
      </c>
      <c r="K759" s="2">
        <v>38500</v>
      </c>
      <c r="L759" t="s">
        <v>2689</v>
      </c>
      <c r="M759" t="s">
        <v>29</v>
      </c>
      <c r="N759" t="s">
        <v>30</v>
      </c>
      <c r="O759">
        <v>37214</v>
      </c>
      <c r="P759" t="s">
        <v>2856</v>
      </c>
      <c r="Q759" s="2">
        <v>0.25</v>
      </c>
      <c r="R759" s="2">
        <v>70</v>
      </c>
      <c r="S759" s="2">
        <v>153</v>
      </c>
      <c r="T759" t="s">
        <v>2857</v>
      </c>
      <c r="U759" s="6">
        <v>27191</v>
      </c>
      <c r="V759" s="2">
        <v>47037015700</v>
      </c>
      <c r="W759" s="2" t="s">
        <v>68</v>
      </c>
      <c r="X759" s="1">
        <v>45658</v>
      </c>
      <c r="Y759" s="2">
        <v>57600</v>
      </c>
      <c r="Z759" s="2">
        <v>0</v>
      </c>
      <c r="AA759" s="2">
        <v>57600</v>
      </c>
    </row>
    <row r="760" spans="1:27" x14ac:dyDescent="0.3">
      <c r="A760" s="3">
        <v>13</v>
      </c>
      <c r="B760" s="2" t="str">
        <f>"12014004600"</f>
        <v>12014004600</v>
      </c>
      <c r="C760" s="2" t="s">
        <v>2858</v>
      </c>
      <c r="D760" t="s">
        <v>29</v>
      </c>
      <c r="E760" s="2" t="s">
        <v>30</v>
      </c>
      <c r="F760" s="2">
        <v>37217</v>
      </c>
      <c r="G760" s="2" t="s">
        <v>64</v>
      </c>
      <c r="H760" t="s">
        <v>2707</v>
      </c>
      <c r="I760" s="6">
        <v>32555</v>
      </c>
      <c r="J760" s="2" t="s">
        <v>2859</v>
      </c>
      <c r="K760" s="2">
        <v>55500</v>
      </c>
      <c r="L760" t="s">
        <v>2689</v>
      </c>
      <c r="M760" t="s">
        <v>29</v>
      </c>
      <c r="N760" t="s">
        <v>30</v>
      </c>
      <c r="O760">
        <v>37214</v>
      </c>
      <c r="P760" t="s">
        <v>2860</v>
      </c>
      <c r="Q760" s="2">
        <v>0.27</v>
      </c>
      <c r="R760" s="2">
        <v>70</v>
      </c>
      <c r="S760" s="2">
        <v>175</v>
      </c>
      <c r="T760" t="s">
        <v>2861</v>
      </c>
      <c r="U760" s="6">
        <v>27011</v>
      </c>
      <c r="V760" s="2">
        <v>47037015700</v>
      </c>
      <c r="W760" s="2" t="s">
        <v>68</v>
      </c>
      <c r="X760" s="1">
        <v>45658</v>
      </c>
      <c r="Y760" s="2">
        <v>57600</v>
      </c>
      <c r="Z760" s="2">
        <v>0</v>
      </c>
      <c r="AA760" s="2">
        <v>57600</v>
      </c>
    </row>
    <row r="761" spans="1:27" x14ac:dyDescent="0.3">
      <c r="A761" s="3">
        <v>13</v>
      </c>
      <c r="B761" s="2" t="str">
        <f>"12014005100"</f>
        <v>12014005100</v>
      </c>
      <c r="C761" s="2" t="s">
        <v>2862</v>
      </c>
      <c r="D761" t="s">
        <v>29</v>
      </c>
      <c r="E761" s="2" t="s">
        <v>30</v>
      </c>
      <c r="F761" s="2">
        <v>37217</v>
      </c>
      <c r="G761" s="2" t="s">
        <v>64</v>
      </c>
      <c r="H761" t="s">
        <v>2707</v>
      </c>
      <c r="I761" s="6">
        <v>32540</v>
      </c>
      <c r="J761" s="2" t="s">
        <v>2863</v>
      </c>
      <c r="K761" s="2">
        <v>43000</v>
      </c>
      <c r="L761" t="s">
        <v>2689</v>
      </c>
      <c r="M761" t="s">
        <v>29</v>
      </c>
      <c r="N761" t="s">
        <v>30</v>
      </c>
      <c r="O761">
        <v>37214</v>
      </c>
      <c r="P761" t="s">
        <v>2864</v>
      </c>
      <c r="Q761" s="2">
        <v>0.28000000000000003</v>
      </c>
      <c r="R761" s="2">
        <v>132</v>
      </c>
      <c r="S761" s="2">
        <v>105</v>
      </c>
      <c r="T761" t="s">
        <v>2865</v>
      </c>
      <c r="U761" s="6">
        <v>20680</v>
      </c>
      <c r="V761" s="2">
        <v>47037015700</v>
      </c>
      <c r="W761" s="2" t="s">
        <v>68</v>
      </c>
      <c r="X761" s="1">
        <v>45658</v>
      </c>
      <c r="Y761" s="2">
        <v>57600</v>
      </c>
      <c r="Z761" s="2">
        <v>0</v>
      </c>
      <c r="AA761" s="2">
        <v>57600</v>
      </c>
    </row>
    <row r="762" spans="1:27" x14ac:dyDescent="0.3">
      <c r="A762" s="3">
        <v>13</v>
      </c>
      <c r="B762" s="2" t="str">
        <f>"12015000400"</f>
        <v>12015000400</v>
      </c>
      <c r="C762" s="2" t="s">
        <v>2866</v>
      </c>
      <c r="D762" t="s">
        <v>29</v>
      </c>
      <c r="E762" s="2" t="s">
        <v>30</v>
      </c>
      <c r="F762" s="2">
        <v>37217</v>
      </c>
      <c r="G762" s="2" t="s">
        <v>64</v>
      </c>
      <c r="H762" t="s">
        <v>2707</v>
      </c>
      <c r="I762" s="6">
        <v>31835</v>
      </c>
      <c r="J762" s="2" t="s">
        <v>2867</v>
      </c>
      <c r="K762" s="2">
        <v>42845</v>
      </c>
      <c r="L762" t="s">
        <v>2689</v>
      </c>
      <c r="M762" t="s">
        <v>29</v>
      </c>
      <c r="N762" t="s">
        <v>30</v>
      </c>
      <c r="O762">
        <v>37214</v>
      </c>
      <c r="P762" t="s">
        <v>2868</v>
      </c>
      <c r="Q762" s="2">
        <v>0.27</v>
      </c>
      <c r="R762" s="2">
        <v>74</v>
      </c>
      <c r="S762" s="2">
        <v>166</v>
      </c>
      <c r="T762" t="s">
        <v>2869</v>
      </c>
      <c r="U762" s="6">
        <v>26073</v>
      </c>
      <c r="V762" s="2">
        <v>47037015700</v>
      </c>
      <c r="W762" s="2" t="s">
        <v>68</v>
      </c>
      <c r="X762" s="1">
        <v>45658</v>
      </c>
      <c r="Y762" s="2">
        <v>57600</v>
      </c>
      <c r="Z762" s="2">
        <v>0</v>
      </c>
      <c r="AA762" s="2">
        <v>57600</v>
      </c>
    </row>
    <row r="763" spans="1:27" x14ac:dyDescent="0.3">
      <c r="A763" s="3">
        <v>13</v>
      </c>
      <c r="B763" s="2" t="str">
        <f>"12014002000"</f>
        <v>12014002000</v>
      </c>
      <c r="C763" s="2" t="s">
        <v>2870</v>
      </c>
      <c r="D763" t="s">
        <v>29</v>
      </c>
      <c r="E763" s="2" t="s">
        <v>30</v>
      </c>
      <c r="F763" s="2">
        <v>37217</v>
      </c>
      <c r="G763" s="2" t="s">
        <v>64</v>
      </c>
      <c r="H763" t="s">
        <v>2707</v>
      </c>
      <c r="I763" s="6">
        <v>32833</v>
      </c>
      <c r="J763" s="2" t="s">
        <v>2871</v>
      </c>
      <c r="K763" s="2">
        <v>51000</v>
      </c>
      <c r="L763" t="s">
        <v>2689</v>
      </c>
      <c r="M763" t="s">
        <v>29</v>
      </c>
      <c r="N763" t="s">
        <v>30</v>
      </c>
      <c r="O763">
        <v>37214</v>
      </c>
      <c r="P763" t="s">
        <v>2872</v>
      </c>
      <c r="Q763" s="2">
        <v>0.57999999999999996</v>
      </c>
      <c r="R763" s="2">
        <v>70</v>
      </c>
      <c r="S763" s="2">
        <v>285</v>
      </c>
      <c r="T763" t="s">
        <v>2873</v>
      </c>
      <c r="U763" s="6">
        <v>24576</v>
      </c>
      <c r="V763" s="2">
        <v>47037015700</v>
      </c>
      <c r="W763" s="2" t="s">
        <v>68</v>
      </c>
      <c r="X763" s="1">
        <v>45658</v>
      </c>
      <c r="Y763" s="2">
        <v>63400</v>
      </c>
      <c r="Z763" s="2">
        <v>0</v>
      </c>
      <c r="AA763" s="2">
        <v>63400</v>
      </c>
    </row>
    <row r="764" spans="1:27" x14ac:dyDescent="0.3">
      <c r="A764" s="3">
        <v>13</v>
      </c>
      <c r="B764" s="2" t="str">
        <f>"12014004700"</f>
        <v>12014004700</v>
      </c>
      <c r="C764" s="2" t="s">
        <v>2874</v>
      </c>
      <c r="D764" t="s">
        <v>29</v>
      </c>
      <c r="E764" s="2" t="s">
        <v>30</v>
      </c>
      <c r="F764" s="2">
        <v>37217</v>
      </c>
      <c r="G764" s="2" t="s">
        <v>64</v>
      </c>
      <c r="H764" t="s">
        <v>2707</v>
      </c>
      <c r="I764" s="6">
        <v>32580</v>
      </c>
      <c r="J764" s="2" t="s">
        <v>2875</v>
      </c>
      <c r="K764" s="2">
        <v>42500</v>
      </c>
      <c r="L764" t="s">
        <v>2689</v>
      </c>
      <c r="M764" t="s">
        <v>29</v>
      </c>
      <c r="N764" t="s">
        <v>30</v>
      </c>
      <c r="O764">
        <v>37214</v>
      </c>
      <c r="P764" t="s">
        <v>2876</v>
      </c>
      <c r="Q764" s="2">
        <v>0.24</v>
      </c>
      <c r="R764" s="2">
        <v>70</v>
      </c>
      <c r="S764" s="2">
        <v>155</v>
      </c>
      <c r="T764" t="s">
        <v>2877</v>
      </c>
      <c r="U764" s="6">
        <v>19849</v>
      </c>
      <c r="V764" s="2">
        <v>47037015700</v>
      </c>
      <c r="W764" s="2" t="s">
        <v>68</v>
      </c>
      <c r="X764" s="1">
        <v>45658</v>
      </c>
      <c r="Y764" s="2">
        <v>57600</v>
      </c>
      <c r="Z764" s="2">
        <v>0</v>
      </c>
      <c r="AA764" s="2">
        <v>57600</v>
      </c>
    </row>
    <row r="765" spans="1:27" x14ac:dyDescent="0.3">
      <c r="A765" s="3">
        <v>13</v>
      </c>
      <c r="B765" s="2" t="str">
        <f>"12014004800"</f>
        <v>12014004800</v>
      </c>
      <c r="C765" s="2" t="s">
        <v>2878</v>
      </c>
      <c r="D765" t="s">
        <v>29</v>
      </c>
      <c r="E765" s="2" t="s">
        <v>30</v>
      </c>
      <c r="F765" s="2">
        <v>37217</v>
      </c>
      <c r="G765" s="2" t="s">
        <v>64</v>
      </c>
      <c r="H765" t="s">
        <v>2707</v>
      </c>
      <c r="I765" s="6">
        <v>32540</v>
      </c>
      <c r="J765" s="2" t="s">
        <v>2879</v>
      </c>
      <c r="K765" s="2">
        <v>43000</v>
      </c>
      <c r="L765" t="s">
        <v>2689</v>
      </c>
      <c r="M765" t="s">
        <v>29</v>
      </c>
      <c r="N765" t="s">
        <v>30</v>
      </c>
      <c r="O765">
        <v>37214</v>
      </c>
      <c r="P765" t="s">
        <v>2880</v>
      </c>
      <c r="Q765" s="2">
        <v>0.2</v>
      </c>
      <c r="R765" s="2">
        <v>70</v>
      </c>
      <c r="S765" s="2">
        <v>135</v>
      </c>
      <c r="T765" t="s">
        <v>2881</v>
      </c>
      <c r="U765" s="6">
        <v>17723</v>
      </c>
      <c r="V765" s="2">
        <v>47037015700</v>
      </c>
      <c r="W765" s="2" t="s">
        <v>68</v>
      </c>
      <c r="X765" s="1">
        <v>45658</v>
      </c>
      <c r="Y765" s="2">
        <v>51800</v>
      </c>
      <c r="Z765" s="2">
        <v>0</v>
      </c>
      <c r="AA765" s="2">
        <v>51800</v>
      </c>
    </row>
    <row r="766" spans="1:27" x14ac:dyDescent="0.3">
      <c r="A766" s="3">
        <v>13</v>
      </c>
      <c r="B766" s="2" t="str">
        <f>"12014005000"</f>
        <v>12014005000</v>
      </c>
      <c r="C766" s="2" t="s">
        <v>2882</v>
      </c>
      <c r="D766" t="s">
        <v>29</v>
      </c>
      <c r="E766" s="2" t="s">
        <v>30</v>
      </c>
      <c r="F766" s="2">
        <v>37217</v>
      </c>
      <c r="G766" s="2" t="s">
        <v>64</v>
      </c>
      <c r="H766" t="s">
        <v>2707</v>
      </c>
      <c r="I766" s="6">
        <v>32617</v>
      </c>
      <c r="J766" s="2" t="s">
        <v>2883</v>
      </c>
      <c r="K766" s="2">
        <v>75000</v>
      </c>
      <c r="L766" t="s">
        <v>2689</v>
      </c>
      <c r="M766" t="s">
        <v>29</v>
      </c>
      <c r="N766" t="s">
        <v>30</v>
      </c>
      <c r="O766">
        <v>37214</v>
      </c>
      <c r="P766" t="s">
        <v>2884</v>
      </c>
      <c r="Q766" s="2">
        <v>0.77</v>
      </c>
      <c r="R766" s="2">
        <v>272</v>
      </c>
      <c r="S766" s="2">
        <v>90</v>
      </c>
      <c r="T766" t="s">
        <v>2885</v>
      </c>
      <c r="U766" s="6">
        <v>19259</v>
      </c>
      <c r="V766" s="2">
        <v>47037015700</v>
      </c>
      <c r="W766" s="2" t="s">
        <v>68</v>
      </c>
      <c r="X766" s="1">
        <v>45658</v>
      </c>
      <c r="Y766" s="2">
        <v>63400</v>
      </c>
      <c r="Z766" s="2">
        <v>0</v>
      </c>
      <c r="AA766" s="2">
        <v>63400</v>
      </c>
    </row>
    <row r="767" spans="1:27" x14ac:dyDescent="0.3">
      <c r="A767" s="3">
        <v>13</v>
      </c>
      <c r="B767" s="2" t="str">
        <f>"12014004900"</f>
        <v>12014004900</v>
      </c>
      <c r="C767" s="2" t="s">
        <v>2886</v>
      </c>
      <c r="D767" t="s">
        <v>29</v>
      </c>
      <c r="E767" s="2" t="s">
        <v>30</v>
      </c>
      <c r="F767" s="2">
        <v>37217</v>
      </c>
      <c r="G767" s="2" t="s">
        <v>64</v>
      </c>
      <c r="H767" t="s">
        <v>2707</v>
      </c>
      <c r="I767" s="6">
        <v>32647</v>
      </c>
      <c r="J767" s="2" t="s">
        <v>2887</v>
      </c>
      <c r="K767" s="2">
        <v>52900</v>
      </c>
      <c r="L767" t="s">
        <v>2689</v>
      </c>
      <c r="M767" t="s">
        <v>29</v>
      </c>
      <c r="N767" t="s">
        <v>30</v>
      </c>
      <c r="O767">
        <v>37214</v>
      </c>
      <c r="P767" t="s">
        <v>2888</v>
      </c>
      <c r="Q767" s="2">
        <v>0.22</v>
      </c>
      <c r="R767" s="2">
        <v>89</v>
      </c>
      <c r="S767" s="2">
        <v>116</v>
      </c>
      <c r="T767" t="s">
        <v>2889</v>
      </c>
      <c r="U767" s="6">
        <v>24590</v>
      </c>
      <c r="V767" s="2">
        <v>47037015700</v>
      </c>
      <c r="W767" s="2" t="s">
        <v>68</v>
      </c>
      <c r="X767" s="1">
        <v>45658</v>
      </c>
      <c r="Y767" s="2">
        <v>51800</v>
      </c>
      <c r="Z767" s="2">
        <v>0</v>
      </c>
      <c r="AA767" s="2">
        <v>51800</v>
      </c>
    </row>
    <row r="768" spans="1:27" x14ac:dyDescent="0.3">
      <c r="A768" s="3">
        <v>13</v>
      </c>
      <c r="B768" s="2" t="str">
        <f>"12014001900"</f>
        <v>12014001900</v>
      </c>
      <c r="C768" s="2" t="s">
        <v>2890</v>
      </c>
      <c r="D768" t="s">
        <v>29</v>
      </c>
      <c r="E768" s="2" t="s">
        <v>30</v>
      </c>
      <c r="F768" s="2">
        <v>37217</v>
      </c>
      <c r="G768" s="2" t="s">
        <v>64</v>
      </c>
      <c r="H768" t="s">
        <v>2707</v>
      </c>
      <c r="I768" s="6">
        <v>32967</v>
      </c>
      <c r="J768" s="2" t="s">
        <v>2891</v>
      </c>
      <c r="K768" s="2">
        <v>50000</v>
      </c>
      <c r="L768" t="s">
        <v>2689</v>
      </c>
      <c r="M768" t="s">
        <v>29</v>
      </c>
      <c r="N768" t="s">
        <v>30</v>
      </c>
      <c r="O768">
        <v>37214</v>
      </c>
      <c r="P768" t="s">
        <v>2892</v>
      </c>
      <c r="Q768" s="2">
        <v>0.52</v>
      </c>
      <c r="R768" s="2">
        <v>70</v>
      </c>
      <c r="S768" s="2">
        <v>273</v>
      </c>
      <c r="T768" t="s">
        <v>2893</v>
      </c>
      <c r="U768" s="6">
        <v>21499</v>
      </c>
      <c r="V768" s="2">
        <v>47037015700</v>
      </c>
      <c r="W768" s="2" t="s">
        <v>68</v>
      </c>
      <c r="X768" s="1">
        <v>45658</v>
      </c>
      <c r="Y768" s="2">
        <v>63400</v>
      </c>
      <c r="Z768" s="2">
        <v>0</v>
      </c>
      <c r="AA768" s="2">
        <v>63400</v>
      </c>
    </row>
    <row r="769" spans="1:27" x14ac:dyDescent="0.3">
      <c r="A769" s="3">
        <v>13</v>
      </c>
      <c r="B769" s="2" t="str">
        <f>"12014005900"</f>
        <v>12014005900</v>
      </c>
      <c r="C769" s="2" t="s">
        <v>2894</v>
      </c>
      <c r="D769" t="s">
        <v>29</v>
      </c>
      <c r="E769" s="2" t="s">
        <v>30</v>
      </c>
      <c r="F769" s="2">
        <v>37217</v>
      </c>
      <c r="G769" s="2" t="s">
        <v>64</v>
      </c>
      <c r="H769" t="s">
        <v>2707</v>
      </c>
      <c r="I769" s="6">
        <v>31853</v>
      </c>
      <c r="J769" s="2" t="s">
        <v>2895</v>
      </c>
      <c r="K769" s="2">
        <v>39000</v>
      </c>
      <c r="L769" t="s">
        <v>2689</v>
      </c>
      <c r="M769" t="s">
        <v>29</v>
      </c>
      <c r="N769" t="s">
        <v>30</v>
      </c>
      <c r="O769">
        <v>37214</v>
      </c>
      <c r="P769" t="s">
        <v>2896</v>
      </c>
      <c r="Q769" s="2">
        <v>0.24</v>
      </c>
      <c r="R769" s="2">
        <v>70</v>
      </c>
      <c r="S769" s="2">
        <v>163</v>
      </c>
      <c r="T769" t="s">
        <v>2897</v>
      </c>
      <c r="U769" s="6">
        <v>23222</v>
      </c>
      <c r="V769" s="2">
        <v>47037015700</v>
      </c>
      <c r="W769" s="2" t="s">
        <v>68</v>
      </c>
      <c r="X769" s="1">
        <v>45658</v>
      </c>
      <c r="Y769" s="2">
        <v>57600</v>
      </c>
      <c r="Z769" s="2">
        <v>0</v>
      </c>
      <c r="AA769" s="2">
        <v>57600</v>
      </c>
    </row>
    <row r="770" spans="1:27" x14ac:dyDescent="0.3">
      <c r="A770" s="3">
        <v>13</v>
      </c>
      <c r="B770" s="2" t="str">
        <f>"12014005800"</f>
        <v>12014005800</v>
      </c>
      <c r="C770" s="2" t="s">
        <v>2898</v>
      </c>
      <c r="D770" t="s">
        <v>29</v>
      </c>
      <c r="E770" s="2" t="s">
        <v>30</v>
      </c>
      <c r="F770" s="2">
        <v>37217</v>
      </c>
      <c r="G770" s="2" t="s">
        <v>64</v>
      </c>
      <c r="H770" t="s">
        <v>2707</v>
      </c>
      <c r="I770" s="6">
        <v>32395</v>
      </c>
      <c r="J770" s="2" t="s">
        <v>2899</v>
      </c>
      <c r="K770" s="2">
        <v>55000</v>
      </c>
      <c r="L770" t="s">
        <v>2689</v>
      </c>
      <c r="M770" t="s">
        <v>29</v>
      </c>
      <c r="N770" t="s">
        <v>30</v>
      </c>
      <c r="O770">
        <v>37214</v>
      </c>
      <c r="P770" t="s">
        <v>2900</v>
      </c>
      <c r="Q770" s="2">
        <v>0.26</v>
      </c>
      <c r="R770" s="2">
        <v>80</v>
      </c>
      <c r="S770" s="2">
        <v>158</v>
      </c>
      <c r="T770" t="s">
        <v>2901</v>
      </c>
      <c r="U770" s="6">
        <v>27246</v>
      </c>
      <c r="V770" s="2">
        <v>47037015700</v>
      </c>
      <c r="W770" s="2" t="s">
        <v>68</v>
      </c>
      <c r="X770" s="1">
        <v>45658</v>
      </c>
      <c r="Y770" s="2">
        <v>57600</v>
      </c>
      <c r="Z770" s="2">
        <v>0</v>
      </c>
      <c r="AA770" s="2">
        <v>57600</v>
      </c>
    </row>
    <row r="771" spans="1:27" x14ac:dyDescent="0.3">
      <c r="A771" s="3">
        <v>13</v>
      </c>
      <c r="B771" s="2" t="str">
        <f>"12014006100"</f>
        <v>12014006100</v>
      </c>
      <c r="C771" s="2" t="s">
        <v>2902</v>
      </c>
      <c r="D771" t="s">
        <v>29</v>
      </c>
      <c r="E771" s="2" t="s">
        <v>30</v>
      </c>
      <c r="F771" s="2">
        <v>37217</v>
      </c>
      <c r="G771" s="2" t="s">
        <v>64</v>
      </c>
      <c r="H771" t="s">
        <v>2707</v>
      </c>
      <c r="I771" s="6">
        <v>33338</v>
      </c>
      <c r="J771" s="2" t="s">
        <v>2903</v>
      </c>
      <c r="K771" s="2">
        <v>55000</v>
      </c>
      <c r="L771" t="s">
        <v>2689</v>
      </c>
      <c r="M771" t="s">
        <v>29</v>
      </c>
      <c r="N771" t="s">
        <v>30</v>
      </c>
      <c r="O771">
        <v>37214</v>
      </c>
      <c r="P771" t="s">
        <v>2904</v>
      </c>
      <c r="Q771" s="2">
        <v>0.27</v>
      </c>
      <c r="R771" s="2">
        <v>70</v>
      </c>
      <c r="S771" s="2">
        <v>162</v>
      </c>
      <c r="T771" t="s">
        <v>2905</v>
      </c>
      <c r="U771" s="6">
        <v>23516</v>
      </c>
      <c r="V771" s="2">
        <v>47037015700</v>
      </c>
      <c r="W771" s="2" t="s">
        <v>68</v>
      </c>
      <c r="X771" s="1">
        <v>45658</v>
      </c>
      <c r="Y771" s="2">
        <v>57600</v>
      </c>
      <c r="Z771" s="2">
        <v>0</v>
      </c>
      <c r="AA771" s="2">
        <v>57600</v>
      </c>
    </row>
    <row r="772" spans="1:27" x14ac:dyDescent="0.3">
      <c r="A772" s="3">
        <v>13</v>
      </c>
      <c r="B772" s="2" t="str">
        <f>"12014005600"</f>
        <v>12014005600</v>
      </c>
      <c r="C772" s="2" t="s">
        <v>2906</v>
      </c>
      <c r="D772" t="s">
        <v>29</v>
      </c>
      <c r="E772" s="2" t="s">
        <v>30</v>
      </c>
      <c r="F772" s="2">
        <v>37217</v>
      </c>
      <c r="G772" s="2" t="s">
        <v>64</v>
      </c>
      <c r="H772" t="s">
        <v>2707</v>
      </c>
      <c r="I772" s="6">
        <v>32345</v>
      </c>
      <c r="J772" s="2" t="s">
        <v>2907</v>
      </c>
      <c r="K772" s="2">
        <v>67500</v>
      </c>
      <c r="L772" t="s">
        <v>2689</v>
      </c>
      <c r="M772" t="s">
        <v>29</v>
      </c>
      <c r="N772" t="s">
        <v>30</v>
      </c>
      <c r="O772">
        <v>37214</v>
      </c>
      <c r="P772" t="s">
        <v>2908</v>
      </c>
      <c r="Q772" s="2">
        <v>0.23</v>
      </c>
      <c r="R772" s="2">
        <v>90</v>
      </c>
      <c r="S772" s="2">
        <v>145</v>
      </c>
      <c r="T772" t="s">
        <v>2909</v>
      </c>
      <c r="U772" s="6">
        <v>20877</v>
      </c>
      <c r="V772" s="2">
        <v>47037015700</v>
      </c>
      <c r="W772" s="2" t="s">
        <v>68</v>
      </c>
      <c r="X772" s="1">
        <v>45658</v>
      </c>
      <c r="Y772" s="2">
        <v>57600</v>
      </c>
      <c r="Z772" s="2">
        <v>0</v>
      </c>
      <c r="AA772" s="2">
        <v>57600</v>
      </c>
    </row>
    <row r="773" spans="1:27" x14ac:dyDescent="0.3">
      <c r="A773" s="3">
        <v>13</v>
      </c>
      <c r="B773" s="2" t="str">
        <f>"12014006200"</f>
        <v>12014006200</v>
      </c>
      <c r="C773" s="2" t="s">
        <v>2910</v>
      </c>
      <c r="D773" t="s">
        <v>29</v>
      </c>
      <c r="E773" s="2" t="s">
        <v>30</v>
      </c>
      <c r="F773" s="2">
        <v>37217</v>
      </c>
      <c r="G773" s="2" t="s">
        <v>64</v>
      </c>
      <c r="H773" t="s">
        <v>2707</v>
      </c>
      <c r="I773" s="6">
        <v>33154</v>
      </c>
      <c r="J773" s="2" t="s">
        <v>2911</v>
      </c>
      <c r="K773" s="2">
        <v>60000</v>
      </c>
      <c r="L773" t="s">
        <v>2689</v>
      </c>
      <c r="M773" t="s">
        <v>29</v>
      </c>
      <c r="N773" t="s">
        <v>30</v>
      </c>
      <c r="O773">
        <v>37214</v>
      </c>
      <c r="P773" t="s">
        <v>2912</v>
      </c>
      <c r="Q773" s="2">
        <v>0.27</v>
      </c>
      <c r="R773" s="2">
        <v>70</v>
      </c>
      <c r="S773" s="2">
        <v>162</v>
      </c>
      <c r="T773" t="s">
        <v>2913</v>
      </c>
      <c r="U773" s="6">
        <v>20515</v>
      </c>
      <c r="V773" s="2">
        <v>47037015700</v>
      </c>
      <c r="W773" s="2" t="s">
        <v>68</v>
      </c>
      <c r="X773" s="1">
        <v>45658</v>
      </c>
      <c r="Y773" s="2">
        <v>57600</v>
      </c>
      <c r="Z773" s="2">
        <v>0</v>
      </c>
      <c r="AA773" s="2">
        <v>57600</v>
      </c>
    </row>
    <row r="774" spans="1:27" x14ac:dyDescent="0.3">
      <c r="A774" s="3">
        <v>13</v>
      </c>
      <c r="B774" s="2" t="str">
        <f>"12015000800"</f>
        <v>12015000800</v>
      </c>
      <c r="C774" s="2" t="s">
        <v>2914</v>
      </c>
      <c r="D774" t="s">
        <v>29</v>
      </c>
      <c r="E774" s="2" t="s">
        <v>30</v>
      </c>
      <c r="F774" s="2">
        <v>37217</v>
      </c>
      <c r="G774" s="2" t="s">
        <v>64</v>
      </c>
      <c r="H774" t="s">
        <v>2707</v>
      </c>
      <c r="I774" s="6">
        <v>31925</v>
      </c>
      <c r="J774" s="2" t="s">
        <v>2915</v>
      </c>
      <c r="K774" s="2">
        <v>39000</v>
      </c>
      <c r="L774" t="s">
        <v>2689</v>
      </c>
      <c r="M774" t="s">
        <v>29</v>
      </c>
      <c r="N774" t="s">
        <v>30</v>
      </c>
      <c r="O774">
        <v>37214</v>
      </c>
      <c r="P774" t="s">
        <v>2916</v>
      </c>
      <c r="Q774" s="2">
        <v>0.28999999999999998</v>
      </c>
      <c r="R774" s="2">
        <v>55</v>
      </c>
      <c r="S774" s="2">
        <v>165</v>
      </c>
      <c r="T774" t="s">
        <v>2917</v>
      </c>
      <c r="U774" s="6">
        <v>20499</v>
      </c>
      <c r="V774" s="2">
        <v>47037015700</v>
      </c>
      <c r="W774" s="2" t="s">
        <v>68</v>
      </c>
      <c r="X774" s="1">
        <v>45658</v>
      </c>
      <c r="Y774" s="2">
        <v>57600</v>
      </c>
      <c r="Z774" s="2">
        <v>0</v>
      </c>
      <c r="AA774" s="2">
        <v>57600</v>
      </c>
    </row>
    <row r="775" spans="1:27" x14ac:dyDescent="0.3">
      <c r="A775" s="3">
        <v>13</v>
      </c>
      <c r="B775" s="2" t="str">
        <f>"12014005500"</f>
        <v>12014005500</v>
      </c>
      <c r="C775" s="2" t="s">
        <v>2918</v>
      </c>
      <c r="D775" t="s">
        <v>29</v>
      </c>
      <c r="E775" s="2" t="s">
        <v>30</v>
      </c>
      <c r="F775" s="2">
        <v>37217</v>
      </c>
      <c r="G775" s="2" t="s">
        <v>64</v>
      </c>
      <c r="H775" t="s">
        <v>2707</v>
      </c>
      <c r="I775" s="6">
        <v>32367</v>
      </c>
      <c r="J775" s="2" t="s">
        <v>2919</v>
      </c>
      <c r="K775" s="2">
        <v>61500</v>
      </c>
      <c r="L775" t="s">
        <v>2689</v>
      </c>
      <c r="M775" t="s">
        <v>29</v>
      </c>
      <c r="N775" t="s">
        <v>30</v>
      </c>
      <c r="O775">
        <v>37214</v>
      </c>
      <c r="P775" t="s">
        <v>2920</v>
      </c>
      <c r="Q775" s="2">
        <v>0.45</v>
      </c>
      <c r="R775" s="2">
        <v>129</v>
      </c>
      <c r="S775" s="2">
        <v>126</v>
      </c>
      <c r="T775" t="s">
        <v>2921</v>
      </c>
      <c r="U775" s="6">
        <v>26434</v>
      </c>
      <c r="V775" s="2">
        <v>47037015700</v>
      </c>
      <c r="W775" s="2" t="s">
        <v>68</v>
      </c>
      <c r="X775" s="1">
        <v>45658</v>
      </c>
      <c r="Y775" s="2">
        <v>57600</v>
      </c>
      <c r="Z775" s="2">
        <v>0</v>
      </c>
      <c r="AA775" s="2">
        <v>57600</v>
      </c>
    </row>
    <row r="776" spans="1:27" x14ac:dyDescent="0.3">
      <c r="A776" s="3">
        <v>13</v>
      </c>
      <c r="B776" s="2" t="str">
        <f>"12014001800"</f>
        <v>12014001800</v>
      </c>
      <c r="C776" s="2" t="s">
        <v>2922</v>
      </c>
      <c r="D776" t="s">
        <v>29</v>
      </c>
      <c r="E776" s="2" t="s">
        <v>30</v>
      </c>
      <c r="F776" s="2">
        <v>37217</v>
      </c>
      <c r="G776" s="2" t="s">
        <v>64</v>
      </c>
      <c r="H776" t="s">
        <v>2707</v>
      </c>
      <c r="I776" s="6">
        <v>32925</v>
      </c>
      <c r="J776" s="2" t="s">
        <v>2923</v>
      </c>
      <c r="K776" s="2" t="s">
        <v>34</v>
      </c>
      <c r="L776" t="s">
        <v>2689</v>
      </c>
      <c r="M776" t="s">
        <v>29</v>
      </c>
      <c r="N776" t="s">
        <v>30</v>
      </c>
      <c r="O776">
        <v>37214</v>
      </c>
      <c r="P776" t="s">
        <v>2924</v>
      </c>
      <c r="Q776" s="2">
        <v>0.52</v>
      </c>
      <c r="R776" s="2">
        <v>70</v>
      </c>
      <c r="S776" s="2">
        <v>273</v>
      </c>
      <c r="T776" t="s">
        <v>2925</v>
      </c>
      <c r="U776" s="6">
        <v>22171</v>
      </c>
      <c r="V776" s="2">
        <v>47037015700</v>
      </c>
      <c r="W776" s="2" t="s">
        <v>68</v>
      </c>
      <c r="X776" s="1">
        <v>45658</v>
      </c>
      <c r="Y776" s="2">
        <v>63400</v>
      </c>
      <c r="Z776" s="2">
        <v>0</v>
      </c>
      <c r="AA776" s="2">
        <v>63400</v>
      </c>
    </row>
    <row r="777" spans="1:27" x14ac:dyDescent="0.3">
      <c r="A777" s="3">
        <v>13</v>
      </c>
      <c r="B777" s="2" t="str">
        <f>"12014007500"</f>
        <v>12014007500</v>
      </c>
      <c r="C777" s="2" t="s">
        <v>2926</v>
      </c>
      <c r="D777" t="s">
        <v>29</v>
      </c>
      <c r="E777" s="2" t="s">
        <v>30</v>
      </c>
      <c r="F777" s="2">
        <v>37217</v>
      </c>
      <c r="G777" s="2" t="s">
        <v>64</v>
      </c>
      <c r="H777" t="s">
        <v>2707</v>
      </c>
      <c r="I777" s="6">
        <v>32560</v>
      </c>
      <c r="J777" s="2" t="s">
        <v>2927</v>
      </c>
      <c r="K777" s="2">
        <v>46000</v>
      </c>
      <c r="L777" t="s">
        <v>2689</v>
      </c>
      <c r="M777" t="s">
        <v>29</v>
      </c>
      <c r="N777" t="s">
        <v>30</v>
      </c>
      <c r="O777">
        <v>37214</v>
      </c>
      <c r="P777" t="s">
        <v>2928</v>
      </c>
      <c r="Q777" s="2">
        <v>0.33</v>
      </c>
      <c r="R777" s="2">
        <v>45</v>
      </c>
      <c r="S777" s="2">
        <v>205</v>
      </c>
      <c r="T777" t="s">
        <v>2929</v>
      </c>
      <c r="U777" s="6">
        <v>20215</v>
      </c>
      <c r="V777" s="2">
        <v>47037015700</v>
      </c>
      <c r="W777" s="2" t="s">
        <v>68</v>
      </c>
      <c r="X777" s="1">
        <v>45658</v>
      </c>
      <c r="Y777" s="2">
        <v>57600</v>
      </c>
      <c r="Z777" s="2">
        <v>0</v>
      </c>
      <c r="AA777" s="2">
        <v>57600</v>
      </c>
    </row>
    <row r="778" spans="1:27" x14ac:dyDescent="0.3">
      <c r="A778" s="3">
        <v>13</v>
      </c>
      <c r="B778" s="2" t="str">
        <f>"12015000900"</f>
        <v>12015000900</v>
      </c>
      <c r="C778" s="2" t="s">
        <v>2930</v>
      </c>
      <c r="D778" t="s">
        <v>29</v>
      </c>
      <c r="E778" s="2" t="s">
        <v>30</v>
      </c>
      <c r="F778" s="2">
        <v>37217</v>
      </c>
      <c r="G778" s="2" t="s">
        <v>64</v>
      </c>
      <c r="H778" t="s">
        <v>2707</v>
      </c>
      <c r="I778" s="6">
        <v>34256</v>
      </c>
      <c r="J778" s="2" t="s">
        <v>2931</v>
      </c>
      <c r="K778" s="2" t="s">
        <v>34</v>
      </c>
      <c r="L778" t="s">
        <v>2689</v>
      </c>
      <c r="M778" t="s">
        <v>29</v>
      </c>
      <c r="N778" t="s">
        <v>30</v>
      </c>
      <c r="O778">
        <v>37214</v>
      </c>
      <c r="P778" t="s">
        <v>2932</v>
      </c>
      <c r="Q778" s="2">
        <v>0.28999999999999998</v>
      </c>
      <c r="R778" s="2">
        <v>80</v>
      </c>
      <c r="S778" s="2">
        <v>165</v>
      </c>
      <c r="T778" t="s">
        <v>2933</v>
      </c>
      <c r="U778" s="6">
        <v>24006</v>
      </c>
      <c r="V778" s="2">
        <v>47037015700</v>
      </c>
      <c r="W778" s="2" t="s">
        <v>68</v>
      </c>
      <c r="X778" s="1">
        <v>45658</v>
      </c>
      <c r="Y778" s="2">
        <v>57600</v>
      </c>
      <c r="Z778" s="2">
        <v>0</v>
      </c>
      <c r="AA778" s="2">
        <v>57600</v>
      </c>
    </row>
    <row r="779" spans="1:27" x14ac:dyDescent="0.3">
      <c r="A779" s="3">
        <v>13</v>
      </c>
      <c r="B779" s="2" t="str">
        <f>"12014007400"</f>
        <v>12014007400</v>
      </c>
      <c r="C779" s="2" t="s">
        <v>2934</v>
      </c>
      <c r="D779" t="s">
        <v>29</v>
      </c>
      <c r="E779" s="2" t="s">
        <v>30</v>
      </c>
      <c r="F779" s="2">
        <v>37217</v>
      </c>
      <c r="G779" s="2" t="s">
        <v>64</v>
      </c>
      <c r="H779" t="s">
        <v>2707</v>
      </c>
      <c r="I779" s="6">
        <v>32547</v>
      </c>
      <c r="J779" s="2" t="s">
        <v>2935</v>
      </c>
      <c r="K779" s="2" t="s">
        <v>34</v>
      </c>
      <c r="L779" t="s">
        <v>2689</v>
      </c>
      <c r="M779" t="s">
        <v>29</v>
      </c>
      <c r="N779" t="s">
        <v>30</v>
      </c>
      <c r="O779">
        <v>37214</v>
      </c>
      <c r="P779" t="s">
        <v>2936</v>
      </c>
      <c r="Q779" s="2">
        <v>0.34</v>
      </c>
      <c r="R779" s="2">
        <v>70</v>
      </c>
      <c r="S779" s="2">
        <v>250</v>
      </c>
      <c r="T779" t="s">
        <v>2937</v>
      </c>
      <c r="U779" s="6">
        <v>23923</v>
      </c>
      <c r="V779" s="2">
        <v>47037015700</v>
      </c>
      <c r="W779" s="2" t="s">
        <v>68</v>
      </c>
      <c r="X779" s="1">
        <v>45658</v>
      </c>
      <c r="Y779" s="2">
        <v>57600</v>
      </c>
      <c r="Z779" s="2">
        <v>0</v>
      </c>
      <c r="AA779" s="2">
        <v>57600</v>
      </c>
    </row>
    <row r="780" spans="1:27" x14ac:dyDescent="0.3">
      <c r="A780" s="3">
        <v>13</v>
      </c>
      <c r="B780" s="2" t="str">
        <f>"12014007300"</f>
        <v>12014007300</v>
      </c>
      <c r="C780" s="2" t="s">
        <v>2938</v>
      </c>
      <c r="D780" t="s">
        <v>29</v>
      </c>
      <c r="E780" s="2" t="s">
        <v>30</v>
      </c>
      <c r="F780" s="2">
        <v>37217</v>
      </c>
      <c r="G780" s="2" t="s">
        <v>64</v>
      </c>
      <c r="H780" t="s">
        <v>2707</v>
      </c>
      <c r="I780" s="6">
        <v>32619</v>
      </c>
      <c r="J780" s="2" t="s">
        <v>2939</v>
      </c>
      <c r="K780" s="2">
        <v>54000</v>
      </c>
      <c r="L780" t="s">
        <v>2689</v>
      </c>
      <c r="M780" t="s">
        <v>29</v>
      </c>
      <c r="N780" t="s">
        <v>30</v>
      </c>
      <c r="O780">
        <v>37214</v>
      </c>
      <c r="P780" t="s">
        <v>2940</v>
      </c>
      <c r="Q780" s="2">
        <v>0.49</v>
      </c>
      <c r="R780" s="2">
        <v>70</v>
      </c>
      <c r="S780" s="2">
        <v>310</v>
      </c>
      <c r="T780" t="s">
        <v>2941</v>
      </c>
      <c r="U780" s="6">
        <v>20932</v>
      </c>
      <c r="V780" s="2">
        <v>47037015700</v>
      </c>
      <c r="W780" s="2" t="s">
        <v>68</v>
      </c>
      <c r="X780" s="1">
        <v>45658</v>
      </c>
      <c r="Y780" s="2">
        <v>63400</v>
      </c>
      <c r="Z780" s="2">
        <v>0</v>
      </c>
      <c r="AA780" s="2">
        <v>63400</v>
      </c>
    </row>
    <row r="781" spans="1:27" x14ac:dyDescent="0.3">
      <c r="A781" s="3">
        <v>13</v>
      </c>
      <c r="B781" s="2" t="str">
        <f>"12014006800"</f>
        <v>12014006800</v>
      </c>
      <c r="C781" s="2" t="s">
        <v>2942</v>
      </c>
      <c r="D781" t="s">
        <v>29</v>
      </c>
      <c r="E781" s="2" t="s">
        <v>30</v>
      </c>
      <c r="F781" s="2">
        <v>37217</v>
      </c>
      <c r="G781" s="2" t="s">
        <v>64</v>
      </c>
      <c r="H781" t="s">
        <v>2707</v>
      </c>
      <c r="I781" s="6">
        <v>32337</v>
      </c>
      <c r="J781" s="2" t="s">
        <v>2943</v>
      </c>
      <c r="K781" s="2">
        <v>46000</v>
      </c>
      <c r="L781" t="s">
        <v>2689</v>
      </c>
      <c r="M781" t="s">
        <v>29</v>
      </c>
      <c r="N781" t="s">
        <v>30</v>
      </c>
      <c r="O781">
        <v>37214</v>
      </c>
      <c r="P781" t="s">
        <v>2944</v>
      </c>
      <c r="Q781" s="2">
        <v>0.23</v>
      </c>
      <c r="R781" s="2">
        <v>70</v>
      </c>
      <c r="S781" s="2">
        <v>159</v>
      </c>
      <c r="T781" t="s">
        <v>2945</v>
      </c>
      <c r="U781" s="6">
        <v>25745</v>
      </c>
      <c r="V781" s="2">
        <v>47037015700</v>
      </c>
      <c r="W781" s="2" t="s">
        <v>68</v>
      </c>
      <c r="X781" s="1">
        <v>45658</v>
      </c>
      <c r="Y781" s="2">
        <v>57600</v>
      </c>
      <c r="Z781" s="2">
        <v>0</v>
      </c>
      <c r="AA781" s="2">
        <v>57600</v>
      </c>
    </row>
    <row r="782" spans="1:27" x14ac:dyDescent="0.3">
      <c r="A782" s="3">
        <v>13</v>
      </c>
      <c r="B782" s="2" t="str">
        <f>"12014006700"</f>
        <v>12014006700</v>
      </c>
      <c r="C782" s="2" t="s">
        <v>2946</v>
      </c>
      <c r="D782" t="s">
        <v>29</v>
      </c>
      <c r="E782" s="2" t="s">
        <v>30</v>
      </c>
      <c r="F782" s="2">
        <v>37217</v>
      </c>
      <c r="G782" s="2" t="s">
        <v>64</v>
      </c>
      <c r="H782" t="s">
        <v>2707</v>
      </c>
      <c r="I782" s="6">
        <v>32076</v>
      </c>
      <c r="J782" s="2" t="s">
        <v>2947</v>
      </c>
      <c r="K782" s="2">
        <v>42500</v>
      </c>
      <c r="L782" t="s">
        <v>2689</v>
      </c>
      <c r="M782" t="s">
        <v>29</v>
      </c>
      <c r="N782" t="s">
        <v>30</v>
      </c>
      <c r="O782">
        <v>37214</v>
      </c>
      <c r="P782" t="s">
        <v>2948</v>
      </c>
      <c r="Q782" s="2">
        <v>0.27</v>
      </c>
      <c r="R782" s="2">
        <v>70</v>
      </c>
      <c r="S782" s="2">
        <v>160</v>
      </c>
      <c r="T782" t="s">
        <v>2949</v>
      </c>
      <c r="U782" s="6">
        <v>20158</v>
      </c>
      <c r="V782" s="2">
        <v>47037015700</v>
      </c>
      <c r="W782" s="2" t="s">
        <v>68</v>
      </c>
      <c r="X782" s="1">
        <v>45658</v>
      </c>
      <c r="Y782" s="2">
        <v>57600</v>
      </c>
      <c r="Z782" s="2">
        <v>0</v>
      </c>
      <c r="AA782" s="2">
        <v>57600</v>
      </c>
    </row>
    <row r="783" spans="1:27" x14ac:dyDescent="0.3">
      <c r="A783" s="3">
        <v>13</v>
      </c>
      <c r="B783" s="2" t="str">
        <f>"12014001700"</f>
        <v>12014001700</v>
      </c>
      <c r="C783" s="2" t="s">
        <v>2950</v>
      </c>
      <c r="D783" t="s">
        <v>29</v>
      </c>
      <c r="E783" s="2" t="s">
        <v>30</v>
      </c>
      <c r="F783" s="2">
        <v>37217</v>
      </c>
      <c r="G783" s="2" t="s">
        <v>64</v>
      </c>
      <c r="H783" t="s">
        <v>2707</v>
      </c>
      <c r="I783" s="6">
        <v>32829</v>
      </c>
      <c r="J783" s="2" t="s">
        <v>2951</v>
      </c>
      <c r="K783" s="2">
        <v>47000</v>
      </c>
      <c r="L783" t="s">
        <v>2689</v>
      </c>
      <c r="M783" t="s">
        <v>29</v>
      </c>
      <c r="N783" t="s">
        <v>30</v>
      </c>
      <c r="O783">
        <v>37214</v>
      </c>
      <c r="P783" t="s">
        <v>2952</v>
      </c>
      <c r="Q783" s="2">
        <v>0.39</v>
      </c>
      <c r="R783" s="2">
        <v>70</v>
      </c>
      <c r="S783" s="2">
        <v>261</v>
      </c>
      <c r="T783" t="s">
        <v>2953</v>
      </c>
      <c r="U783" s="6">
        <v>24236</v>
      </c>
      <c r="V783" s="2">
        <v>47037015700</v>
      </c>
      <c r="W783" s="2" t="s">
        <v>68</v>
      </c>
      <c r="X783" s="1">
        <v>45658</v>
      </c>
      <c r="Y783" s="2">
        <v>57600</v>
      </c>
      <c r="Z783" s="2">
        <v>0</v>
      </c>
      <c r="AA783" s="2">
        <v>57600</v>
      </c>
    </row>
    <row r="784" spans="1:27" x14ac:dyDescent="0.3">
      <c r="A784" s="3">
        <v>13</v>
      </c>
      <c r="B784" s="2" t="str">
        <f>"12014006900"</f>
        <v>12014006900</v>
      </c>
      <c r="C784" s="2" t="s">
        <v>2954</v>
      </c>
      <c r="D784" t="s">
        <v>29</v>
      </c>
      <c r="E784" s="2" t="s">
        <v>30</v>
      </c>
      <c r="F784" s="2">
        <v>37217</v>
      </c>
      <c r="G784" s="2" t="s">
        <v>64</v>
      </c>
      <c r="H784" t="s">
        <v>2707</v>
      </c>
      <c r="I784" s="6">
        <v>32337</v>
      </c>
      <c r="J784" s="2" t="s">
        <v>2955</v>
      </c>
      <c r="K784" s="2">
        <v>44000</v>
      </c>
      <c r="L784" t="s">
        <v>2689</v>
      </c>
      <c r="M784" t="s">
        <v>29</v>
      </c>
      <c r="N784" t="s">
        <v>30</v>
      </c>
      <c r="O784">
        <v>37214</v>
      </c>
      <c r="P784" t="s">
        <v>2956</v>
      </c>
      <c r="Q784" s="2">
        <v>0.21</v>
      </c>
      <c r="R784" s="2">
        <v>70</v>
      </c>
      <c r="S784" s="2">
        <v>144</v>
      </c>
      <c r="T784" t="s">
        <v>2957</v>
      </c>
      <c r="U784" s="6">
        <v>25632</v>
      </c>
      <c r="V784" s="2">
        <v>47037015700</v>
      </c>
      <c r="W784" s="2" t="s">
        <v>68</v>
      </c>
      <c r="X784" s="1">
        <v>45658</v>
      </c>
      <c r="Y784" s="2">
        <v>51800</v>
      </c>
      <c r="Z784" s="2">
        <v>0</v>
      </c>
      <c r="AA784" s="2">
        <v>51800</v>
      </c>
    </row>
    <row r="785" spans="1:27" x14ac:dyDescent="0.3">
      <c r="A785" s="3">
        <v>13</v>
      </c>
      <c r="B785" s="2" t="str">
        <f>"12014006600"</f>
        <v>12014006600</v>
      </c>
      <c r="C785" s="2" t="s">
        <v>2958</v>
      </c>
      <c r="D785" t="s">
        <v>29</v>
      </c>
      <c r="E785" s="2" t="s">
        <v>30</v>
      </c>
      <c r="F785" s="2">
        <v>37217</v>
      </c>
      <c r="G785" s="2" t="s">
        <v>64</v>
      </c>
      <c r="H785" t="s">
        <v>2707</v>
      </c>
      <c r="I785" s="6">
        <v>31769</v>
      </c>
      <c r="J785" s="2" t="s">
        <v>2959</v>
      </c>
      <c r="K785" s="2">
        <v>42500</v>
      </c>
      <c r="L785" t="s">
        <v>2689</v>
      </c>
      <c r="M785" t="s">
        <v>29</v>
      </c>
      <c r="N785" t="s">
        <v>30</v>
      </c>
      <c r="O785">
        <v>37214</v>
      </c>
      <c r="P785" t="s">
        <v>2960</v>
      </c>
      <c r="Q785" s="2">
        <v>0.27</v>
      </c>
      <c r="R785" s="2">
        <v>70</v>
      </c>
      <c r="S785" s="2">
        <v>160</v>
      </c>
      <c r="T785" t="s">
        <v>2961</v>
      </c>
      <c r="U785" s="6">
        <v>27190</v>
      </c>
      <c r="V785" s="2">
        <v>47037015700</v>
      </c>
      <c r="W785" s="2" t="s">
        <v>68</v>
      </c>
      <c r="X785" s="1">
        <v>45658</v>
      </c>
      <c r="Y785" s="2">
        <v>57600</v>
      </c>
      <c r="Z785" s="2">
        <v>0</v>
      </c>
      <c r="AA785" s="2">
        <v>57600</v>
      </c>
    </row>
    <row r="786" spans="1:27" x14ac:dyDescent="0.3">
      <c r="A786" s="3">
        <v>13</v>
      </c>
      <c r="B786" s="2" t="str">
        <f>"12014007000"</f>
        <v>12014007000</v>
      </c>
      <c r="C786" s="2" t="s">
        <v>2962</v>
      </c>
      <c r="D786" t="s">
        <v>29</v>
      </c>
      <c r="E786" s="2" t="s">
        <v>30</v>
      </c>
      <c r="F786" s="2">
        <v>37217</v>
      </c>
      <c r="G786" s="2" t="s">
        <v>64</v>
      </c>
      <c r="H786" t="s">
        <v>2707</v>
      </c>
      <c r="I786" s="6">
        <v>32349</v>
      </c>
      <c r="J786" s="2" t="s">
        <v>2963</v>
      </c>
      <c r="K786" s="2">
        <v>47500</v>
      </c>
      <c r="L786" t="s">
        <v>2689</v>
      </c>
      <c r="M786" t="s">
        <v>29</v>
      </c>
      <c r="N786" t="s">
        <v>30</v>
      </c>
      <c r="O786">
        <v>37214</v>
      </c>
      <c r="P786" t="s">
        <v>2964</v>
      </c>
      <c r="Q786" s="2">
        <v>0.18</v>
      </c>
      <c r="R786" s="2">
        <v>89</v>
      </c>
      <c r="S786" s="2">
        <v>127</v>
      </c>
      <c r="T786" t="s">
        <v>2965</v>
      </c>
      <c r="U786" s="6">
        <v>24653</v>
      </c>
      <c r="V786" s="2">
        <v>47037015700</v>
      </c>
      <c r="W786" s="2" t="s">
        <v>68</v>
      </c>
      <c r="X786" s="1">
        <v>45658</v>
      </c>
      <c r="Y786" s="2">
        <v>51800</v>
      </c>
      <c r="Z786" s="2">
        <v>0</v>
      </c>
      <c r="AA786" s="2">
        <v>51800</v>
      </c>
    </row>
    <row r="787" spans="1:27" x14ac:dyDescent="0.3">
      <c r="A787" s="3">
        <v>13</v>
      </c>
      <c r="B787" s="2" t="str">
        <f>"12014007200"</f>
        <v>12014007200</v>
      </c>
      <c r="C787" s="2" t="s">
        <v>2966</v>
      </c>
      <c r="D787" t="s">
        <v>29</v>
      </c>
      <c r="E787" s="2" t="s">
        <v>30</v>
      </c>
      <c r="F787" s="2">
        <v>37217</v>
      </c>
      <c r="G787" s="2" t="s">
        <v>64</v>
      </c>
      <c r="H787" t="s">
        <v>2707</v>
      </c>
      <c r="I787" s="6">
        <v>34774</v>
      </c>
      <c r="J787" s="2" t="s">
        <v>2967</v>
      </c>
      <c r="K787" s="2" t="s">
        <v>34</v>
      </c>
      <c r="L787" t="s">
        <v>2689</v>
      </c>
      <c r="M787" t="s">
        <v>29</v>
      </c>
      <c r="N787" t="s">
        <v>30</v>
      </c>
      <c r="O787">
        <v>37214</v>
      </c>
      <c r="P787" t="s">
        <v>2968</v>
      </c>
      <c r="Q787" s="2">
        <v>0.41</v>
      </c>
      <c r="R787" s="2">
        <v>70</v>
      </c>
      <c r="S787" s="2">
        <v>267</v>
      </c>
      <c r="T787" t="s">
        <v>2969</v>
      </c>
      <c r="U787" s="6">
        <v>17512</v>
      </c>
      <c r="V787" s="2">
        <v>47037015700</v>
      </c>
      <c r="W787" s="2" t="s">
        <v>68</v>
      </c>
      <c r="X787" s="1">
        <v>45658</v>
      </c>
      <c r="Y787" s="2">
        <v>57600</v>
      </c>
      <c r="Z787" s="2">
        <v>0</v>
      </c>
      <c r="AA787" s="2">
        <v>57600</v>
      </c>
    </row>
    <row r="788" spans="1:27" x14ac:dyDescent="0.3">
      <c r="A788" s="3">
        <v>13</v>
      </c>
      <c r="B788" s="2" t="str">
        <f>"12014006400"</f>
        <v>12014006400</v>
      </c>
      <c r="C788" s="2" t="s">
        <v>2970</v>
      </c>
      <c r="D788" t="s">
        <v>29</v>
      </c>
      <c r="E788" s="2" t="s">
        <v>30</v>
      </c>
      <c r="F788" s="2">
        <v>37217</v>
      </c>
      <c r="G788" s="2" t="s">
        <v>64</v>
      </c>
      <c r="H788" t="s">
        <v>2707</v>
      </c>
      <c r="I788" s="6">
        <v>31777</v>
      </c>
      <c r="J788" s="2" t="s">
        <v>2971</v>
      </c>
      <c r="K788" s="2">
        <v>41500</v>
      </c>
      <c r="L788" t="s">
        <v>2689</v>
      </c>
      <c r="M788" t="s">
        <v>29</v>
      </c>
      <c r="N788" t="s">
        <v>30</v>
      </c>
      <c r="O788">
        <v>37214</v>
      </c>
      <c r="P788" t="s">
        <v>2972</v>
      </c>
      <c r="Q788" s="2">
        <v>0.27</v>
      </c>
      <c r="R788" s="2">
        <v>70</v>
      </c>
      <c r="S788" s="2">
        <v>161</v>
      </c>
      <c r="T788" t="s">
        <v>2973</v>
      </c>
      <c r="U788" s="6">
        <v>26925</v>
      </c>
      <c r="V788" s="2">
        <v>47037015700</v>
      </c>
      <c r="W788" s="2" t="s">
        <v>68</v>
      </c>
      <c r="X788" s="1">
        <v>45658</v>
      </c>
      <c r="Y788" s="2">
        <v>57600</v>
      </c>
      <c r="Z788" s="2">
        <v>0</v>
      </c>
      <c r="AA788" s="2">
        <v>57600</v>
      </c>
    </row>
    <row r="789" spans="1:27" x14ac:dyDescent="0.3">
      <c r="A789" s="3">
        <v>13</v>
      </c>
      <c r="B789" s="2" t="str">
        <f>"12014007100"</f>
        <v>12014007100</v>
      </c>
      <c r="C789" s="2" t="s">
        <v>2974</v>
      </c>
      <c r="D789" t="s">
        <v>29</v>
      </c>
      <c r="E789" s="2" t="s">
        <v>30</v>
      </c>
      <c r="F789" s="2">
        <v>37217</v>
      </c>
      <c r="G789" s="2" t="s">
        <v>64</v>
      </c>
      <c r="H789" t="s">
        <v>2707</v>
      </c>
      <c r="I789" s="6">
        <v>32566</v>
      </c>
      <c r="J789" s="2" t="s">
        <v>2975</v>
      </c>
      <c r="K789" s="2">
        <v>50750</v>
      </c>
      <c r="L789" t="s">
        <v>2689</v>
      </c>
      <c r="M789" t="s">
        <v>29</v>
      </c>
      <c r="N789" t="s">
        <v>30</v>
      </c>
      <c r="O789">
        <v>37214</v>
      </c>
      <c r="P789" t="s">
        <v>2976</v>
      </c>
      <c r="Q789" s="2">
        <v>0.45</v>
      </c>
      <c r="R789" s="2">
        <v>142</v>
      </c>
      <c r="S789" s="2">
        <v>159</v>
      </c>
      <c r="T789" t="s">
        <v>2977</v>
      </c>
      <c r="U789" s="6">
        <v>24649</v>
      </c>
      <c r="V789" s="2">
        <v>47037015700</v>
      </c>
      <c r="W789" s="2" t="s">
        <v>68</v>
      </c>
      <c r="X789" s="1">
        <v>45658</v>
      </c>
      <c r="Y789" s="2">
        <v>57600</v>
      </c>
      <c r="Z789" s="2">
        <v>0</v>
      </c>
      <c r="AA789" s="2">
        <v>57600</v>
      </c>
    </row>
    <row r="790" spans="1:27" x14ac:dyDescent="0.3">
      <c r="A790" s="3">
        <v>13</v>
      </c>
      <c r="B790" s="2" t="str">
        <f>"12014006300"</f>
        <v>12014006300</v>
      </c>
      <c r="C790" s="2" t="s">
        <v>2978</v>
      </c>
      <c r="D790" t="s">
        <v>29</v>
      </c>
      <c r="E790" s="2" t="s">
        <v>30</v>
      </c>
      <c r="F790" s="2">
        <v>37217</v>
      </c>
      <c r="G790" s="2" t="s">
        <v>64</v>
      </c>
      <c r="H790" t="s">
        <v>2707</v>
      </c>
      <c r="I790" s="6">
        <v>31883</v>
      </c>
      <c r="J790" s="2" t="s">
        <v>2979</v>
      </c>
      <c r="K790" s="2">
        <v>47000</v>
      </c>
      <c r="L790" t="s">
        <v>2689</v>
      </c>
      <c r="M790" t="s">
        <v>29</v>
      </c>
      <c r="N790" t="s">
        <v>30</v>
      </c>
      <c r="O790">
        <v>37214</v>
      </c>
      <c r="P790" t="s">
        <v>2980</v>
      </c>
      <c r="Q790" s="2">
        <v>0.27</v>
      </c>
      <c r="R790" s="2">
        <v>70</v>
      </c>
      <c r="S790" s="2">
        <v>161</v>
      </c>
      <c r="T790" t="s">
        <v>2981</v>
      </c>
      <c r="U790" s="6">
        <v>22799</v>
      </c>
      <c r="V790" s="2">
        <v>47037015700</v>
      </c>
      <c r="W790" s="2" t="s">
        <v>68</v>
      </c>
      <c r="X790" s="1">
        <v>45658</v>
      </c>
      <c r="Y790" s="2">
        <v>57600</v>
      </c>
      <c r="Z790" s="2">
        <v>0</v>
      </c>
      <c r="AA790" s="2">
        <v>57600</v>
      </c>
    </row>
    <row r="791" spans="1:27" x14ac:dyDescent="0.3">
      <c r="A791" s="3">
        <v>13</v>
      </c>
      <c r="B791" s="2" t="str">
        <f>"12100010700"</f>
        <v>12100010700</v>
      </c>
      <c r="C791" s="2" t="s">
        <v>2982</v>
      </c>
      <c r="D791" t="s">
        <v>29</v>
      </c>
      <c r="E791" s="2" t="s">
        <v>30</v>
      </c>
      <c r="F791" s="2">
        <v>37217</v>
      </c>
      <c r="G791" s="2" t="s">
        <v>2490</v>
      </c>
      <c r="H791" t="s">
        <v>2707</v>
      </c>
      <c r="I791" s="6">
        <v>34729</v>
      </c>
      <c r="J791" s="2" t="s">
        <v>2983</v>
      </c>
      <c r="K791" s="2">
        <v>200000</v>
      </c>
      <c r="L791" t="s">
        <v>2689</v>
      </c>
      <c r="M791" t="s">
        <v>29</v>
      </c>
      <c r="N791" t="s">
        <v>30</v>
      </c>
      <c r="O791">
        <v>37214</v>
      </c>
      <c r="P791" t="s">
        <v>2984</v>
      </c>
      <c r="Q791" s="2">
        <v>67.569999999999993</v>
      </c>
      <c r="R791" s="2">
        <v>1168</v>
      </c>
      <c r="S791" s="2">
        <v>0</v>
      </c>
      <c r="T791" t="s">
        <v>2710</v>
      </c>
      <c r="U791" s="6">
        <v>41814</v>
      </c>
      <c r="V791" s="2">
        <v>47037980100</v>
      </c>
      <c r="W791" s="2" t="s">
        <v>68</v>
      </c>
      <c r="X791" s="1">
        <v>45658</v>
      </c>
      <c r="Y791" s="2">
        <v>9544800</v>
      </c>
      <c r="Z791" s="2">
        <v>2112100</v>
      </c>
      <c r="AA791" s="2">
        <v>7432700</v>
      </c>
    </row>
    <row r="792" spans="1:27" x14ac:dyDescent="0.3">
      <c r="A792" s="3">
        <v>13</v>
      </c>
      <c r="B792" s="2" t="str">
        <f>"12015001000"</f>
        <v>12015001000</v>
      </c>
      <c r="C792" s="2" t="s">
        <v>2985</v>
      </c>
      <c r="D792" t="s">
        <v>29</v>
      </c>
      <c r="E792" s="2" t="s">
        <v>30</v>
      </c>
      <c r="F792" s="2">
        <v>37217</v>
      </c>
      <c r="G792" s="2" t="s">
        <v>64</v>
      </c>
      <c r="H792" t="s">
        <v>2707</v>
      </c>
      <c r="I792" s="6">
        <v>31812</v>
      </c>
      <c r="J792" s="2" t="s">
        <v>2986</v>
      </c>
      <c r="K792" s="2">
        <v>41000</v>
      </c>
      <c r="L792" t="s">
        <v>2689</v>
      </c>
      <c r="M792" t="s">
        <v>29</v>
      </c>
      <c r="N792" t="s">
        <v>30</v>
      </c>
      <c r="O792">
        <v>37214</v>
      </c>
      <c r="P792" t="s">
        <v>2987</v>
      </c>
      <c r="Q792" s="2">
        <v>0.28999999999999998</v>
      </c>
      <c r="R792" s="2">
        <v>80</v>
      </c>
      <c r="S792" s="2">
        <v>165</v>
      </c>
      <c r="T792" t="s">
        <v>2988</v>
      </c>
      <c r="U792" s="6">
        <v>27145</v>
      </c>
      <c r="V792" s="2">
        <v>47037015700</v>
      </c>
      <c r="W792" s="2" t="s">
        <v>68</v>
      </c>
      <c r="X792" s="1">
        <v>45658</v>
      </c>
      <c r="Y792" s="2">
        <v>57600</v>
      </c>
      <c r="Z792" s="2">
        <v>0</v>
      </c>
      <c r="AA792" s="2">
        <v>57600</v>
      </c>
    </row>
    <row r="793" spans="1:27" x14ac:dyDescent="0.3">
      <c r="A793" s="3">
        <v>13</v>
      </c>
      <c r="B793" s="2" t="str">
        <f>"12014001600"</f>
        <v>12014001600</v>
      </c>
      <c r="C793" s="2" t="s">
        <v>2989</v>
      </c>
      <c r="D793" t="s">
        <v>29</v>
      </c>
      <c r="E793" s="2" t="s">
        <v>30</v>
      </c>
      <c r="F793" s="2">
        <v>37217</v>
      </c>
      <c r="G793" s="2" t="s">
        <v>64</v>
      </c>
      <c r="H793" t="s">
        <v>2707</v>
      </c>
      <c r="I793" s="6">
        <v>32853</v>
      </c>
      <c r="J793" s="2" t="s">
        <v>2990</v>
      </c>
      <c r="K793" s="2">
        <v>46000</v>
      </c>
      <c r="L793" t="s">
        <v>2689</v>
      </c>
      <c r="M793" t="s">
        <v>29</v>
      </c>
      <c r="N793" t="s">
        <v>30</v>
      </c>
      <c r="O793">
        <v>37214</v>
      </c>
      <c r="P793" t="s">
        <v>2991</v>
      </c>
      <c r="Q793" s="2">
        <v>0.36</v>
      </c>
      <c r="R793" s="2">
        <v>66</v>
      </c>
      <c r="S793" s="2">
        <v>258</v>
      </c>
      <c r="T793" t="s">
        <v>2992</v>
      </c>
      <c r="U793" s="6">
        <v>25141</v>
      </c>
      <c r="V793" s="2">
        <v>47037015700</v>
      </c>
      <c r="W793" s="2" t="s">
        <v>68</v>
      </c>
      <c r="X793" s="1">
        <v>45658</v>
      </c>
      <c r="Y793" s="2">
        <v>57600</v>
      </c>
      <c r="Z793" s="2">
        <v>0</v>
      </c>
      <c r="AA793" s="2">
        <v>57600</v>
      </c>
    </row>
    <row r="794" spans="1:27" x14ac:dyDescent="0.3">
      <c r="A794" s="3">
        <v>13</v>
      </c>
      <c r="B794" s="2" t="str">
        <f>"12014007600"</f>
        <v>12014007600</v>
      </c>
      <c r="C794" s="2" t="s">
        <v>2993</v>
      </c>
      <c r="D794" t="s">
        <v>29</v>
      </c>
      <c r="E794" s="2" t="s">
        <v>30</v>
      </c>
      <c r="F794" s="2">
        <v>37217</v>
      </c>
      <c r="G794" s="2" t="s">
        <v>64</v>
      </c>
      <c r="H794" t="s">
        <v>2707</v>
      </c>
      <c r="I794" s="6">
        <v>32678</v>
      </c>
      <c r="J794" s="2" t="s">
        <v>2994</v>
      </c>
      <c r="K794" s="2">
        <v>65000</v>
      </c>
      <c r="L794" t="s">
        <v>2689</v>
      </c>
      <c r="M794" t="s">
        <v>29</v>
      </c>
      <c r="N794" t="s">
        <v>30</v>
      </c>
      <c r="O794">
        <v>37214</v>
      </c>
      <c r="P794" t="s">
        <v>2995</v>
      </c>
      <c r="Q794" s="2">
        <v>0.44</v>
      </c>
      <c r="R794" s="2">
        <v>70</v>
      </c>
      <c r="S794" s="2">
        <v>208</v>
      </c>
      <c r="T794" t="s">
        <v>2996</v>
      </c>
      <c r="U794" s="6">
        <v>23550</v>
      </c>
      <c r="V794" s="2">
        <v>47037015700</v>
      </c>
      <c r="W794" s="2" t="s">
        <v>68</v>
      </c>
      <c r="X794" s="1">
        <v>45658</v>
      </c>
      <c r="Y794" s="2">
        <v>57600</v>
      </c>
      <c r="Z794" s="2">
        <v>0</v>
      </c>
      <c r="AA794" s="2">
        <v>57600</v>
      </c>
    </row>
    <row r="795" spans="1:27" x14ac:dyDescent="0.3">
      <c r="A795" s="3">
        <v>13</v>
      </c>
      <c r="B795" s="2" t="str">
        <f>"12014010400"</f>
        <v>12014010400</v>
      </c>
      <c r="C795" s="2" t="s">
        <v>2997</v>
      </c>
      <c r="D795" t="s">
        <v>29</v>
      </c>
      <c r="E795" s="2" t="s">
        <v>30</v>
      </c>
      <c r="F795" s="2">
        <v>37217</v>
      </c>
      <c r="G795" s="2" t="s">
        <v>64</v>
      </c>
      <c r="H795" t="s">
        <v>2707</v>
      </c>
      <c r="I795" s="6">
        <v>32590</v>
      </c>
      <c r="J795" s="2" t="s">
        <v>2998</v>
      </c>
      <c r="K795" s="2">
        <v>65000</v>
      </c>
      <c r="L795" t="s">
        <v>2689</v>
      </c>
      <c r="M795" t="s">
        <v>29</v>
      </c>
      <c r="N795" t="s">
        <v>30</v>
      </c>
      <c r="O795">
        <v>37214</v>
      </c>
      <c r="P795" t="s">
        <v>2999</v>
      </c>
      <c r="Q795" s="2">
        <v>0.39</v>
      </c>
      <c r="R795" s="2">
        <v>70</v>
      </c>
      <c r="S795" s="2">
        <v>283</v>
      </c>
      <c r="T795" t="s">
        <v>3000</v>
      </c>
      <c r="U795" s="6">
        <v>26485</v>
      </c>
      <c r="V795" s="2">
        <v>47037015700</v>
      </c>
      <c r="W795" s="2" t="s">
        <v>68</v>
      </c>
      <c r="X795" s="1">
        <v>45658</v>
      </c>
      <c r="Y795" s="2">
        <v>57600</v>
      </c>
      <c r="Z795" s="2">
        <v>0</v>
      </c>
      <c r="AA795" s="2">
        <v>57600</v>
      </c>
    </row>
    <row r="796" spans="1:27" x14ac:dyDescent="0.3">
      <c r="A796" s="3">
        <v>13</v>
      </c>
      <c r="B796" s="2" t="str">
        <f>"12015001100"</f>
        <v>12015001100</v>
      </c>
      <c r="C796" s="2" t="s">
        <v>3001</v>
      </c>
      <c r="D796" t="s">
        <v>29</v>
      </c>
      <c r="E796" s="2" t="s">
        <v>30</v>
      </c>
      <c r="F796" s="2">
        <v>37217</v>
      </c>
      <c r="G796" s="2" t="s">
        <v>64</v>
      </c>
      <c r="H796" t="s">
        <v>2707</v>
      </c>
      <c r="I796" s="6">
        <v>31769</v>
      </c>
      <c r="J796" s="2" t="s">
        <v>3002</v>
      </c>
      <c r="K796" s="2">
        <v>42000</v>
      </c>
      <c r="L796" t="s">
        <v>2689</v>
      </c>
      <c r="M796" t="s">
        <v>29</v>
      </c>
      <c r="N796" t="s">
        <v>30</v>
      </c>
      <c r="O796">
        <v>37214</v>
      </c>
      <c r="P796" t="s">
        <v>3003</v>
      </c>
      <c r="Q796" s="2">
        <v>0.28999999999999998</v>
      </c>
      <c r="R796" s="2">
        <v>54</v>
      </c>
      <c r="S796" s="2">
        <v>165</v>
      </c>
      <c r="T796" t="s">
        <v>3004</v>
      </c>
      <c r="U796" s="6">
        <v>25700</v>
      </c>
      <c r="V796" s="2">
        <v>47037015700</v>
      </c>
      <c r="W796" s="2" t="s">
        <v>68</v>
      </c>
      <c r="X796" s="1">
        <v>45658</v>
      </c>
      <c r="Y796" s="2">
        <v>57600</v>
      </c>
      <c r="Z796" s="2">
        <v>0</v>
      </c>
      <c r="AA796" s="2">
        <v>57600</v>
      </c>
    </row>
    <row r="797" spans="1:27" x14ac:dyDescent="0.3">
      <c r="A797" s="3">
        <v>13</v>
      </c>
      <c r="B797" s="2" t="str">
        <f>"12014007700"</f>
        <v>12014007700</v>
      </c>
      <c r="C797" s="2" t="s">
        <v>3005</v>
      </c>
      <c r="D797" t="s">
        <v>29</v>
      </c>
      <c r="E797" s="2" t="s">
        <v>30</v>
      </c>
      <c r="F797" s="2">
        <v>37217</v>
      </c>
      <c r="G797" s="2" t="s">
        <v>64</v>
      </c>
      <c r="H797" t="s">
        <v>2707</v>
      </c>
      <c r="I797" s="6">
        <v>32358</v>
      </c>
      <c r="J797" s="2" t="s">
        <v>3006</v>
      </c>
      <c r="K797" s="2">
        <v>54000</v>
      </c>
      <c r="L797" t="s">
        <v>2689</v>
      </c>
      <c r="M797" t="s">
        <v>29</v>
      </c>
      <c r="N797" t="s">
        <v>30</v>
      </c>
      <c r="O797">
        <v>37214</v>
      </c>
      <c r="P797" t="s">
        <v>3007</v>
      </c>
      <c r="Q797" s="2">
        <v>0.35</v>
      </c>
      <c r="R797" s="2">
        <v>70</v>
      </c>
      <c r="S797" s="2">
        <v>208</v>
      </c>
      <c r="T797" t="s">
        <v>3008</v>
      </c>
      <c r="U797" s="6">
        <v>17700</v>
      </c>
      <c r="V797" s="2">
        <v>47037015700</v>
      </c>
      <c r="W797" s="2" t="s">
        <v>68</v>
      </c>
      <c r="X797" s="1">
        <v>45658</v>
      </c>
      <c r="Y797" s="2">
        <v>57600</v>
      </c>
      <c r="Z797" s="2">
        <v>0</v>
      </c>
      <c r="AA797" s="2">
        <v>57600</v>
      </c>
    </row>
    <row r="798" spans="1:27" x14ac:dyDescent="0.3">
      <c r="A798" s="3">
        <v>13</v>
      </c>
      <c r="B798" s="2" t="str">
        <f>"12014007800"</f>
        <v>12014007800</v>
      </c>
      <c r="C798" s="2" t="s">
        <v>3009</v>
      </c>
      <c r="D798" t="s">
        <v>29</v>
      </c>
      <c r="E798" s="2" t="s">
        <v>30</v>
      </c>
      <c r="F798" s="2">
        <v>37217</v>
      </c>
      <c r="G798" s="2" t="s">
        <v>64</v>
      </c>
      <c r="H798" t="s">
        <v>2707</v>
      </c>
      <c r="I798" s="6">
        <v>32358</v>
      </c>
      <c r="J798" s="2" t="s">
        <v>3010</v>
      </c>
      <c r="K798" s="2">
        <v>53000</v>
      </c>
      <c r="L798" t="s">
        <v>2689</v>
      </c>
      <c r="M798" t="s">
        <v>29</v>
      </c>
      <c r="N798" t="s">
        <v>30</v>
      </c>
      <c r="O798">
        <v>37214</v>
      </c>
      <c r="P798" t="s">
        <v>3011</v>
      </c>
      <c r="Q798" s="2">
        <v>0.34</v>
      </c>
      <c r="R798" s="2">
        <v>70</v>
      </c>
      <c r="S798" s="2">
        <v>175</v>
      </c>
      <c r="T798" t="s">
        <v>3012</v>
      </c>
      <c r="U798" s="6">
        <v>25648</v>
      </c>
      <c r="V798" s="2">
        <v>47037015700</v>
      </c>
      <c r="W798" s="2" t="s">
        <v>68</v>
      </c>
      <c r="X798" s="1">
        <v>45658</v>
      </c>
      <c r="Y798" s="2">
        <v>57600</v>
      </c>
      <c r="Z798" s="2">
        <v>0</v>
      </c>
      <c r="AA798" s="2">
        <v>57600</v>
      </c>
    </row>
    <row r="799" spans="1:27" x14ac:dyDescent="0.3">
      <c r="A799" s="3">
        <v>13</v>
      </c>
      <c r="B799" s="2" t="str">
        <f>"12014007900"</f>
        <v>12014007900</v>
      </c>
      <c r="C799" s="2" t="s">
        <v>3013</v>
      </c>
      <c r="D799" t="s">
        <v>29</v>
      </c>
      <c r="E799" s="2" t="s">
        <v>30</v>
      </c>
      <c r="F799" s="2">
        <v>37217</v>
      </c>
      <c r="G799" s="2" t="s">
        <v>64</v>
      </c>
      <c r="H799" t="s">
        <v>2707</v>
      </c>
      <c r="I799" s="6">
        <v>32338</v>
      </c>
      <c r="J799" s="2" t="s">
        <v>3014</v>
      </c>
      <c r="K799" s="2">
        <v>42000</v>
      </c>
      <c r="L799" t="s">
        <v>2689</v>
      </c>
      <c r="M799" t="s">
        <v>29</v>
      </c>
      <c r="N799" t="s">
        <v>30</v>
      </c>
      <c r="O799">
        <v>37214</v>
      </c>
      <c r="P799" t="s">
        <v>3015</v>
      </c>
      <c r="Q799" s="2">
        <v>0.27</v>
      </c>
      <c r="R799" s="2">
        <v>71</v>
      </c>
      <c r="S799" s="2">
        <v>172</v>
      </c>
      <c r="T799" t="s">
        <v>3016</v>
      </c>
      <c r="U799" s="6">
        <v>20844</v>
      </c>
      <c r="V799" s="2">
        <v>47037015700</v>
      </c>
      <c r="W799" s="2" t="s">
        <v>68</v>
      </c>
      <c r="X799" s="1">
        <v>45658</v>
      </c>
      <c r="Y799" s="2">
        <v>57600</v>
      </c>
      <c r="Z799" s="2">
        <v>0</v>
      </c>
      <c r="AA799" s="2">
        <v>57600</v>
      </c>
    </row>
    <row r="800" spans="1:27" x14ac:dyDescent="0.3">
      <c r="A800" s="3">
        <v>13</v>
      </c>
      <c r="B800" s="2" t="str">
        <f>"12014010300"</f>
        <v>12014010300</v>
      </c>
      <c r="C800" s="2" t="s">
        <v>3017</v>
      </c>
      <c r="D800" t="s">
        <v>29</v>
      </c>
      <c r="E800" s="2" t="s">
        <v>30</v>
      </c>
      <c r="F800" s="2">
        <v>37217</v>
      </c>
      <c r="G800" s="2" t="s">
        <v>64</v>
      </c>
      <c r="H800" t="s">
        <v>2707</v>
      </c>
      <c r="I800" s="6">
        <v>32531</v>
      </c>
      <c r="J800" s="2" t="s">
        <v>3018</v>
      </c>
      <c r="K800" s="2">
        <v>52000</v>
      </c>
      <c r="L800" t="s">
        <v>2689</v>
      </c>
      <c r="M800" t="s">
        <v>29</v>
      </c>
      <c r="N800" t="s">
        <v>30</v>
      </c>
      <c r="O800">
        <v>37214</v>
      </c>
      <c r="P800" t="s">
        <v>3019</v>
      </c>
      <c r="Q800" s="2">
        <v>0.46</v>
      </c>
      <c r="R800" s="2">
        <v>124</v>
      </c>
      <c r="S800" s="2">
        <v>328</v>
      </c>
      <c r="T800" t="s">
        <v>3020</v>
      </c>
      <c r="U800" s="6">
        <v>26679</v>
      </c>
      <c r="V800" s="2">
        <v>47037015700</v>
      </c>
      <c r="W800" s="2" t="s">
        <v>68</v>
      </c>
      <c r="X800" s="1">
        <v>45658</v>
      </c>
      <c r="Y800" s="2">
        <v>63400</v>
      </c>
      <c r="Z800" s="2">
        <v>0</v>
      </c>
      <c r="AA800" s="2">
        <v>63400</v>
      </c>
    </row>
    <row r="801" spans="1:27" x14ac:dyDescent="0.3">
      <c r="A801" s="3">
        <v>13</v>
      </c>
      <c r="B801" s="2" t="str">
        <f>"12014008000"</f>
        <v>12014008000</v>
      </c>
      <c r="C801" s="2" t="s">
        <v>3021</v>
      </c>
      <c r="D801" t="s">
        <v>29</v>
      </c>
      <c r="E801" s="2" t="s">
        <v>30</v>
      </c>
      <c r="F801" s="2">
        <v>37217</v>
      </c>
      <c r="G801" s="2" t="s">
        <v>64</v>
      </c>
      <c r="H801" t="s">
        <v>2707</v>
      </c>
      <c r="I801" s="6">
        <v>32062</v>
      </c>
      <c r="J801" s="2" t="s">
        <v>3022</v>
      </c>
      <c r="K801" s="2">
        <v>44500</v>
      </c>
      <c r="L801" t="s">
        <v>2689</v>
      </c>
      <c r="M801" t="s">
        <v>29</v>
      </c>
      <c r="N801" t="s">
        <v>30</v>
      </c>
      <c r="O801">
        <v>37214</v>
      </c>
      <c r="P801" t="s">
        <v>3023</v>
      </c>
      <c r="Q801" s="2">
        <v>0.27</v>
      </c>
      <c r="R801" s="2">
        <v>70</v>
      </c>
      <c r="S801" s="2">
        <v>172</v>
      </c>
      <c r="T801" t="s">
        <v>3024</v>
      </c>
      <c r="U801" s="6">
        <v>18549</v>
      </c>
      <c r="V801" s="2">
        <v>47037015700</v>
      </c>
      <c r="W801" s="2" t="s">
        <v>68</v>
      </c>
      <c r="X801" s="1">
        <v>45658</v>
      </c>
      <c r="Y801" s="2">
        <v>57600</v>
      </c>
      <c r="Z801" s="2">
        <v>0</v>
      </c>
      <c r="AA801" s="2">
        <v>57600</v>
      </c>
    </row>
    <row r="802" spans="1:27" x14ac:dyDescent="0.3">
      <c r="A802" s="3">
        <v>13</v>
      </c>
      <c r="B802" s="2" t="str">
        <f>"12014008200"</f>
        <v>12014008200</v>
      </c>
      <c r="C802" s="2" t="s">
        <v>3025</v>
      </c>
      <c r="D802" t="s">
        <v>29</v>
      </c>
      <c r="E802" s="2" t="s">
        <v>30</v>
      </c>
      <c r="F802" s="2">
        <v>37217</v>
      </c>
      <c r="G802" s="2" t="s">
        <v>64</v>
      </c>
      <c r="H802" t="s">
        <v>2707</v>
      </c>
      <c r="I802" s="6">
        <v>32241</v>
      </c>
      <c r="J802" s="2" t="s">
        <v>3026</v>
      </c>
      <c r="K802" s="2">
        <v>74000</v>
      </c>
      <c r="L802" t="s">
        <v>2689</v>
      </c>
      <c r="M802" t="s">
        <v>29</v>
      </c>
      <c r="N802" t="s">
        <v>30</v>
      </c>
      <c r="O802">
        <v>37214</v>
      </c>
      <c r="P802" t="s">
        <v>3027</v>
      </c>
      <c r="Q802" s="2">
        <v>0.26</v>
      </c>
      <c r="R802" s="2">
        <v>70</v>
      </c>
      <c r="S802" s="2">
        <v>168</v>
      </c>
      <c r="T802" t="s">
        <v>3028</v>
      </c>
      <c r="U802" s="6">
        <v>17408</v>
      </c>
      <c r="V802" s="2">
        <v>47037015700</v>
      </c>
      <c r="W802" s="2" t="s">
        <v>68</v>
      </c>
      <c r="X802" s="1">
        <v>45658</v>
      </c>
      <c r="Y802" s="2">
        <v>57600</v>
      </c>
      <c r="Z802" s="2">
        <v>0</v>
      </c>
      <c r="AA802" s="2">
        <v>57600</v>
      </c>
    </row>
    <row r="803" spans="1:27" x14ac:dyDescent="0.3">
      <c r="A803" s="3">
        <v>13</v>
      </c>
      <c r="B803" s="2" t="str">
        <f>"12014008300"</f>
        <v>12014008300</v>
      </c>
      <c r="C803" s="2" t="s">
        <v>3029</v>
      </c>
      <c r="D803" t="s">
        <v>29</v>
      </c>
      <c r="E803" s="2" t="s">
        <v>30</v>
      </c>
      <c r="F803" s="2">
        <v>37217</v>
      </c>
      <c r="G803" s="2" t="s">
        <v>64</v>
      </c>
      <c r="H803" t="s">
        <v>2707</v>
      </c>
      <c r="I803" s="6">
        <v>32076</v>
      </c>
      <c r="J803" s="2" t="s">
        <v>3030</v>
      </c>
      <c r="K803" s="2">
        <v>54000</v>
      </c>
      <c r="L803" t="s">
        <v>2689</v>
      </c>
      <c r="M803" t="s">
        <v>29</v>
      </c>
      <c r="N803" t="s">
        <v>30</v>
      </c>
      <c r="O803">
        <v>37214</v>
      </c>
      <c r="P803" t="s">
        <v>3031</v>
      </c>
      <c r="Q803" s="2">
        <v>0.25</v>
      </c>
      <c r="R803" s="2">
        <v>70</v>
      </c>
      <c r="S803" s="2">
        <v>166</v>
      </c>
      <c r="T803" t="s">
        <v>3032</v>
      </c>
      <c r="U803" s="6">
        <v>17299</v>
      </c>
      <c r="V803" s="2">
        <v>47037015700</v>
      </c>
      <c r="W803" s="2" t="s">
        <v>68</v>
      </c>
      <c r="X803" s="1">
        <v>45658</v>
      </c>
      <c r="Y803" s="2">
        <v>57600</v>
      </c>
      <c r="Z803" s="2">
        <v>0</v>
      </c>
      <c r="AA803" s="2">
        <v>57600</v>
      </c>
    </row>
    <row r="804" spans="1:27" x14ac:dyDescent="0.3">
      <c r="A804" s="3">
        <v>13</v>
      </c>
      <c r="B804" s="2" t="str">
        <f>"12014008400"</f>
        <v>12014008400</v>
      </c>
      <c r="C804" s="2" t="s">
        <v>3033</v>
      </c>
      <c r="D804" t="s">
        <v>29</v>
      </c>
      <c r="E804" s="2" t="s">
        <v>30</v>
      </c>
      <c r="F804" s="2">
        <v>37217</v>
      </c>
      <c r="G804" s="2" t="s">
        <v>64</v>
      </c>
      <c r="H804" t="s">
        <v>2707</v>
      </c>
      <c r="I804" s="6">
        <v>32069</v>
      </c>
      <c r="J804" s="2" t="s">
        <v>3034</v>
      </c>
      <c r="K804" s="2">
        <v>42000</v>
      </c>
      <c r="L804" t="s">
        <v>2689</v>
      </c>
      <c r="M804" t="s">
        <v>29</v>
      </c>
      <c r="N804" t="s">
        <v>30</v>
      </c>
      <c r="O804">
        <v>37214</v>
      </c>
      <c r="P804" t="s">
        <v>3035</v>
      </c>
      <c r="Q804" s="2">
        <v>0.27</v>
      </c>
      <c r="R804" s="2">
        <v>70</v>
      </c>
      <c r="S804" s="2">
        <v>164</v>
      </c>
      <c r="T804" t="s">
        <v>3036</v>
      </c>
      <c r="U804" s="6">
        <v>26077</v>
      </c>
      <c r="V804" s="2">
        <v>47037015700</v>
      </c>
      <c r="W804" s="2" t="s">
        <v>68</v>
      </c>
      <c r="X804" s="1">
        <v>45658</v>
      </c>
      <c r="Y804" s="2">
        <v>57600</v>
      </c>
      <c r="Z804" s="2">
        <v>0</v>
      </c>
      <c r="AA804" s="2">
        <v>57600</v>
      </c>
    </row>
    <row r="805" spans="1:27" x14ac:dyDescent="0.3">
      <c r="A805" s="3">
        <v>13</v>
      </c>
      <c r="B805" s="2" t="str">
        <f>"12014008500"</f>
        <v>12014008500</v>
      </c>
      <c r="C805" s="2" t="s">
        <v>3037</v>
      </c>
      <c r="D805" t="s">
        <v>29</v>
      </c>
      <c r="E805" s="2" t="s">
        <v>30</v>
      </c>
      <c r="F805" s="2">
        <v>37217</v>
      </c>
      <c r="G805" s="2" t="s">
        <v>64</v>
      </c>
      <c r="H805" t="s">
        <v>2707</v>
      </c>
      <c r="I805" s="6">
        <v>32091</v>
      </c>
      <c r="J805" s="2" t="s">
        <v>3038</v>
      </c>
      <c r="K805" s="2">
        <v>45000</v>
      </c>
      <c r="L805" t="s">
        <v>2689</v>
      </c>
      <c r="M805" t="s">
        <v>29</v>
      </c>
      <c r="N805" t="s">
        <v>30</v>
      </c>
      <c r="O805">
        <v>37214</v>
      </c>
      <c r="P805" t="s">
        <v>3039</v>
      </c>
      <c r="Q805" s="2">
        <v>0.27</v>
      </c>
      <c r="R805" s="2">
        <v>70</v>
      </c>
      <c r="S805" s="2">
        <v>163</v>
      </c>
      <c r="T805" t="s">
        <v>3040</v>
      </c>
      <c r="U805" s="6">
        <v>26564</v>
      </c>
      <c r="V805" s="2">
        <v>47037015700</v>
      </c>
      <c r="W805" s="2" t="s">
        <v>68</v>
      </c>
      <c r="X805" s="1">
        <v>45658</v>
      </c>
      <c r="Y805" s="2">
        <v>57600</v>
      </c>
      <c r="Z805" s="2">
        <v>0</v>
      </c>
      <c r="AA805" s="2">
        <v>57600</v>
      </c>
    </row>
    <row r="806" spans="1:27" x14ac:dyDescent="0.3">
      <c r="A806" s="3">
        <v>13</v>
      </c>
      <c r="B806" s="2" t="str">
        <f>"12015001200"</f>
        <v>12015001200</v>
      </c>
      <c r="C806" s="2" t="s">
        <v>3041</v>
      </c>
      <c r="D806" t="s">
        <v>29</v>
      </c>
      <c r="E806" s="2" t="s">
        <v>30</v>
      </c>
      <c r="F806" s="2">
        <v>37217</v>
      </c>
      <c r="G806" s="2" t="s">
        <v>64</v>
      </c>
      <c r="H806" t="s">
        <v>2707</v>
      </c>
      <c r="I806" s="6">
        <v>32171</v>
      </c>
      <c r="J806" s="2" t="s">
        <v>3042</v>
      </c>
      <c r="K806" s="2">
        <v>52000</v>
      </c>
      <c r="L806" t="s">
        <v>2689</v>
      </c>
      <c r="M806" t="s">
        <v>29</v>
      </c>
      <c r="N806" t="s">
        <v>30</v>
      </c>
      <c r="O806">
        <v>37214</v>
      </c>
      <c r="P806" t="s">
        <v>3043</v>
      </c>
      <c r="Q806" s="2">
        <v>0.28999999999999998</v>
      </c>
      <c r="R806" s="2">
        <v>65</v>
      </c>
      <c r="S806" s="2">
        <v>143</v>
      </c>
      <c r="T806" t="s">
        <v>3044</v>
      </c>
      <c r="U806" s="6">
        <v>33721</v>
      </c>
      <c r="V806" s="2">
        <v>47037015700</v>
      </c>
      <c r="W806" s="2" t="s">
        <v>68</v>
      </c>
      <c r="X806" s="1">
        <v>45658</v>
      </c>
      <c r="Y806" s="2">
        <v>57600</v>
      </c>
      <c r="Z806" s="2">
        <v>0</v>
      </c>
      <c r="AA806" s="2">
        <v>57600</v>
      </c>
    </row>
    <row r="807" spans="1:27" x14ac:dyDescent="0.3">
      <c r="A807" s="3">
        <v>13</v>
      </c>
      <c r="B807" s="2" t="str">
        <f>"12014009800"</f>
        <v>12014009800</v>
      </c>
      <c r="C807" s="2" t="s">
        <v>3045</v>
      </c>
      <c r="D807" t="s">
        <v>29</v>
      </c>
      <c r="E807" s="2" t="s">
        <v>30</v>
      </c>
      <c r="F807" s="2">
        <v>37217</v>
      </c>
      <c r="G807" s="2" t="s">
        <v>64</v>
      </c>
      <c r="H807" t="s">
        <v>2707</v>
      </c>
      <c r="I807" s="6">
        <v>32420</v>
      </c>
      <c r="J807" s="2" t="s">
        <v>3046</v>
      </c>
      <c r="K807" s="2">
        <v>63000</v>
      </c>
      <c r="L807" t="s">
        <v>2689</v>
      </c>
      <c r="M807" t="s">
        <v>29</v>
      </c>
      <c r="N807" t="s">
        <v>30</v>
      </c>
      <c r="O807">
        <v>37214</v>
      </c>
      <c r="P807" t="s">
        <v>3047</v>
      </c>
      <c r="Q807" s="2">
        <v>0.35</v>
      </c>
      <c r="R807" s="2">
        <v>70</v>
      </c>
      <c r="S807" s="2">
        <v>232</v>
      </c>
      <c r="T807" t="s">
        <v>3048</v>
      </c>
      <c r="U807" s="6">
        <v>27247</v>
      </c>
      <c r="V807" s="2">
        <v>47037015700</v>
      </c>
      <c r="W807" s="2" t="s">
        <v>68</v>
      </c>
      <c r="X807" s="1">
        <v>45658</v>
      </c>
      <c r="Y807" s="2">
        <v>57600</v>
      </c>
      <c r="Z807" s="2">
        <v>0</v>
      </c>
      <c r="AA807" s="2">
        <v>57600</v>
      </c>
    </row>
    <row r="808" spans="1:27" x14ac:dyDescent="0.3">
      <c r="A808" s="3">
        <v>13</v>
      </c>
      <c r="B808" s="2" t="str">
        <f>"12014010000"</f>
        <v>12014010000</v>
      </c>
      <c r="C808" s="2" t="s">
        <v>3049</v>
      </c>
      <c r="D808" t="s">
        <v>29</v>
      </c>
      <c r="E808" s="2" t="s">
        <v>30</v>
      </c>
      <c r="F808" s="2">
        <v>37217</v>
      </c>
      <c r="G808" s="2" t="s">
        <v>64</v>
      </c>
      <c r="H808" t="s">
        <v>2707</v>
      </c>
      <c r="I808" s="6">
        <v>32812</v>
      </c>
      <c r="J808" s="2" t="s">
        <v>3050</v>
      </c>
      <c r="K808" s="2">
        <v>46500</v>
      </c>
      <c r="L808" t="s">
        <v>2689</v>
      </c>
      <c r="M808" t="s">
        <v>29</v>
      </c>
      <c r="N808" t="s">
        <v>30</v>
      </c>
      <c r="O808">
        <v>37214</v>
      </c>
      <c r="P808" t="s">
        <v>3051</v>
      </c>
      <c r="Q808" s="2">
        <v>0.31</v>
      </c>
      <c r="R808" s="2">
        <v>70</v>
      </c>
      <c r="S808" s="2">
        <v>226</v>
      </c>
      <c r="T808" t="s">
        <v>3052</v>
      </c>
      <c r="U808" s="6">
        <v>27318</v>
      </c>
      <c r="V808" s="2">
        <v>47037015700</v>
      </c>
      <c r="W808" s="2" t="s">
        <v>68</v>
      </c>
      <c r="X808" s="1">
        <v>45658</v>
      </c>
      <c r="Y808" s="2">
        <v>57600</v>
      </c>
      <c r="Z808" s="2">
        <v>0</v>
      </c>
      <c r="AA808" s="2">
        <v>57600</v>
      </c>
    </row>
    <row r="809" spans="1:27" x14ac:dyDescent="0.3">
      <c r="A809" s="3">
        <v>13</v>
      </c>
      <c r="B809" s="2" t="str">
        <f>"12014009700"</f>
        <v>12014009700</v>
      </c>
      <c r="C809" s="2" t="s">
        <v>3053</v>
      </c>
      <c r="D809" t="s">
        <v>29</v>
      </c>
      <c r="E809" s="2" t="s">
        <v>30</v>
      </c>
      <c r="F809" s="2">
        <v>37217</v>
      </c>
      <c r="G809" s="2" t="s">
        <v>64</v>
      </c>
      <c r="H809" t="s">
        <v>2707</v>
      </c>
      <c r="I809" s="6">
        <v>32563</v>
      </c>
      <c r="J809" s="2" t="s">
        <v>3054</v>
      </c>
      <c r="K809" s="2">
        <v>65000</v>
      </c>
      <c r="L809" t="s">
        <v>2689</v>
      </c>
      <c r="M809" t="s">
        <v>29</v>
      </c>
      <c r="N809" t="s">
        <v>30</v>
      </c>
      <c r="O809">
        <v>37214</v>
      </c>
      <c r="P809" t="s">
        <v>3055</v>
      </c>
      <c r="Q809" s="2">
        <v>0.36</v>
      </c>
      <c r="R809" s="2">
        <v>70</v>
      </c>
      <c r="S809" s="2">
        <v>234</v>
      </c>
      <c r="T809" t="s">
        <v>3056</v>
      </c>
      <c r="U809" s="6">
        <v>27292</v>
      </c>
      <c r="V809" s="2">
        <v>47037015700</v>
      </c>
      <c r="W809" s="2" t="s">
        <v>68</v>
      </c>
      <c r="X809" s="1">
        <v>45658</v>
      </c>
      <c r="Y809" s="2">
        <v>57600</v>
      </c>
      <c r="Z809" s="2">
        <v>0</v>
      </c>
      <c r="AA809" s="2">
        <v>57600</v>
      </c>
    </row>
    <row r="810" spans="1:27" x14ac:dyDescent="0.3">
      <c r="A810" s="3">
        <v>13</v>
      </c>
      <c r="B810" s="2" t="str">
        <f>"12014010100"</f>
        <v>12014010100</v>
      </c>
      <c r="C810" s="2" t="s">
        <v>3057</v>
      </c>
      <c r="D810" t="s">
        <v>29</v>
      </c>
      <c r="E810" s="2" t="s">
        <v>30</v>
      </c>
      <c r="F810" s="2">
        <v>37217</v>
      </c>
      <c r="G810" s="2" t="s">
        <v>64</v>
      </c>
      <c r="H810" t="s">
        <v>2707</v>
      </c>
      <c r="I810" s="6">
        <v>32895</v>
      </c>
      <c r="J810" s="2" t="s">
        <v>3058</v>
      </c>
      <c r="K810" s="2">
        <v>55000</v>
      </c>
      <c r="L810" t="s">
        <v>2689</v>
      </c>
      <c r="M810" t="s">
        <v>29</v>
      </c>
      <c r="N810" t="s">
        <v>30</v>
      </c>
      <c r="O810">
        <v>37214</v>
      </c>
      <c r="P810" t="s">
        <v>3059</v>
      </c>
      <c r="Q810" s="2">
        <v>0.32</v>
      </c>
      <c r="R810" s="2">
        <v>70</v>
      </c>
      <c r="S810" s="2">
        <v>216</v>
      </c>
      <c r="T810" t="s">
        <v>3060</v>
      </c>
      <c r="U810" s="6">
        <v>25664</v>
      </c>
      <c r="V810" s="2">
        <v>47037015700</v>
      </c>
      <c r="W810" s="2" t="s">
        <v>68</v>
      </c>
      <c r="X810" s="1">
        <v>45658</v>
      </c>
      <c r="Y810" s="2">
        <v>57600</v>
      </c>
      <c r="Z810" s="2">
        <v>0</v>
      </c>
      <c r="AA810" s="2">
        <v>57600</v>
      </c>
    </row>
    <row r="811" spans="1:27" x14ac:dyDescent="0.3">
      <c r="A811" s="3">
        <v>13</v>
      </c>
      <c r="B811" s="2" t="str">
        <f>"12014009600"</f>
        <v>12014009600</v>
      </c>
      <c r="C811" s="2" t="s">
        <v>3061</v>
      </c>
      <c r="D811" t="s">
        <v>29</v>
      </c>
      <c r="E811" s="2" t="s">
        <v>30</v>
      </c>
      <c r="F811" s="2">
        <v>37217</v>
      </c>
      <c r="G811" s="2" t="s">
        <v>64</v>
      </c>
      <c r="H811" t="s">
        <v>2707</v>
      </c>
      <c r="I811" s="6">
        <v>32540</v>
      </c>
      <c r="J811" s="2" t="s">
        <v>3062</v>
      </c>
      <c r="K811" s="2">
        <v>49000</v>
      </c>
      <c r="L811" t="s">
        <v>2689</v>
      </c>
      <c r="M811" t="s">
        <v>29</v>
      </c>
      <c r="N811" t="s">
        <v>30</v>
      </c>
      <c r="O811">
        <v>37214</v>
      </c>
      <c r="P811" t="s">
        <v>3063</v>
      </c>
      <c r="Q811" s="2">
        <v>0.34</v>
      </c>
      <c r="R811" s="2">
        <v>70</v>
      </c>
      <c r="S811" s="2">
        <v>234</v>
      </c>
      <c r="T811" t="s">
        <v>3064</v>
      </c>
      <c r="U811" s="6">
        <v>18384</v>
      </c>
      <c r="V811" s="2">
        <v>47037015700</v>
      </c>
      <c r="W811" s="2" t="s">
        <v>68</v>
      </c>
      <c r="X811" s="1">
        <v>45658</v>
      </c>
      <c r="Y811" s="2">
        <v>57600</v>
      </c>
      <c r="Z811" s="2">
        <v>0</v>
      </c>
      <c r="AA811" s="2">
        <v>57600</v>
      </c>
    </row>
    <row r="812" spans="1:27" x14ac:dyDescent="0.3">
      <c r="A812" s="3">
        <v>13</v>
      </c>
      <c r="B812" s="2" t="str">
        <f>"12014010200"</f>
        <v>12014010200</v>
      </c>
      <c r="C812" s="2" t="s">
        <v>3065</v>
      </c>
      <c r="D812" t="s">
        <v>29</v>
      </c>
      <c r="E812" s="2" t="s">
        <v>30</v>
      </c>
      <c r="F812" s="2">
        <v>37217</v>
      </c>
      <c r="G812" s="2" t="s">
        <v>64</v>
      </c>
      <c r="H812" t="s">
        <v>2707</v>
      </c>
      <c r="I812" s="6">
        <v>32811</v>
      </c>
      <c r="J812" s="2" t="s">
        <v>3066</v>
      </c>
      <c r="K812" s="2">
        <v>47000</v>
      </c>
      <c r="L812" t="s">
        <v>2689</v>
      </c>
      <c r="M812" t="s">
        <v>29</v>
      </c>
      <c r="N812" t="s">
        <v>30</v>
      </c>
      <c r="O812">
        <v>37214</v>
      </c>
      <c r="P812" t="s">
        <v>3067</v>
      </c>
      <c r="Q812" s="2">
        <v>0.53</v>
      </c>
      <c r="R812" s="2">
        <v>144</v>
      </c>
      <c r="S812" s="2">
        <v>195</v>
      </c>
      <c r="T812" t="s">
        <v>3068</v>
      </c>
      <c r="U812" s="6">
        <v>27222</v>
      </c>
      <c r="V812" s="2">
        <v>47037015700</v>
      </c>
      <c r="W812" s="2" t="s">
        <v>68</v>
      </c>
      <c r="X812" s="1">
        <v>45658</v>
      </c>
      <c r="Y812" s="2">
        <v>63400</v>
      </c>
      <c r="Z812" s="2">
        <v>0</v>
      </c>
      <c r="AA812" s="2">
        <v>63400</v>
      </c>
    </row>
    <row r="813" spans="1:27" x14ac:dyDescent="0.3">
      <c r="A813" s="3">
        <v>13</v>
      </c>
      <c r="B813" s="2" t="str">
        <f>"12014009500"</f>
        <v>12014009500</v>
      </c>
      <c r="C813" s="2" t="s">
        <v>3069</v>
      </c>
      <c r="D813" t="s">
        <v>29</v>
      </c>
      <c r="E813" s="2" t="s">
        <v>30</v>
      </c>
      <c r="F813" s="2">
        <v>37217</v>
      </c>
      <c r="G813" s="2" t="s">
        <v>64</v>
      </c>
      <c r="H813" t="s">
        <v>2707</v>
      </c>
      <c r="I813" s="6">
        <v>32451</v>
      </c>
      <c r="J813" s="2" t="s">
        <v>3070</v>
      </c>
      <c r="K813" s="2">
        <v>50000</v>
      </c>
      <c r="L813" t="s">
        <v>2689</v>
      </c>
      <c r="M813" t="s">
        <v>29</v>
      </c>
      <c r="N813" t="s">
        <v>30</v>
      </c>
      <c r="O813">
        <v>37214</v>
      </c>
      <c r="P813" t="s">
        <v>3071</v>
      </c>
      <c r="Q813" s="2">
        <v>0.34</v>
      </c>
      <c r="R813" s="2">
        <v>70</v>
      </c>
      <c r="S813" s="2">
        <v>223</v>
      </c>
      <c r="T813" t="s">
        <v>3072</v>
      </c>
      <c r="U813" s="6">
        <v>21247</v>
      </c>
      <c r="V813" s="2">
        <v>47037015700</v>
      </c>
      <c r="W813" s="2" t="s">
        <v>68</v>
      </c>
      <c r="X813" s="1">
        <v>45658</v>
      </c>
      <c r="Y813" s="2">
        <v>57600</v>
      </c>
      <c r="Z813" s="2">
        <v>0</v>
      </c>
      <c r="AA813" s="2">
        <v>57600</v>
      </c>
    </row>
    <row r="814" spans="1:27" x14ac:dyDescent="0.3">
      <c r="A814" s="3">
        <v>13</v>
      </c>
      <c r="B814" s="2" t="str">
        <f>"12014001300"</f>
        <v>12014001300</v>
      </c>
      <c r="C814" s="2" t="s">
        <v>3073</v>
      </c>
      <c r="D814" t="s">
        <v>29</v>
      </c>
      <c r="E814" s="2" t="s">
        <v>30</v>
      </c>
      <c r="F814" s="2">
        <v>37217</v>
      </c>
      <c r="G814" s="2" t="s">
        <v>64</v>
      </c>
      <c r="H814" t="s">
        <v>2707</v>
      </c>
      <c r="I814" s="6">
        <v>32937</v>
      </c>
      <c r="J814" s="2" t="s">
        <v>3074</v>
      </c>
      <c r="K814" s="2" t="s">
        <v>34</v>
      </c>
      <c r="L814" t="s">
        <v>2689</v>
      </c>
      <c r="M814" t="s">
        <v>29</v>
      </c>
      <c r="N814" t="s">
        <v>30</v>
      </c>
      <c r="O814">
        <v>37214</v>
      </c>
      <c r="P814" t="s">
        <v>3075</v>
      </c>
      <c r="Q814" s="2">
        <v>0.67</v>
      </c>
      <c r="R814" s="2">
        <v>104</v>
      </c>
      <c r="S814" s="2">
        <v>246</v>
      </c>
      <c r="T814" t="s">
        <v>3076</v>
      </c>
      <c r="U814" s="6">
        <v>23918</v>
      </c>
      <c r="V814" s="2">
        <v>47037015700</v>
      </c>
      <c r="W814" s="2" t="s">
        <v>68</v>
      </c>
      <c r="X814" s="1">
        <v>45658</v>
      </c>
      <c r="Y814" s="2">
        <v>63400</v>
      </c>
      <c r="Z814" s="2">
        <v>0</v>
      </c>
      <c r="AA814" s="2">
        <v>63400</v>
      </c>
    </row>
    <row r="815" spans="1:27" x14ac:dyDescent="0.3">
      <c r="A815" s="3">
        <v>13</v>
      </c>
      <c r="B815" s="2" t="str">
        <f>"12014009400"</f>
        <v>12014009400</v>
      </c>
      <c r="C815" s="2" t="s">
        <v>3077</v>
      </c>
      <c r="D815" t="s">
        <v>29</v>
      </c>
      <c r="E815" s="2" t="s">
        <v>30</v>
      </c>
      <c r="F815" s="2">
        <v>37217</v>
      </c>
      <c r="G815" s="2" t="s">
        <v>64</v>
      </c>
      <c r="H815" t="s">
        <v>2707</v>
      </c>
      <c r="I815" s="6">
        <v>32353</v>
      </c>
      <c r="J815" s="2" t="s">
        <v>3078</v>
      </c>
      <c r="K815" s="2">
        <v>66500</v>
      </c>
      <c r="L815" t="s">
        <v>2689</v>
      </c>
      <c r="M815" t="s">
        <v>29</v>
      </c>
      <c r="N815" t="s">
        <v>30</v>
      </c>
      <c r="O815">
        <v>37214</v>
      </c>
      <c r="P815" t="s">
        <v>3079</v>
      </c>
      <c r="Q815" s="2">
        <v>0.32</v>
      </c>
      <c r="R815" s="2">
        <v>70</v>
      </c>
      <c r="S815" s="2">
        <v>211</v>
      </c>
      <c r="T815" t="s">
        <v>3080</v>
      </c>
      <c r="U815" s="6">
        <v>18187</v>
      </c>
      <c r="V815" s="2">
        <v>47037015700</v>
      </c>
      <c r="W815" s="2" t="s">
        <v>68</v>
      </c>
      <c r="X815" s="1">
        <v>45658</v>
      </c>
      <c r="Y815" s="2">
        <v>57600</v>
      </c>
      <c r="Z815" s="2">
        <v>0</v>
      </c>
      <c r="AA815" s="2">
        <v>57600</v>
      </c>
    </row>
    <row r="816" spans="1:27" x14ac:dyDescent="0.3">
      <c r="A816" s="3">
        <v>13</v>
      </c>
      <c r="B816" s="2" t="str">
        <f>"12015001300"</f>
        <v>12015001300</v>
      </c>
      <c r="C816" s="2" t="s">
        <v>3081</v>
      </c>
      <c r="D816" t="s">
        <v>29</v>
      </c>
      <c r="E816" s="2" t="s">
        <v>30</v>
      </c>
      <c r="F816" s="2">
        <v>37217</v>
      </c>
      <c r="G816" s="2" t="s">
        <v>64</v>
      </c>
      <c r="H816" t="s">
        <v>2707</v>
      </c>
      <c r="I816" s="6">
        <v>32101</v>
      </c>
      <c r="J816" s="2" t="s">
        <v>3082</v>
      </c>
      <c r="K816" s="2">
        <v>42500</v>
      </c>
      <c r="L816" t="s">
        <v>2689</v>
      </c>
      <c r="M816" t="s">
        <v>29</v>
      </c>
      <c r="N816" t="s">
        <v>30</v>
      </c>
      <c r="O816">
        <v>37214</v>
      </c>
      <c r="P816" t="s">
        <v>3083</v>
      </c>
      <c r="Q816" s="2">
        <v>0.23</v>
      </c>
      <c r="R816" s="2">
        <v>81</v>
      </c>
      <c r="S816" s="2">
        <v>143</v>
      </c>
      <c r="T816" t="s">
        <v>3044</v>
      </c>
      <c r="U816" s="6">
        <v>33721</v>
      </c>
      <c r="V816" s="2">
        <v>47037015700</v>
      </c>
      <c r="W816" s="2" t="s">
        <v>68</v>
      </c>
      <c r="X816" s="1">
        <v>45658</v>
      </c>
      <c r="Y816" s="2">
        <v>57600</v>
      </c>
      <c r="Z816" s="2">
        <v>0</v>
      </c>
      <c r="AA816" s="2">
        <v>57600</v>
      </c>
    </row>
    <row r="817" spans="1:27" x14ac:dyDescent="0.3">
      <c r="A817" s="3">
        <v>13</v>
      </c>
      <c r="B817" s="2" t="str">
        <f>"12014009300"</f>
        <v>12014009300</v>
      </c>
      <c r="C817" s="2" t="s">
        <v>3084</v>
      </c>
      <c r="D817" t="s">
        <v>29</v>
      </c>
      <c r="E817" s="2" t="s">
        <v>30</v>
      </c>
      <c r="F817" s="2">
        <v>37217</v>
      </c>
      <c r="G817" s="2" t="s">
        <v>64</v>
      </c>
      <c r="H817" t="s">
        <v>2707</v>
      </c>
      <c r="I817" s="6">
        <v>32353</v>
      </c>
      <c r="J817" s="2" t="s">
        <v>3078</v>
      </c>
      <c r="K817" s="2">
        <v>66500</v>
      </c>
      <c r="L817" t="s">
        <v>2689</v>
      </c>
      <c r="M817" t="s">
        <v>29</v>
      </c>
      <c r="N817" t="s">
        <v>30</v>
      </c>
      <c r="O817">
        <v>37214</v>
      </c>
      <c r="P817" t="s">
        <v>3085</v>
      </c>
      <c r="Q817" s="2">
        <v>0.32</v>
      </c>
      <c r="R817" s="2">
        <v>70</v>
      </c>
      <c r="S817" s="2">
        <v>200</v>
      </c>
      <c r="T817" t="s">
        <v>3080</v>
      </c>
      <c r="U817" s="6">
        <v>18187</v>
      </c>
      <c r="V817" s="2">
        <v>47037015700</v>
      </c>
      <c r="W817" s="2" t="s">
        <v>68</v>
      </c>
      <c r="X817" s="1">
        <v>45658</v>
      </c>
      <c r="Y817" s="2">
        <v>57600</v>
      </c>
      <c r="Z817" s="2">
        <v>0</v>
      </c>
      <c r="AA817" s="2">
        <v>57600</v>
      </c>
    </row>
    <row r="818" spans="1:27" x14ac:dyDescent="0.3">
      <c r="A818" s="3">
        <v>13</v>
      </c>
      <c r="B818" s="2" t="str">
        <f>"12014009200"</f>
        <v>12014009200</v>
      </c>
      <c r="C818" s="2" t="s">
        <v>3086</v>
      </c>
      <c r="D818" t="s">
        <v>29</v>
      </c>
      <c r="E818" s="2" t="s">
        <v>30</v>
      </c>
      <c r="F818" s="2">
        <v>37217</v>
      </c>
      <c r="G818" s="2" t="s">
        <v>64</v>
      </c>
      <c r="H818" t="s">
        <v>2707</v>
      </c>
      <c r="I818" s="6">
        <v>32323</v>
      </c>
      <c r="J818" s="2" t="s">
        <v>3087</v>
      </c>
      <c r="K818" s="2">
        <v>61500</v>
      </c>
      <c r="L818" t="s">
        <v>2689</v>
      </c>
      <c r="M818" t="s">
        <v>29</v>
      </c>
      <c r="N818" t="s">
        <v>30</v>
      </c>
      <c r="O818">
        <v>37214</v>
      </c>
      <c r="P818" t="s">
        <v>3088</v>
      </c>
      <c r="Q818" s="2">
        <v>0.28000000000000003</v>
      </c>
      <c r="R818" s="2">
        <v>70</v>
      </c>
      <c r="S818" s="2">
        <v>189</v>
      </c>
      <c r="T818" t="s">
        <v>3089</v>
      </c>
      <c r="U818" s="6">
        <v>24698</v>
      </c>
      <c r="V818" s="2">
        <v>47037015700</v>
      </c>
      <c r="W818" s="2" t="s">
        <v>68</v>
      </c>
      <c r="X818" s="1">
        <v>45658</v>
      </c>
      <c r="Y818" s="2">
        <v>57600</v>
      </c>
      <c r="Z818" s="2">
        <v>0</v>
      </c>
      <c r="AA818" s="2">
        <v>57600</v>
      </c>
    </row>
    <row r="819" spans="1:27" x14ac:dyDescent="0.3">
      <c r="A819" s="3">
        <v>13</v>
      </c>
      <c r="B819" s="2" t="str">
        <f>"12014009100"</f>
        <v>12014009100</v>
      </c>
      <c r="C819" s="2" t="s">
        <v>3090</v>
      </c>
      <c r="D819" t="s">
        <v>29</v>
      </c>
      <c r="E819" s="2" t="s">
        <v>30</v>
      </c>
      <c r="F819" s="2">
        <v>37217</v>
      </c>
      <c r="G819" s="2" t="s">
        <v>64</v>
      </c>
      <c r="H819" t="s">
        <v>2707</v>
      </c>
      <c r="I819" s="6">
        <v>32128</v>
      </c>
      <c r="J819" s="2" t="s">
        <v>3091</v>
      </c>
      <c r="K819" s="2">
        <v>68000</v>
      </c>
      <c r="L819" t="s">
        <v>2689</v>
      </c>
      <c r="M819" t="s">
        <v>29</v>
      </c>
      <c r="N819" t="s">
        <v>30</v>
      </c>
      <c r="O819">
        <v>37214</v>
      </c>
      <c r="P819" t="s">
        <v>3092</v>
      </c>
      <c r="Q819" s="2">
        <v>0.27</v>
      </c>
      <c r="R819" s="2">
        <v>70</v>
      </c>
      <c r="S819" s="2">
        <v>177</v>
      </c>
      <c r="T819" t="s">
        <v>3093</v>
      </c>
      <c r="U819" s="6">
        <v>26877</v>
      </c>
      <c r="V819" s="2">
        <v>47037015700</v>
      </c>
      <c r="W819" s="2" t="s">
        <v>68</v>
      </c>
      <c r="X819" s="1">
        <v>45658</v>
      </c>
      <c r="Y819" s="2">
        <v>57600</v>
      </c>
      <c r="Z819" s="2">
        <v>0</v>
      </c>
      <c r="AA819" s="2">
        <v>57600</v>
      </c>
    </row>
    <row r="820" spans="1:27" x14ac:dyDescent="0.3">
      <c r="A820" s="3">
        <v>13</v>
      </c>
      <c r="B820" s="2" t="str">
        <f>"12014008900"</f>
        <v>12014008900</v>
      </c>
      <c r="C820" s="2" t="s">
        <v>3094</v>
      </c>
      <c r="D820" t="s">
        <v>29</v>
      </c>
      <c r="E820" s="2" t="s">
        <v>30</v>
      </c>
      <c r="F820" s="2">
        <v>37217</v>
      </c>
      <c r="G820" s="2" t="s">
        <v>64</v>
      </c>
      <c r="H820" t="s">
        <v>2707</v>
      </c>
      <c r="I820" s="6">
        <v>32083</v>
      </c>
      <c r="J820" s="2" t="s">
        <v>3095</v>
      </c>
      <c r="K820" s="2">
        <v>62500</v>
      </c>
      <c r="L820" t="s">
        <v>2689</v>
      </c>
      <c r="M820" t="s">
        <v>29</v>
      </c>
      <c r="N820" t="s">
        <v>30</v>
      </c>
      <c r="O820">
        <v>37214</v>
      </c>
      <c r="P820" t="s">
        <v>3096</v>
      </c>
      <c r="Q820" s="2">
        <v>0.26</v>
      </c>
      <c r="R820" s="2">
        <v>70</v>
      </c>
      <c r="S820" s="2">
        <v>171</v>
      </c>
      <c r="T820" t="s">
        <v>3097</v>
      </c>
      <c r="U820" s="6">
        <v>17983</v>
      </c>
      <c r="V820" s="2">
        <v>47037015700</v>
      </c>
      <c r="W820" s="2" t="s">
        <v>68</v>
      </c>
      <c r="X820" s="1">
        <v>45658</v>
      </c>
      <c r="Y820" s="2">
        <v>57600</v>
      </c>
      <c r="Z820" s="2">
        <v>0</v>
      </c>
      <c r="AA820" s="2">
        <v>57600</v>
      </c>
    </row>
    <row r="821" spans="1:27" x14ac:dyDescent="0.3">
      <c r="A821" s="3">
        <v>13</v>
      </c>
      <c r="B821" s="2" t="str">
        <f>"12014008800"</f>
        <v>12014008800</v>
      </c>
      <c r="C821" s="2" t="s">
        <v>3098</v>
      </c>
      <c r="D821" t="s">
        <v>29</v>
      </c>
      <c r="E821" s="2" t="s">
        <v>30</v>
      </c>
      <c r="F821" s="2">
        <v>37217</v>
      </c>
      <c r="G821" s="2" t="s">
        <v>64</v>
      </c>
      <c r="H821" t="s">
        <v>2707</v>
      </c>
      <c r="I821" s="6">
        <v>32149</v>
      </c>
      <c r="J821" s="2" t="s">
        <v>3099</v>
      </c>
      <c r="K821" s="2">
        <v>61000</v>
      </c>
      <c r="L821" t="s">
        <v>2689</v>
      </c>
      <c r="M821" t="s">
        <v>29</v>
      </c>
      <c r="N821" t="s">
        <v>30</v>
      </c>
      <c r="O821">
        <v>37214</v>
      </c>
      <c r="P821" t="s">
        <v>3100</v>
      </c>
      <c r="Q821" s="2">
        <v>0.26</v>
      </c>
      <c r="R821" s="2">
        <v>70</v>
      </c>
      <c r="S821" s="2">
        <v>168</v>
      </c>
      <c r="T821" t="s">
        <v>3101</v>
      </c>
      <c r="U821" s="6">
        <v>23806</v>
      </c>
      <c r="V821" s="2">
        <v>47037015700</v>
      </c>
      <c r="W821" s="2" t="s">
        <v>68</v>
      </c>
      <c r="X821" s="1">
        <v>45658</v>
      </c>
      <c r="Y821" s="2">
        <v>57600</v>
      </c>
      <c r="Z821" s="2">
        <v>0</v>
      </c>
      <c r="AA821" s="2">
        <v>57600</v>
      </c>
    </row>
    <row r="822" spans="1:27" x14ac:dyDescent="0.3">
      <c r="A822" s="3">
        <v>13</v>
      </c>
      <c r="B822" s="2" t="str">
        <f>"12014008700"</f>
        <v>12014008700</v>
      </c>
      <c r="C822" s="2" t="s">
        <v>3102</v>
      </c>
      <c r="D822" t="s">
        <v>29</v>
      </c>
      <c r="E822" s="2" t="s">
        <v>30</v>
      </c>
      <c r="F822" s="2">
        <v>37217</v>
      </c>
      <c r="G822" s="2" t="s">
        <v>64</v>
      </c>
      <c r="H822" t="s">
        <v>2707</v>
      </c>
      <c r="I822" s="6">
        <v>32188</v>
      </c>
      <c r="J822" s="2" t="s">
        <v>3103</v>
      </c>
      <c r="K822" s="2">
        <v>59053</v>
      </c>
      <c r="L822" t="s">
        <v>2689</v>
      </c>
      <c r="M822" t="s">
        <v>29</v>
      </c>
      <c r="N822" t="s">
        <v>30</v>
      </c>
      <c r="O822">
        <v>37214</v>
      </c>
      <c r="P822" t="s">
        <v>3104</v>
      </c>
      <c r="Q822" s="2">
        <v>0.26</v>
      </c>
      <c r="R822" s="2">
        <v>70</v>
      </c>
      <c r="S822" s="2">
        <v>165</v>
      </c>
      <c r="T822" t="s">
        <v>3105</v>
      </c>
      <c r="U822" s="6">
        <v>26182</v>
      </c>
      <c r="V822" s="2">
        <v>47037015700</v>
      </c>
      <c r="W822" s="2" t="s">
        <v>68</v>
      </c>
      <c r="X822" s="1">
        <v>45658</v>
      </c>
      <c r="Y822" s="2">
        <v>57600</v>
      </c>
      <c r="Z822" s="2">
        <v>0</v>
      </c>
      <c r="AA822" s="2">
        <v>57600</v>
      </c>
    </row>
    <row r="823" spans="1:27" x14ac:dyDescent="0.3">
      <c r="A823" s="3">
        <v>13</v>
      </c>
      <c r="B823" s="2" t="str">
        <f>"12014008600"</f>
        <v>12014008600</v>
      </c>
      <c r="C823" s="2" t="s">
        <v>3106</v>
      </c>
      <c r="D823" t="s">
        <v>29</v>
      </c>
      <c r="E823" s="2" t="s">
        <v>30</v>
      </c>
      <c r="F823" s="2">
        <v>37217</v>
      </c>
      <c r="G823" s="2" t="s">
        <v>64</v>
      </c>
      <c r="H823" t="s">
        <v>2707</v>
      </c>
      <c r="I823" s="6">
        <v>32188</v>
      </c>
      <c r="J823" s="2" t="s">
        <v>3107</v>
      </c>
      <c r="K823" s="2">
        <v>61400</v>
      </c>
      <c r="L823" t="s">
        <v>2689</v>
      </c>
      <c r="M823" t="s">
        <v>29</v>
      </c>
      <c r="N823" t="s">
        <v>30</v>
      </c>
      <c r="O823">
        <v>37214</v>
      </c>
      <c r="P823" t="s">
        <v>3108</v>
      </c>
      <c r="Q823" s="2">
        <v>0.27</v>
      </c>
      <c r="R823" s="2">
        <v>70</v>
      </c>
      <c r="S823" s="2">
        <v>162</v>
      </c>
      <c r="T823" t="s">
        <v>3109</v>
      </c>
      <c r="U823" s="6">
        <v>17923</v>
      </c>
      <c r="V823" s="2">
        <v>47037015700</v>
      </c>
      <c r="W823" s="2" t="s">
        <v>68</v>
      </c>
      <c r="X823" s="1">
        <v>45658</v>
      </c>
      <c r="Y823" s="2">
        <v>57600</v>
      </c>
      <c r="Z823" s="2">
        <v>0</v>
      </c>
      <c r="AA823" s="2">
        <v>57600</v>
      </c>
    </row>
    <row r="824" spans="1:27" x14ac:dyDescent="0.3">
      <c r="A824" s="3">
        <v>13</v>
      </c>
      <c r="B824" s="2" t="str">
        <f>"12014001200"</f>
        <v>12014001200</v>
      </c>
      <c r="C824" s="2" t="s">
        <v>3110</v>
      </c>
      <c r="D824" t="s">
        <v>29</v>
      </c>
      <c r="E824" s="2" t="s">
        <v>30</v>
      </c>
      <c r="F824" s="2">
        <v>37217</v>
      </c>
      <c r="G824" s="2" t="s">
        <v>64</v>
      </c>
      <c r="H824" t="s">
        <v>2707</v>
      </c>
      <c r="I824" s="6">
        <v>32801</v>
      </c>
      <c r="J824" s="2" t="s">
        <v>3111</v>
      </c>
      <c r="K824" s="2">
        <v>52500</v>
      </c>
      <c r="L824" t="s">
        <v>2689</v>
      </c>
      <c r="M824" t="s">
        <v>29</v>
      </c>
      <c r="N824" t="s">
        <v>30</v>
      </c>
      <c r="O824">
        <v>37214</v>
      </c>
      <c r="P824" t="s">
        <v>3112</v>
      </c>
      <c r="Q824" s="2">
        <v>1.1000000000000001</v>
      </c>
      <c r="R824" s="2">
        <v>160</v>
      </c>
      <c r="S824" s="2">
        <v>283</v>
      </c>
      <c r="T824" t="s">
        <v>3113</v>
      </c>
      <c r="U824" s="6">
        <v>24924</v>
      </c>
      <c r="V824" s="2">
        <v>47037015700</v>
      </c>
      <c r="W824" s="2" t="s">
        <v>68</v>
      </c>
      <c r="X824" s="1">
        <v>45658</v>
      </c>
      <c r="Y824" s="2">
        <v>67400</v>
      </c>
      <c r="Z824" s="2">
        <v>0</v>
      </c>
      <c r="AA824" s="2">
        <v>67400</v>
      </c>
    </row>
    <row r="825" spans="1:27" x14ac:dyDescent="0.3">
      <c r="A825" s="3">
        <v>13</v>
      </c>
      <c r="B825" s="2" t="str">
        <f>"12015001400"</f>
        <v>12015001400</v>
      </c>
      <c r="C825" s="2" t="s">
        <v>3114</v>
      </c>
      <c r="D825" t="s">
        <v>29</v>
      </c>
      <c r="E825" s="2" t="s">
        <v>30</v>
      </c>
      <c r="F825" s="2">
        <v>37217</v>
      </c>
      <c r="G825" s="2" t="s">
        <v>64</v>
      </c>
      <c r="H825" t="s">
        <v>2707</v>
      </c>
      <c r="I825" s="6">
        <v>32065</v>
      </c>
      <c r="J825" s="2" t="s">
        <v>3115</v>
      </c>
      <c r="K825" s="2">
        <v>53500</v>
      </c>
      <c r="L825" t="s">
        <v>3116</v>
      </c>
      <c r="M825" t="s">
        <v>29</v>
      </c>
      <c r="N825" t="s">
        <v>30</v>
      </c>
      <c r="O825">
        <v>37214</v>
      </c>
      <c r="P825" t="s">
        <v>3117</v>
      </c>
      <c r="Q825" s="2">
        <v>0.2</v>
      </c>
      <c r="R825" s="2">
        <v>86</v>
      </c>
      <c r="S825" s="2">
        <v>120</v>
      </c>
      <c r="T825" t="s">
        <v>3044</v>
      </c>
      <c r="U825" s="6">
        <v>33721</v>
      </c>
      <c r="V825" s="2">
        <v>47037015700</v>
      </c>
      <c r="W825" s="2" t="s">
        <v>68</v>
      </c>
      <c r="X825" s="1">
        <v>45658</v>
      </c>
      <c r="Y825" s="2">
        <v>51800</v>
      </c>
      <c r="Z825" s="2">
        <v>0</v>
      </c>
      <c r="AA825" s="2">
        <v>51800</v>
      </c>
    </row>
    <row r="826" spans="1:27" x14ac:dyDescent="0.3">
      <c r="A826" s="3">
        <v>13</v>
      </c>
      <c r="B826" s="2" t="str">
        <f>"12014010500"</f>
        <v>12014010500</v>
      </c>
      <c r="C826" s="2" t="s">
        <v>3118</v>
      </c>
      <c r="D826" t="s">
        <v>29</v>
      </c>
      <c r="E826" s="2" t="s">
        <v>30</v>
      </c>
      <c r="F826" s="2">
        <v>37217</v>
      </c>
      <c r="G826" s="2" t="s">
        <v>64</v>
      </c>
      <c r="H826" t="s">
        <v>2707</v>
      </c>
      <c r="I826" s="6">
        <v>32857</v>
      </c>
      <c r="J826" s="2" t="s">
        <v>3119</v>
      </c>
      <c r="K826" s="2">
        <v>61500</v>
      </c>
      <c r="L826" t="s">
        <v>2689</v>
      </c>
      <c r="M826" t="s">
        <v>29</v>
      </c>
      <c r="N826" t="s">
        <v>30</v>
      </c>
      <c r="O826">
        <v>37214</v>
      </c>
      <c r="P826" t="s">
        <v>3120</v>
      </c>
      <c r="Q826" s="2">
        <v>0.43</v>
      </c>
      <c r="R826" s="2">
        <v>108</v>
      </c>
      <c r="S826" s="2">
        <v>153</v>
      </c>
      <c r="T826" t="s">
        <v>3121</v>
      </c>
      <c r="U826" s="6">
        <v>25157</v>
      </c>
      <c r="V826" s="2">
        <v>47037015700</v>
      </c>
      <c r="W826" s="2" t="s">
        <v>68</v>
      </c>
      <c r="X826" s="1">
        <v>45658</v>
      </c>
      <c r="Y826" s="2">
        <v>57600</v>
      </c>
      <c r="Z826" s="2">
        <v>0</v>
      </c>
      <c r="AA826" s="2">
        <v>57600</v>
      </c>
    </row>
    <row r="827" spans="1:27" x14ac:dyDescent="0.3">
      <c r="A827" s="3">
        <v>13</v>
      </c>
      <c r="B827" s="2" t="str">
        <f>"12014010600"</f>
        <v>12014010600</v>
      </c>
      <c r="C827" s="2" t="s">
        <v>3122</v>
      </c>
      <c r="D827" t="s">
        <v>29</v>
      </c>
      <c r="E827" s="2" t="s">
        <v>30</v>
      </c>
      <c r="F827" s="2">
        <v>37217</v>
      </c>
      <c r="G827" s="2" t="s">
        <v>64</v>
      </c>
      <c r="H827" t="s">
        <v>2707</v>
      </c>
      <c r="I827" s="6">
        <v>32812</v>
      </c>
      <c r="J827" s="2" t="s">
        <v>3123</v>
      </c>
      <c r="K827" s="2">
        <v>46000</v>
      </c>
      <c r="L827" t="s">
        <v>2689</v>
      </c>
      <c r="M827" t="s">
        <v>29</v>
      </c>
      <c r="N827" t="s">
        <v>30</v>
      </c>
      <c r="O827">
        <v>37214</v>
      </c>
      <c r="P827" t="s">
        <v>3124</v>
      </c>
      <c r="Q827" s="2">
        <v>0.33</v>
      </c>
      <c r="R827" s="2">
        <v>70</v>
      </c>
      <c r="S827" s="2">
        <v>179</v>
      </c>
      <c r="T827" t="s">
        <v>3125</v>
      </c>
      <c r="U827" s="6">
        <v>23232</v>
      </c>
      <c r="V827" s="2">
        <v>47037015700</v>
      </c>
      <c r="W827" s="2" t="s">
        <v>68</v>
      </c>
      <c r="X827" s="1">
        <v>45658</v>
      </c>
      <c r="Y827" s="2">
        <v>57600</v>
      </c>
      <c r="Z827" s="2">
        <v>0</v>
      </c>
      <c r="AA827" s="2">
        <v>57600</v>
      </c>
    </row>
    <row r="828" spans="1:27" x14ac:dyDescent="0.3">
      <c r="A828" s="3">
        <v>13</v>
      </c>
      <c r="B828" s="2" t="str">
        <f>"12014010700"</f>
        <v>12014010700</v>
      </c>
      <c r="C828" s="2" t="s">
        <v>3126</v>
      </c>
      <c r="D828" t="s">
        <v>29</v>
      </c>
      <c r="E828" s="2" t="s">
        <v>30</v>
      </c>
      <c r="F828" s="2">
        <v>37217</v>
      </c>
      <c r="G828" s="2" t="s">
        <v>64</v>
      </c>
      <c r="H828" t="s">
        <v>2707</v>
      </c>
      <c r="I828" s="6">
        <v>32853</v>
      </c>
      <c r="J828" s="2" t="s">
        <v>3127</v>
      </c>
      <c r="K828" s="2">
        <v>37500</v>
      </c>
      <c r="L828" t="s">
        <v>2689</v>
      </c>
      <c r="M828" t="s">
        <v>29</v>
      </c>
      <c r="N828" t="s">
        <v>30</v>
      </c>
      <c r="O828">
        <v>37214</v>
      </c>
      <c r="P828" t="s">
        <v>3128</v>
      </c>
      <c r="Q828" s="2">
        <v>0.28000000000000003</v>
      </c>
      <c r="R828" s="2">
        <v>70</v>
      </c>
      <c r="S828" s="2">
        <v>179</v>
      </c>
      <c r="T828" t="s">
        <v>3129</v>
      </c>
      <c r="U828" s="6">
        <v>21891</v>
      </c>
      <c r="V828" s="2">
        <v>47037015700</v>
      </c>
      <c r="W828" s="2" t="s">
        <v>68</v>
      </c>
      <c r="X828" s="1">
        <v>45658</v>
      </c>
      <c r="Y828" s="2">
        <v>57600</v>
      </c>
      <c r="Z828" s="2">
        <v>0</v>
      </c>
      <c r="AA828" s="2">
        <v>57600</v>
      </c>
    </row>
    <row r="829" spans="1:27" x14ac:dyDescent="0.3">
      <c r="A829" s="3">
        <v>13</v>
      </c>
      <c r="B829" s="2" t="str">
        <f>"12014010900"</f>
        <v>12014010900</v>
      </c>
      <c r="C829" s="2" t="s">
        <v>3130</v>
      </c>
      <c r="D829" t="s">
        <v>29</v>
      </c>
      <c r="E829" s="2" t="s">
        <v>30</v>
      </c>
      <c r="F829" s="2">
        <v>37217</v>
      </c>
      <c r="G829" s="2" t="s">
        <v>64</v>
      </c>
      <c r="H829" t="s">
        <v>2707</v>
      </c>
      <c r="I829" s="6">
        <v>32566</v>
      </c>
      <c r="J829" s="2" t="s">
        <v>3131</v>
      </c>
      <c r="K829" s="2">
        <v>37000</v>
      </c>
      <c r="L829" t="s">
        <v>2689</v>
      </c>
      <c r="M829" t="s">
        <v>29</v>
      </c>
      <c r="N829" t="s">
        <v>30</v>
      </c>
      <c r="O829">
        <v>37214</v>
      </c>
      <c r="P829" t="s">
        <v>3132</v>
      </c>
      <c r="Q829" s="2">
        <v>0.25</v>
      </c>
      <c r="R829" s="2">
        <v>70</v>
      </c>
      <c r="S829" s="2">
        <v>166</v>
      </c>
      <c r="T829" t="s">
        <v>3133</v>
      </c>
      <c r="U829" s="6">
        <v>26381</v>
      </c>
      <c r="V829" s="2">
        <v>47037015700</v>
      </c>
      <c r="W829" s="2" t="s">
        <v>68</v>
      </c>
      <c r="X829" s="1">
        <v>45658</v>
      </c>
      <c r="Y829" s="2">
        <v>57600</v>
      </c>
      <c r="Z829" s="2">
        <v>0</v>
      </c>
      <c r="AA829" s="2">
        <v>57600</v>
      </c>
    </row>
    <row r="830" spans="1:27" x14ac:dyDescent="0.3">
      <c r="A830" s="3">
        <v>13</v>
      </c>
      <c r="B830" s="2" t="str">
        <f>"12014001100"</f>
        <v>12014001100</v>
      </c>
      <c r="C830" s="2" t="s">
        <v>3134</v>
      </c>
      <c r="D830" t="s">
        <v>29</v>
      </c>
      <c r="E830" s="2" t="s">
        <v>30</v>
      </c>
      <c r="F830" s="2">
        <v>37217</v>
      </c>
      <c r="G830" s="2" t="s">
        <v>64</v>
      </c>
      <c r="H830" t="s">
        <v>2707</v>
      </c>
      <c r="I830" s="6">
        <v>32870</v>
      </c>
      <c r="J830" s="2" t="s">
        <v>3135</v>
      </c>
      <c r="K830" s="2">
        <v>75000</v>
      </c>
      <c r="L830" t="s">
        <v>2689</v>
      </c>
      <c r="M830" t="s">
        <v>29</v>
      </c>
      <c r="N830" t="s">
        <v>30</v>
      </c>
      <c r="O830">
        <v>37214</v>
      </c>
      <c r="P830" t="s">
        <v>3136</v>
      </c>
      <c r="Q830" s="2">
        <v>0.89</v>
      </c>
      <c r="R830" s="2">
        <v>150</v>
      </c>
      <c r="S830" s="2">
        <v>283</v>
      </c>
      <c r="T830" t="s">
        <v>3137</v>
      </c>
      <c r="U830" s="6">
        <v>18545</v>
      </c>
      <c r="V830" s="2">
        <v>47037015700</v>
      </c>
      <c r="W830" s="2" t="s">
        <v>68</v>
      </c>
      <c r="X830" s="1">
        <v>45658</v>
      </c>
      <c r="Y830" s="2">
        <v>63400</v>
      </c>
      <c r="Z830" s="2">
        <v>0</v>
      </c>
      <c r="AA830" s="2">
        <v>63400</v>
      </c>
    </row>
    <row r="831" spans="1:27" x14ac:dyDescent="0.3">
      <c r="A831" s="3">
        <v>13</v>
      </c>
      <c r="B831" s="2" t="str">
        <f>"12014011100"</f>
        <v>12014011100</v>
      </c>
      <c r="C831" s="2" t="s">
        <v>3138</v>
      </c>
      <c r="D831" t="s">
        <v>29</v>
      </c>
      <c r="E831" s="2" t="s">
        <v>30</v>
      </c>
      <c r="F831" s="2">
        <v>37217</v>
      </c>
      <c r="G831" s="2" t="s">
        <v>64</v>
      </c>
      <c r="H831" t="s">
        <v>2707</v>
      </c>
      <c r="I831" s="6">
        <v>32653</v>
      </c>
      <c r="J831" s="2" t="s">
        <v>3139</v>
      </c>
      <c r="K831" s="2">
        <v>58000</v>
      </c>
      <c r="L831" t="s">
        <v>2689</v>
      </c>
      <c r="M831" t="s">
        <v>29</v>
      </c>
      <c r="N831" t="s">
        <v>30</v>
      </c>
      <c r="O831">
        <v>37214</v>
      </c>
      <c r="P831" t="s">
        <v>3140</v>
      </c>
      <c r="Q831" s="2">
        <v>0.26</v>
      </c>
      <c r="R831" s="2">
        <v>70</v>
      </c>
      <c r="S831" s="2">
        <v>161</v>
      </c>
      <c r="T831" t="s">
        <v>3141</v>
      </c>
      <c r="U831" s="6">
        <v>18489</v>
      </c>
      <c r="V831" s="2">
        <v>47037015700</v>
      </c>
      <c r="W831" s="2" t="s">
        <v>68</v>
      </c>
      <c r="X831" s="1">
        <v>45658</v>
      </c>
      <c r="Y831" s="2">
        <v>57600</v>
      </c>
      <c r="Z831" s="2">
        <v>0</v>
      </c>
      <c r="AA831" s="2">
        <v>57600</v>
      </c>
    </row>
    <row r="832" spans="1:27" x14ac:dyDescent="0.3">
      <c r="A832" s="3">
        <v>13</v>
      </c>
      <c r="B832" s="2" t="str">
        <f>"12014011200"</f>
        <v>12014011200</v>
      </c>
      <c r="C832" s="2" t="s">
        <v>3142</v>
      </c>
      <c r="D832" t="s">
        <v>29</v>
      </c>
      <c r="E832" s="2" t="s">
        <v>30</v>
      </c>
      <c r="F832" s="2">
        <v>37217</v>
      </c>
      <c r="G832" s="2" t="s">
        <v>64</v>
      </c>
      <c r="H832" t="s">
        <v>2707</v>
      </c>
      <c r="I832" s="6">
        <v>32570</v>
      </c>
      <c r="J832" s="2" t="s">
        <v>3143</v>
      </c>
      <c r="K832" s="2">
        <v>56000</v>
      </c>
      <c r="L832" t="s">
        <v>2689</v>
      </c>
      <c r="M832" t="s">
        <v>29</v>
      </c>
      <c r="N832" t="s">
        <v>30</v>
      </c>
      <c r="O832">
        <v>37214</v>
      </c>
      <c r="P832" t="s">
        <v>3144</v>
      </c>
      <c r="Q832" s="2">
        <v>0.4</v>
      </c>
      <c r="R832" s="2">
        <v>105</v>
      </c>
      <c r="S832" s="2">
        <v>161</v>
      </c>
      <c r="T832" t="s">
        <v>3145</v>
      </c>
      <c r="U832" s="6">
        <v>24642</v>
      </c>
      <c r="V832" s="2">
        <v>47037015700</v>
      </c>
      <c r="W832" s="2" t="s">
        <v>68</v>
      </c>
      <c r="X832" s="1">
        <v>45658</v>
      </c>
      <c r="Y832" s="2">
        <v>57600</v>
      </c>
      <c r="Z832" s="2">
        <v>0</v>
      </c>
      <c r="AA832" s="2">
        <v>57600</v>
      </c>
    </row>
    <row r="833" spans="1:27" x14ac:dyDescent="0.3">
      <c r="A833" s="3">
        <v>13</v>
      </c>
      <c r="B833" s="2" t="str">
        <f>"12014014000"</f>
        <v>12014014000</v>
      </c>
      <c r="C833" s="2" t="s">
        <v>3146</v>
      </c>
      <c r="D833" t="s">
        <v>29</v>
      </c>
      <c r="E833" s="2" t="s">
        <v>30</v>
      </c>
      <c r="F833" s="2">
        <v>37217</v>
      </c>
      <c r="G833" s="2" t="s">
        <v>64</v>
      </c>
      <c r="H833" t="s">
        <v>2707</v>
      </c>
      <c r="I833" s="6">
        <v>32841</v>
      </c>
      <c r="J833" s="2" t="s">
        <v>3147</v>
      </c>
      <c r="K833" s="2">
        <v>45900</v>
      </c>
      <c r="L833" t="s">
        <v>2689</v>
      </c>
      <c r="M833" t="s">
        <v>29</v>
      </c>
      <c r="N833" t="s">
        <v>30</v>
      </c>
      <c r="O833">
        <v>37214</v>
      </c>
      <c r="P833" t="s">
        <v>3148</v>
      </c>
      <c r="Q833" s="2">
        <v>0.49</v>
      </c>
      <c r="R833" s="2">
        <v>116</v>
      </c>
      <c r="S833" s="2">
        <v>153</v>
      </c>
      <c r="T833" t="s">
        <v>3149</v>
      </c>
      <c r="U833" s="6">
        <v>24833</v>
      </c>
      <c r="V833" s="2">
        <v>47037015700</v>
      </c>
      <c r="W833" s="2" t="s">
        <v>68</v>
      </c>
      <c r="X833" s="1">
        <v>45658</v>
      </c>
      <c r="Y833" s="2">
        <v>63400</v>
      </c>
      <c r="Z833" s="2">
        <v>0</v>
      </c>
      <c r="AA833" s="2">
        <v>63400</v>
      </c>
    </row>
    <row r="834" spans="1:27" x14ac:dyDescent="0.3">
      <c r="A834" s="3">
        <v>13</v>
      </c>
      <c r="B834" s="2" t="str">
        <f>"12014011300"</f>
        <v>12014011300</v>
      </c>
      <c r="C834" s="2" t="s">
        <v>3150</v>
      </c>
      <c r="D834" t="s">
        <v>29</v>
      </c>
      <c r="E834" s="2" t="s">
        <v>30</v>
      </c>
      <c r="F834" s="2">
        <v>37217</v>
      </c>
      <c r="G834" s="2" t="s">
        <v>64</v>
      </c>
      <c r="H834" t="s">
        <v>2707</v>
      </c>
      <c r="I834" s="6">
        <v>32349</v>
      </c>
      <c r="J834" s="2" t="s">
        <v>3151</v>
      </c>
      <c r="K834" s="2">
        <v>81000</v>
      </c>
      <c r="L834" t="s">
        <v>2689</v>
      </c>
      <c r="M834" t="s">
        <v>29</v>
      </c>
      <c r="N834" t="s">
        <v>30</v>
      </c>
      <c r="O834">
        <v>37214</v>
      </c>
      <c r="P834" t="s">
        <v>3152</v>
      </c>
      <c r="Q834" s="2">
        <v>0.4</v>
      </c>
      <c r="R834" s="2">
        <v>105</v>
      </c>
      <c r="S834" s="2">
        <v>161</v>
      </c>
      <c r="T834" t="s">
        <v>3153</v>
      </c>
      <c r="U834" s="6">
        <v>21305</v>
      </c>
      <c r="V834" s="2">
        <v>47037015700</v>
      </c>
      <c r="W834" s="2" t="s">
        <v>68</v>
      </c>
      <c r="X834" s="1">
        <v>45658</v>
      </c>
      <c r="Y834" s="2">
        <v>57600</v>
      </c>
      <c r="Z834" s="2">
        <v>0</v>
      </c>
      <c r="AA834" s="2">
        <v>57600</v>
      </c>
    </row>
    <row r="835" spans="1:27" x14ac:dyDescent="0.3">
      <c r="A835" s="3">
        <v>13</v>
      </c>
      <c r="B835" s="2" t="str">
        <f>"12014011400"</f>
        <v>12014011400</v>
      </c>
      <c r="C835" s="2" t="s">
        <v>3154</v>
      </c>
      <c r="D835" t="s">
        <v>29</v>
      </c>
      <c r="E835" s="2" t="s">
        <v>30</v>
      </c>
      <c r="F835" s="2">
        <v>37217</v>
      </c>
      <c r="G835" s="2" t="s">
        <v>64</v>
      </c>
      <c r="H835" t="s">
        <v>2707</v>
      </c>
      <c r="I835" s="6">
        <v>32370</v>
      </c>
      <c r="J835" s="2" t="s">
        <v>3155</v>
      </c>
      <c r="K835" s="2">
        <v>65000</v>
      </c>
      <c r="L835" t="s">
        <v>2689</v>
      </c>
      <c r="M835" t="s">
        <v>29</v>
      </c>
      <c r="N835" t="s">
        <v>30</v>
      </c>
      <c r="O835">
        <v>37214</v>
      </c>
      <c r="P835" t="s">
        <v>3156</v>
      </c>
      <c r="Q835" s="2">
        <v>0.26</v>
      </c>
      <c r="R835" s="2">
        <v>70</v>
      </c>
      <c r="S835" s="2">
        <v>161</v>
      </c>
      <c r="T835" t="s">
        <v>3157</v>
      </c>
      <c r="U835" s="6">
        <v>17938</v>
      </c>
      <c r="V835" s="2">
        <v>47037015700</v>
      </c>
      <c r="W835" s="2" t="s">
        <v>68</v>
      </c>
      <c r="X835" s="1">
        <v>45658</v>
      </c>
      <c r="Y835" s="2">
        <v>57600</v>
      </c>
      <c r="Z835" s="2">
        <v>0</v>
      </c>
      <c r="AA835" s="2">
        <v>57600</v>
      </c>
    </row>
    <row r="836" spans="1:27" x14ac:dyDescent="0.3">
      <c r="A836" s="3">
        <v>13</v>
      </c>
      <c r="B836" s="2" t="str">
        <f>"12014011500"</f>
        <v>12014011500</v>
      </c>
      <c r="C836" s="2" t="s">
        <v>3158</v>
      </c>
      <c r="D836" t="s">
        <v>29</v>
      </c>
      <c r="E836" s="2" t="s">
        <v>30</v>
      </c>
      <c r="F836" s="2">
        <v>37217</v>
      </c>
      <c r="G836" s="2" t="s">
        <v>64</v>
      </c>
      <c r="H836" t="s">
        <v>2707</v>
      </c>
      <c r="I836" s="6">
        <v>32050</v>
      </c>
      <c r="J836" s="2" t="s">
        <v>3159</v>
      </c>
      <c r="K836" s="2">
        <v>58500</v>
      </c>
      <c r="L836" t="s">
        <v>2689</v>
      </c>
      <c r="M836" t="s">
        <v>29</v>
      </c>
      <c r="N836" t="s">
        <v>30</v>
      </c>
      <c r="O836">
        <v>37214</v>
      </c>
      <c r="P836" t="s">
        <v>3160</v>
      </c>
      <c r="Q836" s="2">
        <v>0.26</v>
      </c>
      <c r="R836" s="2">
        <v>70</v>
      </c>
      <c r="S836" s="2">
        <v>161</v>
      </c>
      <c r="T836" t="s">
        <v>3161</v>
      </c>
      <c r="U836" s="6">
        <v>18205</v>
      </c>
      <c r="V836" s="2">
        <v>47037015700</v>
      </c>
      <c r="W836" s="2" t="s">
        <v>68</v>
      </c>
      <c r="X836" s="1">
        <v>45658</v>
      </c>
      <c r="Y836" s="2">
        <v>57600</v>
      </c>
      <c r="Z836" s="2">
        <v>0</v>
      </c>
      <c r="AA836" s="2">
        <v>57600</v>
      </c>
    </row>
    <row r="837" spans="1:27" x14ac:dyDescent="0.3">
      <c r="A837" s="3">
        <v>13</v>
      </c>
      <c r="B837" s="2" t="str">
        <f>"12014011600"</f>
        <v>12014011600</v>
      </c>
      <c r="C837" s="2" t="s">
        <v>3162</v>
      </c>
      <c r="D837" t="s">
        <v>29</v>
      </c>
      <c r="E837" s="2" t="s">
        <v>30</v>
      </c>
      <c r="F837" s="2">
        <v>37217</v>
      </c>
      <c r="G837" s="2" t="s">
        <v>64</v>
      </c>
      <c r="H837" t="s">
        <v>2707</v>
      </c>
      <c r="I837" s="6">
        <v>32099</v>
      </c>
      <c r="J837" s="2" t="s">
        <v>3163</v>
      </c>
      <c r="K837" s="2">
        <v>54500</v>
      </c>
      <c r="L837" t="s">
        <v>2689</v>
      </c>
      <c r="M837" t="s">
        <v>29</v>
      </c>
      <c r="N837" t="s">
        <v>30</v>
      </c>
      <c r="O837">
        <v>37214</v>
      </c>
      <c r="P837" t="s">
        <v>3164</v>
      </c>
      <c r="Q837" s="2">
        <v>0.26</v>
      </c>
      <c r="R837" s="2">
        <v>70</v>
      </c>
      <c r="S837" s="2">
        <v>161</v>
      </c>
      <c r="T837" t="s">
        <v>3165</v>
      </c>
      <c r="U837" s="6">
        <v>26931</v>
      </c>
      <c r="V837" s="2">
        <v>47037015700</v>
      </c>
      <c r="W837" s="2" t="s">
        <v>68</v>
      </c>
      <c r="X837" s="1">
        <v>45658</v>
      </c>
      <c r="Y837" s="2">
        <v>57600</v>
      </c>
      <c r="Z837" s="2">
        <v>0</v>
      </c>
      <c r="AA837" s="2">
        <v>57600</v>
      </c>
    </row>
    <row r="838" spans="1:27" x14ac:dyDescent="0.3">
      <c r="A838" s="3">
        <v>13</v>
      </c>
      <c r="B838" s="2" t="str">
        <f>"12014011700"</f>
        <v>12014011700</v>
      </c>
      <c r="C838" s="2" t="s">
        <v>3166</v>
      </c>
      <c r="D838" t="s">
        <v>29</v>
      </c>
      <c r="E838" s="2" t="s">
        <v>30</v>
      </c>
      <c r="F838" s="2">
        <v>37217</v>
      </c>
      <c r="G838" s="2" t="s">
        <v>64</v>
      </c>
      <c r="H838" t="s">
        <v>2707</v>
      </c>
      <c r="I838" s="6">
        <v>32309</v>
      </c>
      <c r="J838" s="2" t="s">
        <v>3167</v>
      </c>
      <c r="K838" s="2">
        <v>58800</v>
      </c>
      <c r="L838" t="s">
        <v>2689</v>
      </c>
      <c r="M838" t="s">
        <v>29</v>
      </c>
      <c r="N838" t="s">
        <v>30</v>
      </c>
      <c r="O838">
        <v>37214</v>
      </c>
      <c r="P838" t="s">
        <v>3168</v>
      </c>
      <c r="Q838" s="2">
        <v>0.26</v>
      </c>
      <c r="R838" s="2">
        <v>70</v>
      </c>
      <c r="S838" s="2">
        <v>161</v>
      </c>
      <c r="T838" t="s">
        <v>3169</v>
      </c>
      <c r="U838" s="6">
        <v>26303</v>
      </c>
      <c r="V838" s="2">
        <v>47037015700</v>
      </c>
      <c r="W838" s="2" t="s">
        <v>68</v>
      </c>
      <c r="X838" s="1">
        <v>45658</v>
      </c>
      <c r="Y838" s="2">
        <v>57600</v>
      </c>
      <c r="Z838" s="2">
        <v>0</v>
      </c>
      <c r="AA838" s="2">
        <v>57600</v>
      </c>
    </row>
    <row r="839" spans="1:27" x14ac:dyDescent="0.3">
      <c r="A839" s="3">
        <v>13</v>
      </c>
      <c r="B839" s="2" t="str">
        <f>"12014011900"</f>
        <v>12014011900</v>
      </c>
      <c r="C839" s="2" t="s">
        <v>3170</v>
      </c>
      <c r="D839" t="s">
        <v>29</v>
      </c>
      <c r="E839" s="2" t="s">
        <v>30</v>
      </c>
      <c r="F839" s="2">
        <v>37217</v>
      </c>
      <c r="G839" s="2" t="s">
        <v>64</v>
      </c>
      <c r="H839" t="s">
        <v>2707</v>
      </c>
      <c r="I839" s="6">
        <v>32197</v>
      </c>
      <c r="J839" s="2" t="s">
        <v>3171</v>
      </c>
      <c r="K839" s="2">
        <v>47500</v>
      </c>
      <c r="L839" t="s">
        <v>2689</v>
      </c>
      <c r="M839" t="s">
        <v>29</v>
      </c>
      <c r="N839" t="s">
        <v>30</v>
      </c>
      <c r="O839">
        <v>37214</v>
      </c>
      <c r="P839" t="s">
        <v>3172</v>
      </c>
      <c r="Q839" s="2">
        <v>0.26</v>
      </c>
      <c r="R839" s="2">
        <v>70</v>
      </c>
      <c r="S839" s="2">
        <v>164</v>
      </c>
      <c r="T839" t="s">
        <v>3173</v>
      </c>
      <c r="U839" s="6">
        <v>20662</v>
      </c>
      <c r="V839" s="2">
        <v>47037015700</v>
      </c>
      <c r="W839" s="2" t="s">
        <v>68</v>
      </c>
      <c r="X839" s="1">
        <v>45658</v>
      </c>
      <c r="Y839" s="2">
        <v>57600</v>
      </c>
      <c r="Z839" s="2">
        <v>0</v>
      </c>
      <c r="AA839" s="2">
        <v>57600</v>
      </c>
    </row>
    <row r="840" spans="1:27" x14ac:dyDescent="0.3">
      <c r="A840" s="3">
        <v>13</v>
      </c>
      <c r="B840" s="2" t="str">
        <f>"12014012000"</f>
        <v>12014012000</v>
      </c>
      <c r="C840" s="2" t="s">
        <v>3174</v>
      </c>
      <c r="D840" t="s">
        <v>29</v>
      </c>
      <c r="E840" s="2" t="s">
        <v>30</v>
      </c>
      <c r="F840" s="2">
        <v>37217</v>
      </c>
      <c r="G840" s="2" t="s">
        <v>64</v>
      </c>
      <c r="H840" t="s">
        <v>2707</v>
      </c>
      <c r="I840" s="6">
        <v>32279</v>
      </c>
      <c r="J840" s="2" t="s">
        <v>3175</v>
      </c>
      <c r="K840" s="2">
        <v>54000</v>
      </c>
      <c r="L840" t="s">
        <v>2689</v>
      </c>
      <c r="M840" t="s">
        <v>29</v>
      </c>
      <c r="N840" t="s">
        <v>30</v>
      </c>
      <c r="O840">
        <v>37214</v>
      </c>
      <c r="P840" t="s">
        <v>3176</v>
      </c>
      <c r="Q840" s="2">
        <v>0.25</v>
      </c>
      <c r="R840" s="2">
        <v>69</v>
      </c>
      <c r="S840" s="2">
        <v>164</v>
      </c>
      <c r="T840" t="s">
        <v>3044</v>
      </c>
      <c r="U840" s="6">
        <v>33721</v>
      </c>
      <c r="V840" s="2">
        <v>47037015700</v>
      </c>
      <c r="W840" s="2" t="s">
        <v>68</v>
      </c>
      <c r="X840" s="1">
        <v>45658</v>
      </c>
      <c r="Y840" s="2">
        <v>57600</v>
      </c>
      <c r="Z840" s="2">
        <v>0</v>
      </c>
      <c r="AA840" s="2">
        <v>57600</v>
      </c>
    </row>
    <row r="841" spans="1:27" x14ac:dyDescent="0.3">
      <c r="A841" s="3">
        <v>13</v>
      </c>
      <c r="B841" s="2" t="str">
        <f>"12014012100"</f>
        <v>12014012100</v>
      </c>
      <c r="C841" s="2" t="s">
        <v>3177</v>
      </c>
      <c r="D841" t="s">
        <v>29</v>
      </c>
      <c r="E841" s="2" t="s">
        <v>30</v>
      </c>
      <c r="F841" s="2">
        <v>37217</v>
      </c>
      <c r="G841" s="2" t="s">
        <v>64</v>
      </c>
      <c r="H841" t="s">
        <v>2707</v>
      </c>
      <c r="I841" s="6">
        <v>33051</v>
      </c>
      <c r="J841" s="2" t="s">
        <v>3178</v>
      </c>
      <c r="K841" s="2">
        <v>65000</v>
      </c>
      <c r="L841" t="s">
        <v>2689</v>
      </c>
      <c r="M841" t="s">
        <v>29</v>
      </c>
      <c r="N841" t="s">
        <v>30</v>
      </c>
      <c r="O841">
        <v>37214</v>
      </c>
      <c r="P841" t="s">
        <v>3179</v>
      </c>
      <c r="Q841" s="2">
        <v>0.17</v>
      </c>
      <c r="R841" s="2">
        <v>101</v>
      </c>
      <c r="S841" s="2">
        <v>152</v>
      </c>
      <c r="T841" t="s">
        <v>3044</v>
      </c>
      <c r="U841" s="6">
        <v>33721</v>
      </c>
      <c r="V841" s="2">
        <v>47037015700</v>
      </c>
      <c r="W841" s="2" t="s">
        <v>68</v>
      </c>
      <c r="X841" s="1">
        <v>45658</v>
      </c>
      <c r="Y841" s="2">
        <v>51800</v>
      </c>
      <c r="Z841" s="2">
        <v>0</v>
      </c>
      <c r="AA841" s="2">
        <v>51800</v>
      </c>
    </row>
    <row r="842" spans="1:27" x14ac:dyDescent="0.3">
      <c r="A842" s="3">
        <v>13</v>
      </c>
      <c r="B842" s="2" t="str">
        <f>"12014013900"</f>
        <v>12014013900</v>
      </c>
      <c r="C842" s="2" t="s">
        <v>3180</v>
      </c>
      <c r="D842" t="s">
        <v>29</v>
      </c>
      <c r="E842" s="2" t="s">
        <v>30</v>
      </c>
      <c r="F842" s="2">
        <v>37217</v>
      </c>
      <c r="G842" s="2" t="s">
        <v>64</v>
      </c>
      <c r="H842" t="s">
        <v>2707</v>
      </c>
      <c r="I842" s="6">
        <v>32832</v>
      </c>
      <c r="J842" s="2" t="s">
        <v>3181</v>
      </c>
      <c r="K842" s="2">
        <v>45000</v>
      </c>
      <c r="L842" t="s">
        <v>2689</v>
      </c>
      <c r="M842" t="s">
        <v>29</v>
      </c>
      <c r="N842" t="s">
        <v>30</v>
      </c>
      <c r="O842">
        <v>37217</v>
      </c>
      <c r="P842" t="s">
        <v>3182</v>
      </c>
      <c r="Q842" s="2">
        <v>0.25</v>
      </c>
      <c r="R842" s="2">
        <v>85</v>
      </c>
      <c r="S842" s="2">
        <v>153</v>
      </c>
      <c r="T842" t="s">
        <v>3183</v>
      </c>
      <c r="U842" s="6">
        <v>27158</v>
      </c>
      <c r="V842" s="2">
        <v>47037015700</v>
      </c>
      <c r="W842" s="2" t="s">
        <v>68</v>
      </c>
      <c r="X842" s="1">
        <v>45658</v>
      </c>
      <c r="Y842" s="2">
        <v>57600</v>
      </c>
      <c r="Z842" s="2">
        <v>0</v>
      </c>
      <c r="AA842" s="2">
        <v>57600</v>
      </c>
    </row>
    <row r="843" spans="1:27" x14ac:dyDescent="0.3">
      <c r="A843" s="3">
        <v>13</v>
      </c>
      <c r="B843" s="2" t="str">
        <f>"12014013800"</f>
        <v>12014013800</v>
      </c>
      <c r="C843" s="2" t="s">
        <v>3184</v>
      </c>
      <c r="D843" t="s">
        <v>29</v>
      </c>
      <c r="E843" s="2" t="s">
        <v>30</v>
      </c>
      <c r="F843" s="2">
        <v>37217</v>
      </c>
      <c r="G843" s="2" t="s">
        <v>64</v>
      </c>
      <c r="H843" t="s">
        <v>2707</v>
      </c>
      <c r="I843" s="6">
        <v>32848</v>
      </c>
      <c r="J843" s="2" t="s">
        <v>3185</v>
      </c>
      <c r="K843" s="2">
        <v>46000</v>
      </c>
      <c r="L843" t="s">
        <v>2689</v>
      </c>
      <c r="M843" t="s">
        <v>29</v>
      </c>
      <c r="N843" t="s">
        <v>30</v>
      </c>
      <c r="O843">
        <v>37214</v>
      </c>
      <c r="P843" t="s">
        <v>3186</v>
      </c>
      <c r="Q843" s="2">
        <v>0.23</v>
      </c>
      <c r="R843" s="2">
        <v>85</v>
      </c>
      <c r="S843" s="2">
        <v>149</v>
      </c>
      <c r="T843" t="s">
        <v>3187</v>
      </c>
      <c r="U843" s="6">
        <v>25839</v>
      </c>
      <c r="V843" s="2">
        <v>47037015700</v>
      </c>
      <c r="W843" s="2" t="s">
        <v>68</v>
      </c>
      <c r="X843" s="1">
        <v>45658</v>
      </c>
      <c r="Y843" s="2">
        <v>57600</v>
      </c>
      <c r="Z843" s="2">
        <v>0</v>
      </c>
      <c r="AA843" s="2">
        <v>57600</v>
      </c>
    </row>
    <row r="844" spans="1:27" x14ac:dyDescent="0.3">
      <c r="A844" s="3">
        <v>13</v>
      </c>
      <c r="B844" s="2" t="str">
        <f>"12014013700"</f>
        <v>12014013700</v>
      </c>
      <c r="C844" s="2" t="s">
        <v>3188</v>
      </c>
      <c r="D844" t="s">
        <v>29</v>
      </c>
      <c r="E844" s="2" t="s">
        <v>30</v>
      </c>
      <c r="F844" s="2">
        <v>37217</v>
      </c>
      <c r="G844" s="2" t="s">
        <v>64</v>
      </c>
      <c r="H844" t="s">
        <v>2707</v>
      </c>
      <c r="I844" s="6">
        <v>32877</v>
      </c>
      <c r="J844" s="2" t="s">
        <v>3189</v>
      </c>
      <c r="K844" s="2">
        <v>54500</v>
      </c>
      <c r="L844" t="s">
        <v>2689</v>
      </c>
      <c r="M844" t="s">
        <v>29</v>
      </c>
      <c r="N844" t="s">
        <v>30</v>
      </c>
      <c r="O844">
        <v>37214</v>
      </c>
      <c r="P844" t="s">
        <v>3190</v>
      </c>
      <c r="Q844" s="2">
        <v>0.25</v>
      </c>
      <c r="R844" s="2">
        <v>85</v>
      </c>
      <c r="S844" s="2">
        <v>145</v>
      </c>
      <c r="T844" t="s">
        <v>3191</v>
      </c>
      <c r="U844" s="6">
        <v>26175</v>
      </c>
      <c r="V844" s="2">
        <v>47037015700</v>
      </c>
      <c r="W844" s="2" t="s">
        <v>68</v>
      </c>
      <c r="X844" s="1">
        <v>45658</v>
      </c>
      <c r="Y844" s="2">
        <v>57600</v>
      </c>
      <c r="Z844" s="2">
        <v>0</v>
      </c>
      <c r="AA844" s="2">
        <v>57600</v>
      </c>
    </row>
    <row r="845" spans="1:27" x14ac:dyDescent="0.3">
      <c r="A845" s="3">
        <v>13</v>
      </c>
      <c r="B845" s="2" t="str">
        <f>"12014013600"</f>
        <v>12014013600</v>
      </c>
      <c r="C845" s="2" t="s">
        <v>3192</v>
      </c>
      <c r="D845" t="s">
        <v>29</v>
      </c>
      <c r="E845" s="2" t="s">
        <v>30</v>
      </c>
      <c r="F845" s="2">
        <v>37217</v>
      </c>
      <c r="G845" s="2" t="s">
        <v>64</v>
      </c>
      <c r="H845" t="s">
        <v>2707</v>
      </c>
      <c r="I845" s="6">
        <v>32801</v>
      </c>
      <c r="J845" s="2" t="s">
        <v>3193</v>
      </c>
      <c r="K845" s="2">
        <v>48000</v>
      </c>
      <c r="L845" t="s">
        <v>2689</v>
      </c>
      <c r="M845" t="s">
        <v>29</v>
      </c>
      <c r="N845" t="s">
        <v>30</v>
      </c>
      <c r="O845">
        <v>37214</v>
      </c>
      <c r="P845" t="s">
        <v>3194</v>
      </c>
      <c r="Q845" s="2">
        <v>0.23</v>
      </c>
      <c r="R845" s="2">
        <v>70</v>
      </c>
      <c r="S845" s="2">
        <v>147</v>
      </c>
      <c r="T845" t="s">
        <v>3195</v>
      </c>
      <c r="U845" s="6">
        <v>20223</v>
      </c>
      <c r="V845" s="2">
        <v>47037015700</v>
      </c>
      <c r="W845" s="2" t="s">
        <v>68</v>
      </c>
      <c r="X845" s="1">
        <v>45658</v>
      </c>
      <c r="Y845" s="2">
        <v>57600</v>
      </c>
      <c r="Z845" s="2">
        <v>0</v>
      </c>
      <c r="AA845" s="2">
        <v>57600</v>
      </c>
    </row>
    <row r="846" spans="1:27" x14ac:dyDescent="0.3">
      <c r="A846" s="3">
        <v>13</v>
      </c>
      <c r="B846" s="2" t="str">
        <f>"12014013500"</f>
        <v>12014013500</v>
      </c>
      <c r="C846" s="2" t="s">
        <v>3196</v>
      </c>
      <c r="D846" t="s">
        <v>29</v>
      </c>
      <c r="E846" s="2" t="s">
        <v>30</v>
      </c>
      <c r="F846" s="2">
        <v>37217</v>
      </c>
      <c r="G846" s="2" t="s">
        <v>64</v>
      </c>
      <c r="H846" t="s">
        <v>2707</v>
      </c>
      <c r="I846" s="6">
        <v>33953</v>
      </c>
      <c r="J846" s="2" t="s">
        <v>3197</v>
      </c>
      <c r="K846" s="2" t="s">
        <v>34</v>
      </c>
      <c r="L846" t="s">
        <v>2689</v>
      </c>
      <c r="M846" t="s">
        <v>29</v>
      </c>
      <c r="N846" t="s">
        <v>30</v>
      </c>
      <c r="O846">
        <v>37214</v>
      </c>
      <c r="P846" t="s">
        <v>3198</v>
      </c>
      <c r="Q846" s="2">
        <v>0.22</v>
      </c>
      <c r="R846" s="2">
        <v>70</v>
      </c>
      <c r="S846" s="2">
        <v>149</v>
      </c>
      <c r="T846" t="s">
        <v>3199</v>
      </c>
      <c r="U846" s="6">
        <v>17049</v>
      </c>
      <c r="V846" s="2">
        <v>47037015700</v>
      </c>
      <c r="W846" s="2" t="s">
        <v>68</v>
      </c>
      <c r="X846" s="1">
        <v>45658</v>
      </c>
      <c r="Y846" s="2">
        <v>51800</v>
      </c>
      <c r="Z846" s="2">
        <v>0</v>
      </c>
      <c r="AA846" s="2">
        <v>51800</v>
      </c>
    </row>
    <row r="847" spans="1:27" x14ac:dyDescent="0.3">
      <c r="A847" s="3">
        <v>13</v>
      </c>
      <c r="B847" s="2" t="str">
        <f>"12014013400"</f>
        <v>12014013400</v>
      </c>
      <c r="C847" s="2" t="s">
        <v>3200</v>
      </c>
      <c r="D847" t="s">
        <v>29</v>
      </c>
      <c r="E847" s="2" t="s">
        <v>30</v>
      </c>
      <c r="F847" s="2">
        <v>37217</v>
      </c>
      <c r="G847" s="2" t="s">
        <v>64</v>
      </c>
      <c r="H847" t="s">
        <v>2707</v>
      </c>
      <c r="I847" s="6">
        <v>32566</v>
      </c>
      <c r="J847" s="2" t="s">
        <v>3201</v>
      </c>
      <c r="K847" s="2">
        <v>66000</v>
      </c>
      <c r="L847" t="s">
        <v>2689</v>
      </c>
      <c r="M847" t="s">
        <v>29</v>
      </c>
      <c r="N847" t="s">
        <v>30</v>
      </c>
      <c r="O847">
        <v>37214</v>
      </c>
      <c r="P847" t="s">
        <v>3202</v>
      </c>
      <c r="Q847" s="2">
        <v>0.22</v>
      </c>
      <c r="R847" s="2">
        <v>70</v>
      </c>
      <c r="S847" s="2">
        <v>150</v>
      </c>
      <c r="T847" t="s">
        <v>3203</v>
      </c>
      <c r="U847" s="6">
        <v>23793</v>
      </c>
      <c r="V847" s="2">
        <v>47037015700</v>
      </c>
      <c r="W847" s="2" t="s">
        <v>68</v>
      </c>
      <c r="X847" s="1">
        <v>45658</v>
      </c>
      <c r="Y847" s="2">
        <v>51800</v>
      </c>
      <c r="Z847" s="2">
        <v>0</v>
      </c>
      <c r="AA847" s="2">
        <v>51800</v>
      </c>
    </row>
    <row r="848" spans="1:27" x14ac:dyDescent="0.3">
      <c r="A848" s="3">
        <v>13</v>
      </c>
      <c r="B848" s="2" t="str">
        <f>"12014013300"</f>
        <v>12014013300</v>
      </c>
      <c r="C848" s="2" t="s">
        <v>3204</v>
      </c>
      <c r="D848" t="s">
        <v>29</v>
      </c>
      <c r="E848" s="2" t="s">
        <v>30</v>
      </c>
      <c r="F848" s="2">
        <v>37217</v>
      </c>
      <c r="G848" s="2" t="s">
        <v>64</v>
      </c>
      <c r="H848" t="s">
        <v>2707</v>
      </c>
      <c r="I848" s="6">
        <v>32617</v>
      </c>
      <c r="J848" s="2" t="s">
        <v>3205</v>
      </c>
      <c r="K848" s="2">
        <v>47000</v>
      </c>
      <c r="L848" t="s">
        <v>2689</v>
      </c>
      <c r="M848" t="s">
        <v>29</v>
      </c>
      <c r="N848" t="s">
        <v>30</v>
      </c>
      <c r="O848">
        <v>37214</v>
      </c>
      <c r="P848" t="s">
        <v>3206</v>
      </c>
      <c r="Q848" s="2">
        <v>0.21</v>
      </c>
      <c r="R848" s="2">
        <v>70</v>
      </c>
      <c r="S848" s="2">
        <v>153</v>
      </c>
      <c r="T848" t="s">
        <v>3207</v>
      </c>
      <c r="U848" s="6">
        <v>25514</v>
      </c>
      <c r="V848" s="2">
        <v>47037015700</v>
      </c>
      <c r="W848" s="2" t="s">
        <v>68</v>
      </c>
      <c r="X848" s="1">
        <v>45658</v>
      </c>
      <c r="Y848" s="2">
        <v>51800</v>
      </c>
      <c r="Z848" s="2">
        <v>0</v>
      </c>
      <c r="AA848" s="2">
        <v>51800</v>
      </c>
    </row>
    <row r="849" spans="1:27" x14ac:dyDescent="0.3">
      <c r="A849" s="3">
        <v>13</v>
      </c>
      <c r="B849" s="2" t="str">
        <f>"12014013200"</f>
        <v>12014013200</v>
      </c>
      <c r="C849" s="2" t="s">
        <v>3208</v>
      </c>
      <c r="D849" t="s">
        <v>29</v>
      </c>
      <c r="E849" s="2" t="s">
        <v>30</v>
      </c>
      <c r="F849" s="2">
        <v>37217</v>
      </c>
      <c r="G849" s="2" t="s">
        <v>64</v>
      </c>
      <c r="H849" t="s">
        <v>2707</v>
      </c>
      <c r="I849" s="6">
        <v>32582</v>
      </c>
      <c r="J849" s="2" t="s">
        <v>3209</v>
      </c>
      <c r="K849" s="2">
        <v>66500</v>
      </c>
      <c r="L849" t="s">
        <v>2689</v>
      </c>
      <c r="M849" t="s">
        <v>29</v>
      </c>
      <c r="N849" t="s">
        <v>30</v>
      </c>
      <c r="O849">
        <v>37214</v>
      </c>
      <c r="P849" t="s">
        <v>3210</v>
      </c>
      <c r="Q849" s="2">
        <v>0.25</v>
      </c>
      <c r="R849" s="2">
        <v>70</v>
      </c>
      <c r="S849" s="2">
        <v>155</v>
      </c>
      <c r="T849" t="s">
        <v>3211</v>
      </c>
      <c r="U849" s="6">
        <v>26487</v>
      </c>
      <c r="V849" s="2">
        <v>47037015700</v>
      </c>
      <c r="W849" s="2" t="s">
        <v>68</v>
      </c>
      <c r="X849" s="1">
        <v>45658</v>
      </c>
      <c r="Y849" s="2">
        <v>57600</v>
      </c>
      <c r="Z849" s="2">
        <v>0</v>
      </c>
      <c r="AA849" s="2">
        <v>57600</v>
      </c>
    </row>
    <row r="850" spans="1:27" x14ac:dyDescent="0.3">
      <c r="A850" s="3">
        <v>13</v>
      </c>
      <c r="B850" s="2" t="str">
        <f>"12014013000"</f>
        <v>12014013000</v>
      </c>
      <c r="C850" s="2" t="s">
        <v>3212</v>
      </c>
      <c r="D850" t="s">
        <v>29</v>
      </c>
      <c r="E850" s="2" t="s">
        <v>30</v>
      </c>
      <c r="F850" s="2">
        <v>37217</v>
      </c>
      <c r="G850" s="2" t="s">
        <v>64</v>
      </c>
      <c r="H850" t="s">
        <v>2707</v>
      </c>
      <c r="I850" s="6">
        <v>32421</v>
      </c>
      <c r="J850" s="2" t="s">
        <v>3213</v>
      </c>
      <c r="K850" s="2">
        <v>45000</v>
      </c>
      <c r="L850" t="s">
        <v>2689</v>
      </c>
      <c r="M850" t="s">
        <v>29</v>
      </c>
      <c r="N850" t="s">
        <v>30</v>
      </c>
      <c r="O850">
        <v>37214</v>
      </c>
      <c r="P850" t="s">
        <v>3214</v>
      </c>
      <c r="Q850" s="2">
        <v>0.24</v>
      </c>
      <c r="R850" s="2">
        <v>70</v>
      </c>
      <c r="S850" s="2">
        <v>158</v>
      </c>
      <c r="T850" t="s">
        <v>3215</v>
      </c>
      <c r="U850" s="6">
        <v>21052</v>
      </c>
      <c r="V850" s="2">
        <v>47037015700</v>
      </c>
      <c r="W850" s="2" t="s">
        <v>68</v>
      </c>
      <c r="X850" s="1">
        <v>45658</v>
      </c>
      <c r="Y850" s="2">
        <v>57600</v>
      </c>
      <c r="Z850" s="2">
        <v>0</v>
      </c>
      <c r="AA850" s="2">
        <v>57600</v>
      </c>
    </row>
    <row r="851" spans="1:27" x14ac:dyDescent="0.3">
      <c r="A851" s="3">
        <v>13</v>
      </c>
      <c r="B851" s="2" t="str">
        <f>"12014012900"</f>
        <v>12014012900</v>
      </c>
      <c r="C851" s="2" t="s">
        <v>3216</v>
      </c>
      <c r="D851" t="s">
        <v>29</v>
      </c>
      <c r="E851" s="2" t="s">
        <v>30</v>
      </c>
      <c r="F851" s="2">
        <v>37217</v>
      </c>
      <c r="G851" s="2" t="s">
        <v>64</v>
      </c>
      <c r="H851" t="s">
        <v>2707</v>
      </c>
      <c r="I851" s="6">
        <v>32335</v>
      </c>
      <c r="J851" s="2" t="s">
        <v>3217</v>
      </c>
      <c r="K851" s="2">
        <v>50000</v>
      </c>
      <c r="L851" t="s">
        <v>2689</v>
      </c>
      <c r="M851" t="s">
        <v>29</v>
      </c>
      <c r="N851" t="s">
        <v>30</v>
      </c>
      <c r="O851">
        <v>37214</v>
      </c>
      <c r="P851" t="s">
        <v>3218</v>
      </c>
      <c r="Q851" s="2">
        <v>0.26</v>
      </c>
      <c r="R851" s="2">
        <v>70</v>
      </c>
      <c r="S851" s="2">
        <v>160</v>
      </c>
      <c r="T851" t="s">
        <v>3219</v>
      </c>
      <c r="U851" s="6">
        <v>21690</v>
      </c>
      <c r="V851" s="2">
        <v>47037015700</v>
      </c>
      <c r="W851" s="2" t="s">
        <v>68</v>
      </c>
      <c r="X851" s="1">
        <v>45658</v>
      </c>
      <c r="Y851" s="2">
        <v>57600</v>
      </c>
      <c r="Z851" s="2">
        <v>0</v>
      </c>
      <c r="AA851" s="2">
        <v>57600</v>
      </c>
    </row>
    <row r="852" spans="1:27" x14ac:dyDescent="0.3">
      <c r="A852" s="3">
        <v>13</v>
      </c>
      <c r="B852" s="2" t="str">
        <f>"12014012800"</f>
        <v>12014012800</v>
      </c>
      <c r="C852" s="2" t="s">
        <v>3220</v>
      </c>
      <c r="D852" t="s">
        <v>29</v>
      </c>
      <c r="E852" s="2" t="s">
        <v>30</v>
      </c>
      <c r="F852" s="2">
        <v>37217</v>
      </c>
      <c r="G852" s="2" t="s">
        <v>64</v>
      </c>
      <c r="H852" t="s">
        <v>2707</v>
      </c>
      <c r="I852" s="6">
        <v>32148</v>
      </c>
      <c r="J852" s="2" t="s">
        <v>3221</v>
      </c>
      <c r="K852" s="2">
        <v>53000</v>
      </c>
      <c r="L852" t="s">
        <v>2689</v>
      </c>
      <c r="M852" t="s">
        <v>29</v>
      </c>
      <c r="N852" t="s">
        <v>30</v>
      </c>
      <c r="O852">
        <v>37214</v>
      </c>
      <c r="P852" t="s">
        <v>3222</v>
      </c>
      <c r="Q852" s="2">
        <v>0.26</v>
      </c>
      <c r="R852" s="2">
        <v>70</v>
      </c>
      <c r="S852" s="2">
        <v>162</v>
      </c>
      <c r="T852" t="s">
        <v>3223</v>
      </c>
      <c r="U852" s="6">
        <v>21452</v>
      </c>
      <c r="V852" s="2">
        <v>47037015700</v>
      </c>
      <c r="W852" s="2" t="s">
        <v>68</v>
      </c>
      <c r="X852" s="1">
        <v>45658</v>
      </c>
      <c r="Y852" s="2">
        <v>57600</v>
      </c>
      <c r="Z852" s="2">
        <v>0</v>
      </c>
      <c r="AA852" s="2">
        <v>57600</v>
      </c>
    </row>
    <row r="853" spans="1:27" x14ac:dyDescent="0.3">
      <c r="A853" s="3">
        <v>13</v>
      </c>
      <c r="B853" s="2" t="str">
        <f>"12014012700"</f>
        <v>12014012700</v>
      </c>
      <c r="C853" s="2" t="s">
        <v>3224</v>
      </c>
      <c r="D853" t="s">
        <v>29</v>
      </c>
      <c r="E853" s="2" t="s">
        <v>30</v>
      </c>
      <c r="F853" s="2">
        <v>37217</v>
      </c>
      <c r="G853" s="2" t="s">
        <v>64</v>
      </c>
      <c r="H853" t="s">
        <v>2707</v>
      </c>
      <c r="I853" s="6">
        <v>32100</v>
      </c>
      <c r="J853" s="2" t="s">
        <v>3225</v>
      </c>
      <c r="K853" s="2">
        <v>63000</v>
      </c>
      <c r="L853" t="s">
        <v>2689</v>
      </c>
      <c r="M853" t="s">
        <v>29</v>
      </c>
      <c r="N853" t="s">
        <v>30</v>
      </c>
      <c r="O853">
        <v>37214</v>
      </c>
      <c r="P853" t="s">
        <v>3226</v>
      </c>
      <c r="Q853" s="2">
        <v>0.26</v>
      </c>
      <c r="R853" s="2">
        <v>70</v>
      </c>
      <c r="S853" s="2">
        <v>164</v>
      </c>
      <c r="T853" t="s">
        <v>3227</v>
      </c>
      <c r="U853" s="6">
        <v>26310</v>
      </c>
      <c r="V853" s="2">
        <v>47037015700</v>
      </c>
      <c r="W853" s="2" t="s">
        <v>68</v>
      </c>
      <c r="X853" s="1">
        <v>45658</v>
      </c>
      <c r="Y853" s="2">
        <v>57600</v>
      </c>
      <c r="Z853" s="2">
        <v>0</v>
      </c>
      <c r="AA853" s="2">
        <v>57600</v>
      </c>
    </row>
    <row r="854" spans="1:27" x14ac:dyDescent="0.3">
      <c r="A854" s="3">
        <v>13</v>
      </c>
      <c r="B854" s="2" t="str">
        <f>"12014014200"</f>
        <v>12014014200</v>
      </c>
      <c r="C854" s="2" t="s">
        <v>3228</v>
      </c>
      <c r="D854" t="s">
        <v>29</v>
      </c>
      <c r="E854" s="2" t="s">
        <v>30</v>
      </c>
      <c r="F854" s="2">
        <v>37217</v>
      </c>
      <c r="G854" s="2" t="s">
        <v>64</v>
      </c>
      <c r="H854" t="s">
        <v>2707</v>
      </c>
      <c r="I854" s="6">
        <v>32877</v>
      </c>
      <c r="J854" s="2" t="s">
        <v>3229</v>
      </c>
      <c r="K854" s="2">
        <v>52500</v>
      </c>
      <c r="L854" t="s">
        <v>2689</v>
      </c>
      <c r="M854" t="s">
        <v>29</v>
      </c>
      <c r="N854" t="s">
        <v>30</v>
      </c>
      <c r="O854">
        <v>37214</v>
      </c>
      <c r="P854" t="s">
        <v>3230</v>
      </c>
      <c r="Q854" s="2">
        <v>0.39</v>
      </c>
      <c r="R854" s="2">
        <v>139</v>
      </c>
      <c r="S854" s="2">
        <v>105</v>
      </c>
      <c r="T854" t="s">
        <v>3231</v>
      </c>
      <c r="U854" s="6">
        <v>18379</v>
      </c>
      <c r="V854" s="2">
        <v>47037015700</v>
      </c>
      <c r="W854" s="2" t="s">
        <v>68</v>
      </c>
      <c r="X854" s="1">
        <v>45658</v>
      </c>
      <c r="Y854" s="2">
        <v>57600</v>
      </c>
      <c r="Z854" s="2">
        <v>0</v>
      </c>
      <c r="AA854" s="2">
        <v>57600</v>
      </c>
    </row>
    <row r="855" spans="1:27" x14ac:dyDescent="0.3">
      <c r="A855" s="3">
        <v>13</v>
      </c>
      <c r="B855" s="2" t="str">
        <f>"12014012600"</f>
        <v>12014012600</v>
      </c>
      <c r="C855" s="2" t="s">
        <v>3232</v>
      </c>
      <c r="D855" t="s">
        <v>29</v>
      </c>
      <c r="E855" s="2" t="s">
        <v>30</v>
      </c>
      <c r="F855" s="2">
        <v>37217</v>
      </c>
      <c r="G855" s="2" t="s">
        <v>64</v>
      </c>
      <c r="H855" t="s">
        <v>2707</v>
      </c>
      <c r="I855" s="6">
        <v>32146</v>
      </c>
      <c r="J855" s="2" t="s">
        <v>3233</v>
      </c>
      <c r="K855" s="2">
        <v>57750</v>
      </c>
      <c r="L855" t="s">
        <v>2689</v>
      </c>
      <c r="M855" t="s">
        <v>29</v>
      </c>
      <c r="N855" t="s">
        <v>30</v>
      </c>
      <c r="O855">
        <v>37214</v>
      </c>
      <c r="P855" t="s">
        <v>3234</v>
      </c>
      <c r="Q855" s="2">
        <v>0.26</v>
      </c>
      <c r="R855" s="2">
        <v>70</v>
      </c>
      <c r="S855" s="2">
        <v>166</v>
      </c>
      <c r="T855" t="s">
        <v>3235</v>
      </c>
      <c r="U855" s="6">
        <v>24987</v>
      </c>
      <c r="V855" s="2">
        <v>47037015700</v>
      </c>
      <c r="W855" s="2" t="s">
        <v>68</v>
      </c>
      <c r="X855" s="1">
        <v>45658</v>
      </c>
      <c r="Y855" s="2">
        <v>57600</v>
      </c>
      <c r="Z855" s="2">
        <v>0</v>
      </c>
      <c r="AA855" s="2">
        <v>57600</v>
      </c>
    </row>
    <row r="856" spans="1:27" x14ac:dyDescent="0.3">
      <c r="A856" s="3">
        <v>13</v>
      </c>
      <c r="B856" s="2" t="str">
        <f>"12014012500"</f>
        <v>12014012500</v>
      </c>
      <c r="C856" s="2" t="s">
        <v>3236</v>
      </c>
      <c r="D856" t="s">
        <v>29</v>
      </c>
      <c r="E856" s="2" t="s">
        <v>30</v>
      </c>
      <c r="F856" s="2">
        <v>37217</v>
      </c>
      <c r="G856" s="2" t="s">
        <v>64</v>
      </c>
      <c r="H856" t="s">
        <v>2707</v>
      </c>
      <c r="I856" s="6">
        <v>32161</v>
      </c>
      <c r="J856" s="2" t="s">
        <v>3237</v>
      </c>
      <c r="K856" s="2">
        <v>46000</v>
      </c>
      <c r="L856" t="s">
        <v>2689</v>
      </c>
      <c r="M856" t="s">
        <v>29</v>
      </c>
      <c r="N856" t="s">
        <v>30</v>
      </c>
      <c r="O856">
        <v>37214</v>
      </c>
      <c r="P856" t="s">
        <v>3238</v>
      </c>
      <c r="Q856" s="2">
        <v>0.27</v>
      </c>
      <c r="R856" s="2">
        <v>70</v>
      </c>
      <c r="S856" s="2">
        <v>166</v>
      </c>
      <c r="T856" t="s">
        <v>3239</v>
      </c>
      <c r="U856" s="6">
        <v>27187</v>
      </c>
      <c r="V856" s="2">
        <v>47037015700</v>
      </c>
      <c r="W856" s="2" t="s">
        <v>68</v>
      </c>
      <c r="X856" s="1">
        <v>45658</v>
      </c>
      <c r="Y856" s="2">
        <v>57600</v>
      </c>
      <c r="Z856" s="2">
        <v>0</v>
      </c>
      <c r="AA856" s="2">
        <v>57600</v>
      </c>
    </row>
    <row r="857" spans="1:27" x14ac:dyDescent="0.3">
      <c r="A857" s="3">
        <v>13</v>
      </c>
      <c r="B857" s="2" t="str">
        <f>"12014012400"</f>
        <v>12014012400</v>
      </c>
      <c r="C857" s="2" t="s">
        <v>3240</v>
      </c>
      <c r="D857" t="s">
        <v>29</v>
      </c>
      <c r="E857" s="2" t="s">
        <v>30</v>
      </c>
      <c r="F857" s="2">
        <v>37217</v>
      </c>
      <c r="G857" s="2" t="s">
        <v>64</v>
      </c>
      <c r="H857" t="s">
        <v>2707</v>
      </c>
      <c r="I857" s="6">
        <v>32100</v>
      </c>
      <c r="J857" s="2" t="s">
        <v>3241</v>
      </c>
      <c r="K857" s="2">
        <v>40000</v>
      </c>
      <c r="L857" t="s">
        <v>2689</v>
      </c>
      <c r="M857" t="s">
        <v>29</v>
      </c>
      <c r="N857" t="s">
        <v>30</v>
      </c>
      <c r="O857">
        <v>37214</v>
      </c>
      <c r="P857" t="s">
        <v>3242</v>
      </c>
      <c r="Q857" s="2">
        <v>0.26</v>
      </c>
      <c r="R857" s="2">
        <v>29</v>
      </c>
      <c r="S857" s="2">
        <v>164</v>
      </c>
      <c r="T857" t="s">
        <v>3044</v>
      </c>
      <c r="U857" s="6">
        <v>33721</v>
      </c>
      <c r="V857" s="2">
        <v>47037015700</v>
      </c>
      <c r="W857" s="2" t="s">
        <v>68</v>
      </c>
      <c r="X857" s="1">
        <v>45658</v>
      </c>
      <c r="Y857" s="2">
        <v>57600</v>
      </c>
      <c r="Z857" s="2">
        <v>0</v>
      </c>
      <c r="AA857" s="2">
        <v>57600</v>
      </c>
    </row>
    <row r="858" spans="1:27" x14ac:dyDescent="0.3">
      <c r="A858" s="3">
        <v>13</v>
      </c>
      <c r="B858" s="2" t="str">
        <f>"12014014300"</f>
        <v>12014014300</v>
      </c>
      <c r="C858" s="2" t="s">
        <v>3243</v>
      </c>
      <c r="D858" t="s">
        <v>29</v>
      </c>
      <c r="E858" s="2" t="s">
        <v>30</v>
      </c>
      <c r="F858" s="2">
        <v>37217</v>
      </c>
      <c r="G858" s="2" t="s">
        <v>64</v>
      </c>
      <c r="H858" t="s">
        <v>2707</v>
      </c>
      <c r="I858" s="6">
        <v>32804</v>
      </c>
      <c r="J858" s="2" t="s">
        <v>3244</v>
      </c>
      <c r="K858" s="2" t="s">
        <v>34</v>
      </c>
      <c r="L858" t="s">
        <v>2689</v>
      </c>
      <c r="M858" t="s">
        <v>29</v>
      </c>
      <c r="N858" t="s">
        <v>30</v>
      </c>
      <c r="O858">
        <v>37214</v>
      </c>
      <c r="P858" t="s">
        <v>3245</v>
      </c>
      <c r="Q858" s="2">
        <v>0.33</v>
      </c>
      <c r="R858" s="2">
        <v>70</v>
      </c>
      <c r="S858" s="2">
        <v>191</v>
      </c>
      <c r="T858" t="s">
        <v>3246</v>
      </c>
      <c r="U858" s="6">
        <v>19386</v>
      </c>
      <c r="V858" s="2">
        <v>47037015700</v>
      </c>
      <c r="W858" s="2" t="s">
        <v>68</v>
      </c>
      <c r="X858" s="1">
        <v>45658</v>
      </c>
      <c r="Y858" s="2">
        <v>57600</v>
      </c>
      <c r="Z858" s="2">
        <v>0</v>
      </c>
      <c r="AA858" s="2">
        <v>57600</v>
      </c>
    </row>
    <row r="859" spans="1:27" x14ac:dyDescent="0.3">
      <c r="A859" s="3">
        <v>13</v>
      </c>
      <c r="B859" s="2" t="str">
        <f>"12014014400"</f>
        <v>12014014400</v>
      </c>
      <c r="C859" s="2" t="s">
        <v>3247</v>
      </c>
      <c r="D859" t="s">
        <v>29</v>
      </c>
      <c r="E859" s="2" t="s">
        <v>30</v>
      </c>
      <c r="F859" s="2">
        <v>37217</v>
      </c>
      <c r="G859" s="2" t="s">
        <v>64</v>
      </c>
      <c r="H859" t="s">
        <v>2707</v>
      </c>
      <c r="I859" s="6">
        <v>32919</v>
      </c>
      <c r="J859" s="2" t="s">
        <v>3248</v>
      </c>
      <c r="K859" s="2">
        <v>62000</v>
      </c>
      <c r="L859" t="s">
        <v>2689</v>
      </c>
      <c r="M859" t="s">
        <v>29</v>
      </c>
      <c r="N859" t="s">
        <v>30</v>
      </c>
      <c r="O859">
        <v>37214</v>
      </c>
      <c r="P859" t="s">
        <v>3249</v>
      </c>
      <c r="Q859" s="2">
        <v>0.34</v>
      </c>
      <c r="R859" s="2">
        <v>70</v>
      </c>
      <c r="S859" s="2">
        <v>191</v>
      </c>
      <c r="T859" t="s">
        <v>3250</v>
      </c>
      <c r="U859" s="6">
        <v>25510</v>
      </c>
      <c r="V859" s="2">
        <v>47037015700</v>
      </c>
      <c r="W859" s="2" t="s">
        <v>68</v>
      </c>
      <c r="X859" s="1">
        <v>45658</v>
      </c>
      <c r="Y859" s="2">
        <v>57600</v>
      </c>
      <c r="Z859" s="2">
        <v>0</v>
      </c>
      <c r="AA859" s="2">
        <v>57600</v>
      </c>
    </row>
    <row r="860" spans="1:27" x14ac:dyDescent="0.3">
      <c r="A860" s="3">
        <v>13</v>
      </c>
      <c r="B860" s="2" t="str">
        <f>"12014014500"</f>
        <v>12014014500</v>
      </c>
      <c r="C860" s="2" t="s">
        <v>3251</v>
      </c>
      <c r="D860" t="s">
        <v>29</v>
      </c>
      <c r="E860" s="2" t="s">
        <v>30</v>
      </c>
      <c r="F860" s="2">
        <v>37217</v>
      </c>
      <c r="G860" s="2" t="s">
        <v>64</v>
      </c>
      <c r="H860" t="s">
        <v>2707</v>
      </c>
      <c r="I860" s="6">
        <v>32812</v>
      </c>
      <c r="J860" s="2" t="s">
        <v>3252</v>
      </c>
      <c r="K860" s="2">
        <v>38500</v>
      </c>
      <c r="L860" t="s">
        <v>2689</v>
      </c>
      <c r="M860" t="s">
        <v>29</v>
      </c>
      <c r="N860" t="s">
        <v>30</v>
      </c>
      <c r="O860">
        <v>37214</v>
      </c>
      <c r="P860" t="s">
        <v>3253</v>
      </c>
      <c r="Q860" s="2">
        <v>0.28999999999999998</v>
      </c>
      <c r="R860" s="2">
        <v>70</v>
      </c>
      <c r="S860" s="2">
        <v>173</v>
      </c>
      <c r="T860" t="s">
        <v>3254</v>
      </c>
      <c r="U860" s="6">
        <v>26709</v>
      </c>
      <c r="V860" s="2">
        <v>47037015700</v>
      </c>
      <c r="W860" s="2" t="s">
        <v>68</v>
      </c>
      <c r="X860" s="1">
        <v>45658</v>
      </c>
      <c r="Y860" s="2">
        <v>57600</v>
      </c>
      <c r="Z860" s="2">
        <v>0</v>
      </c>
      <c r="AA860" s="2">
        <v>57600</v>
      </c>
    </row>
    <row r="861" spans="1:27" x14ac:dyDescent="0.3">
      <c r="A861" s="3">
        <v>13</v>
      </c>
      <c r="B861" s="2" t="str">
        <f>"12014014100"</f>
        <v>12014014100</v>
      </c>
      <c r="C861" s="2" t="s">
        <v>3255</v>
      </c>
      <c r="D861" t="s">
        <v>29</v>
      </c>
      <c r="E861" s="2" t="s">
        <v>30</v>
      </c>
      <c r="F861" s="2">
        <v>37217</v>
      </c>
      <c r="G861" s="2" t="s">
        <v>64</v>
      </c>
      <c r="H861" t="s">
        <v>2707</v>
      </c>
      <c r="I861" s="6">
        <v>32843</v>
      </c>
      <c r="J861" s="2" t="s">
        <v>3256</v>
      </c>
      <c r="K861" s="2">
        <v>58000</v>
      </c>
      <c r="L861" t="s">
        <v>2689</v>
      </c>
      <c r="M861" t="s">
        <v>29</v>
      </c>
      <c r="N861" t="s">
        <v>30</v>
      </c>
      <c r="O861">
        <v>37214</v>
      </c>
      <c r="P861" t="s">
        <v>3257</v>
      </c>
      <c r="Q861" s="2">
        <v>0.27</v>
      </c>
      <c r="R861" s="2">
        <v>130</v>
      </c>
      <c r="S861" s="2">
        <v>105</v>
      </c>
      <c r="T861" t="s">
        <v>3258</v>
      </c>
      <c r="U861" s="6">
        <v>19528</v>
      </c>
      <c r="V861" s="2">
        <v>47037015700</v>
      </c>
      <c r="W861" s="2" t="s">
        <v>68</v>
      </c>
      <c r="X861" s="1">
        <v>45658</v>
      </c>
      <c r="Y861" s="2">
        <v>57600</v>
      </c>
      <c r="Z861" s="2">
        <v>0</v>
      </c>
      <c r="AA861" s="2">
        <v>57600</v>
      </c>
    </row>
    <row r="862" spans="1:27" x14ac:dyDescent="0.3">
      <c r="A862" s="3">
        <v>13</v>
      </c>
      <c r="B862" s="2" t="str">
        <f>"12014014600"</f>
        <v>12014014600</v>
      </c>
      <c r="C862" s="2" t="s">
        <v>3259</v>
      </c>
      <c r="D862" t="s">
        <v>29</v>
      </c>
      <c r="E862" s="2" t="s">
        <v>30</v>
      </c>
      <c r="F862" s="2">
        <v>37217</v>
      </c>
      <c r="G862" s="2" t="s">
        <v>64</v>
      </c>
      <c r="H862" t="s">
        <v>2707</v>
      </c>
      <c r="I862" s="6">
        <v>34782</v>
      </c>
      <c r="J862" s="2" t="s">
        <v>3260</v>
      </c>
      <c r="K862" s="2" t="s">
        <v>34</v>
      </c>
      <c r="L862" t="s">
        <v>2689</v>
      </c>
      <c r="M862" t="s">
        <v>29</v>
      </c>
      <c r="N862" t="s">
        <v>30</v>
      </c>
      <c r="O862">
        <v>37214</v>
      </c>
      <c r="P862" t="s">
        <v>3261</v>
      </c>
      <c r="Q862" s="2">
        <v>0.26</v>
      </c>
      <c r="R862" s="2">
        <v>68</v>
      </c>
      <c r="S862" s="2">
        <v>162</v>
      </c>
      <c r="T862" t="s">
        <v>3262</v>
      </c>
      <c r="U862" s="6">
        <v>18827</v>
      </c>
      <c r="V862" s="2">
        <v>47037015700</v>
      </c>
      <c r="W862" s="2" t="s">
        <v>68</v>
      </c>
      <c r="X862" s="1">
        <v>45658</v>
      </c>
      <c r="Y862" s="2">
        <v>57600</v>
      </c>
      <c r="Z862" s="2">
        <v>0</v>
      </c>
      <c r="AA862" s="2">
        <v>57600</v>
      </c>
    </row>
    <row r="863" spans="1:27" x14ac:dyDescent="0.3">
      <c r="A863" s="3">
        <v>13</v>
      </c>
      <c r="B863" s="2" t="str">
        <f>"12014014700"</f>
        <v>12014014700</v>
      </c>
      <c r="C863" s="2" t="s">
        <v>3263</v>
      </c>
      <c r="D863" t="s">
        <v>29</v>
      </c>
      <c r="E863" s="2" t="s">
        <v>30</v>
      </c>
      <c r="F863" s="2">
        <v>37217</v>
      </c>
      <c r="G863" s="2" t="s">
        <v>64</v>
      </c>
      <c r="H863" t="s">
        <v>2707</v>
      </c>
      <c r="I863" s="6">
        <v>32549</v>
      </c>
      <c r="J863" s="2" t="s">
        <v>3264</v>
      </c>
      <c r="K863" s="2">
        <v>52000</v>
      </c>
      <c r="L863" t="s">
        <v>2689</v>
      </c>
      <c r="M863" t="s">
        <v>29</v>
      </c>
      <c r="N863" t="s">
        <v>30</v>
      </c>
      <c r="O863">
        <v>37214</v>
      </c>
      <c r="P863" t="s">
        <v>3265</v>
      </c>
      <c r="Q863" s="2">
        <v>0.27</v>
      </c>
      <c r="R863" s="2">
        <v>70</v>
      </c>
      <c r="S863" s="2">
        <v>159</v>
      </c>
      <c r="T863" t="s">
        <v>3266</v>
      </c>
      <c r="U863" s="6">
        <v>24072</v>
      </c>
      <c r="V863" s="2">
        <v>47037015700</v>
      </c>
      <c r="W863" s="2" t="s">
        <v>68</v>
      </c>
      <c r="X863" s="1">
        <v>45658</v>
      </c>
      <c r="Y863" s="2">
        <v>57600</v>
      </c>
      <c r="Z863" s="2">
        <v>0</v>
      </c>
      <c r="AA863" s="2">
        <v>57600</v>
      </c>
    </row>
    <row r="864" spans="1:27" x14ac:dyDescent="0.3">
      <c r="A864" s="3">
        <v>13</v>
      </c>
      <c r="B864" s="2" t="str">
        <f>"12014000900"</f>
        <v>12014000900</v>
      </c>
      <c r="C864" s="2" t="s">
        <v>3267</v>
      </c>
      <c r="D864" t="s">
        <v>29</v>
      </c>
      <c r="E864" s="2" t="s">
        <v>30</v>
      </c>
      <c r="F864" s="2">
        <v>37217</v>
      </c>
      <c r="G864" s="2" t="s">
        <v>64</v>
      </c>
      <c r="H864" t="s">
        <v>2707</v>
      </c>
      <c r="I864" s="6">
        <v>32821</v>
      </c>
      <c r="J864" s="2" t="s">
        <v>3268</v>
      </c>
      <c r="K864" s="2">
        <v>46000</v>
      </c>
      <c r="L864" t="s">
        <v>2689</v>
      </c>
      <c r="M864" t="s">
        <v>29</v>
      </c>
      <c r="N864" t="s">
        <v>30</v>
      </c>
      <c r="O864">
        <v>37214</v>
      </c>
      <c r="P864" t="s">
        <v>3269</v>
      </c>
      <c r="Q864" s="2">
        <v>0.56000000000000005</v>
      </c>
      <c r="R864" s="2">
        <v>126</v>
      </c>
      <c r="S864" s="2">
        <v>184</v>
      </c>
      <c r="T864" t="s">
        <v>3270</v>
      </c>
      <c r="U864" s="6">
        <v>18135</v>
      </c>
      <c r="V864" s="2">
        <v>47037015700</v>
      </c>
      <c r="W864" s="2" t="s">
        <v>68</v>
      </c>
      <c r="X864" s="1">
        <v>45658</v>
      </c>
      <c r="Y864" s="2">
        <v>63400</v>
      </c>
      <c r="Z864" s="2">
        <v>0</v>
      </c>
      <c r="AA864" s="2">
        <v>63400</v>
      </c>
    </row>
    <row r="865" spans="1:27" x14ac:dyDescent="0.3">
      <c r="A865" s="3">
        <v>13</v>
      </c>
      <c r="B865" s="2" t="str">
        <f>"12014014800"</f>
        <v>12014014800</v>
      </c>
      <c r="C865" s="2" t="s">
        <v>3271</v>
      </c>
      <c r="D865" t="s">
        <v>29</v>
      </c>
      <c r="E865" s="2" t="s">
        <v>30</v>
      </c>
      <c r="F865" s="2">
        <v>37217</v>
      </c>
      <c r="G865" s="2" t="s">
        <v>64</v>
      </c>
      <c r="H865" t="s">
        <v>2707</v>
      </c>
      <c r="I865" s="6">
        <v>32661</v>
      </c>
      <c r="J865" s="2" t="s">
        <v>3272</v>
      </c>
      <c r="K865" s="2">
        <v>52500</v>
      </c>
      <c r="L865" t="s">
        <v>2689</v>
      </c>
      <c r="M865" t="s">
        <v>29</v>
      </c>
      <c r="N865" t="s">
        <v>30</v>
      </c>
      <c r="O865">
        <v>37214</v>
      </c>
      <c r="P865" t="s">
        <v>3273</v>
      </c>
      <c r="Q865" s="2">
        <v>0.26</v>
      </c>
      <c r="R865" s="2">
        <v>70</v>
      </c>
      <c r="S865" s="2">
        <v>159</v>
      </c>
      <c r="T865" t="s">
        <v>3274</v>
      </c>
      <c r="U865" s="6">
        <v>21200</v>
      </c>
      <c r="V865" s="2">
        <v>47037015700</v>
      </c>
      <c r="W865" s="2" t="s">
        <v>68</v>
      </c>
      <c r="X865" s="1">
        <v>45658</v>
      </c>
      <c r="Y865" s="2">
        <v>57600</v>
      </c>
      <c r="Z865" s="2">
        <v>0</v>
      </c>
      <c r="AA865" s="2">
        <v>57600</v>
      </c>
    </row>
    <row r="866" spans="1:27" x14ac:dyDescent="0.3">
      <c r="A866" s="3">
        <v>13</v>
      </c>
      <c r="B866" s="2" t="str">
        <f>"12014014900"</f>
        <v>12014014900</v>
      </c>
      <c r="C866" s="2" t="s">
        <v>3275</v>
      </c>
      <c r="D866" t="s">
        <v>29</v>
      </c>
      <c r="E866" s="2" t="s">
        <v>30</v>
      </c>
      <c r="F866" s="2">
        <v>37217</v>
      </c>
      <c r="G866" s="2" t="s">
        <v>64</v>
      </c>
      <c r="H866" t="s">
        <v>2707</v>
      </c>
      <c r="I866" s="6">
        <v>32573</v>
      </c>
      <c r="J866" s="2" t="s">
        <v>3276</v>
      </c>
      <c r="K866" s="2">
        <v>47000</v>
      </c>
      <c r="L866" t="s">
        <v>2689</v>
      </c>
      <c r="M866" t="s">
        <v>29</v>
      </c>
      <c r="N866" t="s">
        <v>30</v>
      </c>
      <c r="O866">
        <v>37214</v>
      </c>
      <c r="P866" t="s">
        <v>3277</v>
      </c>
      <c r="Q866" s="2">
        <v>0.26</v>
      </c>
      <c r="R866" s="2">
        <v>70</v>
      </c>
      <c r="S866" s="2">
        <v>160</v>
      </c>
      <c r="T866" t="s">
        <v>3278</v>
      </c>
      <c r="U866" s="6">
        <v>20569</v>
      </c>
      <c r="V866" s="2">
        <v>47037015700</v>
      </c>
      <c r="W866" s="2" t="s">
        <v>68</v>
      </c>
      <c r="X866" s="1">
        <v>45658</v>
      </c>
      <c r="Y866" s="2">
        <v>57600</v>
      </c>
      <c r="Z866" s="2">
        <v>0</v>
      </c>
      <c r="AA866" s="2">
        <v>57600</v>
      </c>
    </row>
    <row r="867" spans="1:27" x14ac:dyDescent="0.3">
      <c r="A867" s="3">
        <v>13</v>
      </c>
      <c r="B867" s="2" t="str">
        <f>"12014015100"</f>
        <v>12014015100</v>
      </c>
      <c r="C867" s="2" t="s">
        <v>3279</v>
      </c>
      <c r="D867" t="s">
        <v>29</v>
      </c>
      <c r="E867" s="2" t="s">
        <v>30</v>
      </c>
      <c r="F867" s="2">
        <v>37217</v>
      </c>
      <c r="G867" s="2" t="s">
        <v>64</v>
      </c>
      <c r="H867" t="s">
        <v>2707</v>
      </c>
      <c r="I867" s="6">
        <v>32541</v>
      </c>
      <c r="J867" s="2" t="s">
        <v>3280</v>
      </c>
      <c r="K867" s="2" t="s">
        <v>34</v>
      </c>
      <c r="L867" t="s">
        <v>2689</v>
      </c>
      <c r="M867" t="s">
        <v>29</v>
      </c>
      <c r="N867" t="s">
        <v>30</v>
      </c>
      <c r="O867">
        <v>37214</v>
      </c>
      <c r="P867" t="s">
        <v>3281</v>
      </c>
      <c r="Q867" s="2">
        <v>0.26</v>
      </c>
      <c r="R867" s="2">
        <v>70</v>
      </c>
      <c r="S867" s="2">
        <v>161</v>
      </c>
      <c r="T867" t="s">
        <v>3282</v>
      </c>
      <c r="U867" s="6">
        <v>21153</v>
      </c>
      <c r="V867" s="2">
        <v>47037015700</v>
      </c>
      <c r="W867" s="2" t="s">
        <v>68</v>
      </c>
      <c r="X867" s="1">
        <v>45658</v>
      </c>
      <c r="Y867" s="2">
        <v>57600</v>
      </c>
      <c r="Z867" s="2">
        <v>0</v>
      </c>
      <c r="AA867" s="2">
        <v>57600</v>
      </c>
    </row>
    <row r="868" spans="1:27" x14ac:dyDescent="0.3">
      <c r="A868" s="3">
        <v>13</v>
      </c>
      <c r="B868" s="2" t="str">
        <f>"12014015200"</f>
        <v>12014015200</v>
      </c>
      <c r="C868" s="2" t="s">
        <v>3283</v>
      </c>
      <c r="D868" t="s">
        <v>29</v>
      </c>
      <c r="E868" s="2" t="s">
        <v>30</v>
      </c>
      <c r="F868" s="2">
        <v>37217</v>
      </c>
      <c r="G868" s="2" t="s">
        <v>64</v>
      </c>
      <c r="H868" t="s">
        <v>2707</v>
      </c>
      <c r="I868" s="6">
        <v>33115</v>
      </c>
      <c r="J868" s="2" t="s">
        <v>3284</v>
      </c>
      <c r="K868" s="2">
        <v>60000</v>
      </c>
      <c r="L868" t="s">
        <v>2689</v>
      </c>
      <c r="M868" t="s">
        <v>29</v>
      </c>
      <c r="N868" t="s">
        <v>30</v>
      </c>
      <c r="O868">
        <v>37214</v>
      </c>
      <c r="P868" t="s">
        <v>3285</v>
      </c>
      <c r="Q868" s="2">
        <v>0.26</v>
      </c>
      <c r="R868" s="2">
        <v>70</v>
      </c>
      <c r="S868" s="2">
        <v>162</v>
      </c>
      <c r="T868" t="s">
        <v>3286</v>
      </c>
      <c r="U868" s="6">
        <v>22825</v>
      </c>
      <c r="V868" s="2">
        <v>47037015700</v>
      </c>
      <c r="W868" s="2" t="s">
        <v>68</v>
      </c>
      <c r="X868" s="1">
        <v>45658</v>
      </c>
      <c r="Y868" s="2">
        <v>57600</v>
      </c>
      <c r="Z868" s="2">
        <v>0</v>
      </c>
      <c r="AA868" s="2">
        <v>57600</v>
      </c>
    </row>
    <row r="869" spans="1:27" x14ac:dyDescent="0.3">
      <c r="A869" s="3">
        <v>13</v>
      </c>
      <c r="B869" s="2" t="str">
        <f>"12014015300"</f>
        <v>12014015300</v>
      </c>
      <c r="C869" s="2" t="s">
        <v>3287</v>
      </c>
      <c r="D869" t="s">
        <v>29</v>
      </c>
      <c r="E869" s="2" t="s">
        <v>30</v>
      </c>
      <c r="F869" s="2">
        <v>37217</v>
      </c>
      <c r="G869" s="2" t="s">
        <v>64</v>
      </c>
      <c r="H869" t="s">
        <v>2707</v>
      </c>
      <c r="I869" s="6">
        <v>32337</v>
      </c>
      <c r="J869" s="2" t="s">
        <v>3288</v>
      </c>
      <c r="K869" s="2">
        <v>50000</v>
      </c>
      <c r="L869" t="s">
        <v>2689</v>
      </c>
      <c r="M869" t="s">
        <v>29</v>
      </c>
      <c r="N869" t="s">
        <v>30</v>
      </c>
      <c r="O869">
        <v>37214</v>
      </c>
      <c r="P869" t="s">
        <v>3289</v>
      </c>
      <c r="Q869" s="2">
        <v>0.26</v>
      </c>
      <c r="R869" s="2">
        <v>70</v>
      </c>
      <c r="S869" s="2">
        <v>163</v>
      </c>
      <c r="T869" t="s">
        <v>3290</v>
      </c>
      <c r="U869" s="6">
        <v>27394</v>
      </c>
      <c r="V869" s="2">
        <v>47037015700</v>
      </c>
      <c r="W869" s="2" t="s">
        <v>68</v>
      </c>
      <c r="X869" s="1">
        <v>45658</v>
      </c>
      <c r="Y869" s="2">
        <v>57600</v>
      </c>
      <c r="Z869" s="2">
        <v>0</v>
      </c>
      <c r="AA869" s="2">
        <v>57600</v>
      </c>
    </row>
    <row r="870" spans="1:27" x14ac:dyDescent="0.3">
      <c r="A870" s="3">
        <v>13</v>
      </c>
      <c r="B870" s="2" t="str">
        <f>"12014015400"</f>
        <v>12014015400</v>
      </c>
      <c r="C870" s="2" t="s">
        <v>3291</v>
      </c>
      <c r="D870" t="s">
        <v>29</v>
      </c>
      <c r="E870" s="2" t="s">
        <v>30</v>
      </c>
      <c r="F870" s="2">
        <v>37217</v>
      </c>
      <c r="G870" s="2" t="s">
        <v>64</v>
      </c>
      <c r="H870" t="s">
        <v>2707</v>
      </c>
      <c r="I870" s="6">
        <v>32100</v>
      </c>
      <c r="J870" s="2" t="s">
        <v>3292</v>
      </c>
      <c r="K870" s="2">
        <v>58000</v>
      </c>
      <c r="L870" t="s">
        <v>2689</v>
      </c>
      <c r="M870" t="s">
        <v>29</v>
      </c>
      <c r="N870" t="s">
        <v>30</v>
      </c>
      <c r="O870">
        <v>37214</v>
      </c>
      <c r="P870" t="s">
        <v>3293</v>
      </c>
      <c r="Q870" s="2">
        <v>0.26</v>
      </c>
      <c r="R870" s="2">
        <v>70</v>
      </c>
      <c r="S870" s="2">
        <v>163</v>
      </c>
      <c r="T870" t="s">
        <v>3294</v>
      </c>
      <c r="U870" s="6">
        <v>27179</v>
      </c>
      <c r="V870" s="2">
        <v>47037015700</v>
      </c>
      <c r="W870" s="2" t="s">
        <v>68</v>
      </c>
      <c r="X870" s="1">
        <v>45658</v>
      </c>
      <c r="Y870" s="2">
        <v>57600</v>
      </c>
      <c r="Z870" s="2">
        <v>0</v>
      </c>
      <c r="AA870" s="2">
        <v>57600</v>
      </c>
    </row>
    <row r="871" spans="1:27" x14ac:dyDescent="0.3">
      <c r="A871" s="3">
        <v>13</v>
      </c>
      <c r="B871" s="2" t="str">
        <f>"12014015500"</f>
        <v>12014015500</v>
      </c>
      <c r="C871" s="2" t="s">
        <v>3295</v>
      </c>
      <c r="D871" t="s">
        <v>29</v>
      </c>
      <c r="E871" s="2" t="s">
        <v>30</v>
      </c>
      <c r="F871" s="2">
        <v>37217</v>
      </c>
      <c r="G871" s="2" t="s">
        <v>64</v>
      </c>
      <c r="H871" t="s">
        <v>2707</v>
      </c>
      <c r="I871" s="6">
        <v>32106</v>
      </c>
      <c r="J871" s="2" t="s">
        <v>3296</v>
      </c>
      <c r="K871" s="2">
        <v>54950</v>
      </c>
      <c r="L871" t="s">
        <v>2689</v>
      </c>
      <c r="M871" t="s">
        <v>29</v>
      </c>
      <c r="N871" t="s">
        <v>30</v>
      </c>
      <c r="O871">
        <v>37214</v>
      </c>
      <c r="P871" t="s">
        <v>3297</v>
      </c>
      <c r="Q871" s="2">
        <v>0.26</v>
      </c>
      <c r="R871" s="2">
        <v>70</v>
      </c>
      <c r="S871" s="2">
        <v>164</v>
      </c>
      <c r="T871" t="s">
        <v>3298</v>
      </c>
      <c r="U871" s="6">
        <v>24874</v>
      </c>
      <c r="V871" s="2">
        <v>47037015700</v>
      </c>
      <c r="W871" s="2" t="s">
        <v>68</v>
      </c>
      <c r="X871" s="1">
        <v>45658</v>
      </c>
      <c r="Y871" s="2">
        <v>57600</v>
      </c>
      <c r="Z871" s="2">
        <v>0</v>
      </c>
      <c r="AA871" s="2">
        <v>57600</v>
      </c>
    </row>
    <row r="872" spans="1:27" x14ac:dyDescent="0.3">
      <c r="A872" s="3">
        <v>13</v>
      </c>
      <c r="B872" s="2" t="str">
        <f>"12014015600"</f>
        <v>12014015600</v>
      </c>
      <c r="C872" s="2" t="s">
        <v>3299</v>
      </c>
      <c r="D872" t="s">
        <v>29</v>
      </c>
      <c r="E872" s="2" t="s">
        <v>30</v>
      </c>
      <c r="F872" s="2">
        <v>37217</v>
      </c>
      <c r="G872" s="2" t="s">
        <v>64</v>
      </c>
      <c r="H872" t="s">
        <v>2707</v>
      </c>
      <c r="I872" s="6">
        <v>32087</v>
      </c>
      <c r="J872" s="2" t="s">
        <v>3300</v>
      </c>
      <c r="K872" s="2">
        <v>52000</v>
      </c>
      <c r="L872" t="s">
        <v>2689</v>
      </c>
      <c r="M872" t="s">
        <v>29</v>
      </c>
      <c r="N872" t="s">
        <v>30</v>
      </c>
      <c r="O872">
        <v>37214</v>
      </c>
      <c r="P872" t="s">
        <v>3301</v>
      </c>
      <c r="Q872" s="2">
        <v>0.26</v>
      </c>
      <c r="R872" s="2">
        <v>70</v>
      </c>
      <c r="S872" s="2">
        <v>165</v>
      </c>
      <c r="T872" t="s">
        <v>3302</v>
      </c>
      <c r="U872" s="6">
        <v>24012</v>
      </c>
      <c r="V872" s="2">
        <v>47037015700</v>
      </c>
      <c r="W872" s="2" t="s">
        <v>68</v>
      </c>
      <c r="X872" s="1">
        <v>45658</v>
      </c>
      <c r="Y872" s="2">
        <v>57600</v>
      </c>
      <c r="Z872" s="2">
        <v>0</v>
      </c>
      <c r="AA872" s="2">
        <v>57600</v>
      </c>
    </row>
    <row r="873" spans="1:27" x14ac:dyDescent="0.3">
      <c r="A873" s="3">
        <v>13</v>
      </c>
      <c r="B873" s="2" t="str">
        <f>"12014015700"</f>
        <v>12014015700</v>
      </c>
      <c r="C873" s="2" t="s">
        <v>3303</v>
      </c>
      <c r="D873" t="s">
        <v>29</v>
      </c>
      <c r="E873" s="2" t="s">
        <v>30</v>
      </c>
      <c r="F873" s="2">
        <v>37217</v>
      </c>
      <c r="G873" s="2" t="s">
        <v>64</v>
      </c>
      <c r="H873" t="s">
        <v>2707</v>
      </c>
      <c r="I873" s="6">
        <v>32171</v>
      </c>
      <c r="J873" s="2" t="s">
        <v>3304</v>
      </c>
      <c r="K873" s="2">
        <v>49000</v>
      </c>
      <c r="L873" t="s">
        <v>2689</v>
      </c>
      <c r="M873" t="s">
        <v>29</v>
      </c>
      <c r="N873" t="s">
        <v>30</v>
      </c>
      <c r="O873">
        <v>37214</v>
      </c>
      <c r="P873" t="s">
        <v>3305</v>
      </c>
      <c r="Q873" s="2">
        <v>0.26</v>
      </c>
      <c r="R873" s="2">
        <v>70</v>
      </c>
      <c r="S873" s="2">
        <v>165</v>
      </c>
      <c r="T873" t="s">
        <v>3306</v>
      </c>
      <c r="U873" s="6">
        <v>27285</v>
      </c>
      <c r="V873" s="2">
        <v>47037015700</v>
      </c>
      <c r="W873" s="2" t="s">
        <v>68</v>
      </c>
      <c r="X873" s="1">
        <v>45658</v>
      </c>
      <c r="Y873" s="2">
        <v>57600</v>
      </c>
      <c r="Z873" s="2">
        <v>0</v>
      </c>
      <c r="AA873" s="2">
        <v>57600</v>
      </c>
    </row>
    <row r="874" spans="1:27" x14ac:dyDescent="0.3">
      <c r="A874" s="3">
        <v>13</v>
      </c>
      <c r="B874" s="2" t="str">
        <f>"12014015800"</f>
        <v>12014015800</v>
      </c>
      <c r="C874" s="2" t="s">
        <v>3307</v>
      </c>
      <c r="D874" t="s">
        <v>29</v>
      </c>
      <c r="E874" s="2" t="s">
        <v>30</v>
      </c>
      <c r="F874" s="2">
        <v>37217</v>
      </c>
      <c r="G874" s="2" t="s">
        <v>64</v>
      </c>
      <c r="H874" t="s">
        <v>2707</v>
      </c>
      <c r="I874" s="6">
        <v>32122</v>
      </c>
      <c r="J874" s="2" t="s">
        <v>3308</v>
      </c>
      <c r="K874" s="2">
        <v>53000</v>
      </c>
      <c r="L874" t="s">
        <v>2689</v>
      </c>
      <c r="M874" t="s">
        <v>29</v>
      </c>
      <c r="N874" t="s">
        <v>30</v>
      </c>
      <c r="O874">
        <v>37214</v>
      </c>
      <c r="P874" t="s">
        <v>3309</v>
      </c>
      <c r="Q874" s="2">
        <v>0.17</v>
      </c>
      <c r="R874" s="2">
        <v>77</v>
      </c>
      <c r="S874" s="2">
        <v>165</v>
      </c>
      <c r="T874" t="s">
        <v>3044</v>
      </c>
      <c r="U874" s="6">
        <v>33721</v>
      </c>
      <c r="V874" s="2">
        <v>47037015700</v>
      </c>
      <c r="W874" s="2" t="s">
        <v>68</v>
      </c>
      <c r="X874" s="1">
        <v>45658</v>
      </c>
      <c r="Y874" s="2">
        <v>51800</v>
      </c>
      <c r="Z874" s="2">
        <v>0</v>
      </c>
      <c r="AA874" s="2">
        <v>51800</v>
      </c>
    </row>
    <row r="875" spans="1:27" x14ac:dyDescent="0.3">
      <c r="A875" s="3">
        <v>13</v>
      </c>
      <c r="B875" s="2" t="str">
        <f>"12014018300"</f>
        <v>12014018300</v>
      </c>
      <c r="C875" s="2" t="s">
        <v>3310</v>
      </c>
      <c r="D875" t="s">
        <v>29</v>
      </c>
      <c r="E875" s="2" t="s">
        <v>30</v>
      </c>
      <c r="F875" s="2">
        <v>37217</v>
      </c>
      <c r="G875" s="2" t="s">
        <v>64</v>
      </c>
      <c r="H875" t="s">
        <v>2707</v>
      </c>
      <c r="I875" s="6">
        <v>32961</v>
      </c>
      <c r="J875" s="2" t="s">
        <v>3311</v>
      </c>
      <c r="K875" s="2">
        <v>51500</v>
      </c>
      <c r="L875" t="s">
        <v>2689</v>
      </c>
      <c r="M875" t="s">
        <v>29</v>
      </c>
      <c r="N875" t="s">
        <v>30</v>
      </c>
      <c r="O875">
        <v>37214</v>
      </c>
      <c r="P875" t="s">
        <v>3312</v>
      </c>
      <c r="Q875" s="2">
        <v>0.36</v>
      </c>
      <c r="R875" s="2">
        <v>59</v>
      </c>
      <c r="S875" s="2">
        <v>166</v>
      </c>
      <c r="T875" t="s">
        <v>3313</v>
      </c>
      <c r="U875" s="6">
        <v>26714</v>
      </c>
      <c r="V875" s="2">
        <v>47037015700</v>
      </c>
      <c r="W875" s="2" t="s">
        <v>68</v>
      </c>
      <c r="X875" s="1">
        <v>45658</v>
      </c>
      <c r="Y875" s="2">
        <v>57600</v>
      </c>
      <c r="Z875" s="2">
        <v>0</v>
      </c>
      <c r="AA875" s="2">
        <v>57600</v>
      </c>
    </row>
    <row r="876" spans="1:27" x14ac:dyDescent="0.3">
      <c r="A876" s="3">
        <v>13</v>
      </c>
      <c r="B876" s="2" t="str">
        <f>"12014018200"</f>
        <v>12014018200</v>
      </c>
      <c r="C876" s="2" t="s">
        <v>3314</v>
      </c>
      <c r="D876" t="s">
        <v>29</v>
      </c>
      <c r="E876" s="2" t="s">
        <v>30</v>
      </c>
      <c r="F876" s="2">
        <v>37217</v>
      </c>
      <c r="G876" s="2" t="s">
        <v>64</v>
      </c>
      <c r="H876" t="s">
        <v>2707</v>
      </c>
      <c r="I876" s="6">
        <v>32839</v>
      </c>
      <c r="J876" s="2" t="s">
        <v>3315</v>
      </c>
      <c r="K876" s="2" t="s">
        <v>34</v>
      </c>
      <c r="L876" t="s">
        <v>2689</v>
      </c>
      <c r="M876" t="s">
        <v>29</v>
      </c>
      <c r="N876" t="s">
        <v>30</v>
      </c>
      <c r="O876">
        <v>37214</v>
      </c>
      <c r="P876" t="s">
        <v>3316</v>
      </c>
      <c r="Q876" s="2">
        <v>0.28000000000000003</v>
      </c>
      <c r="R876" s="2">
        <v>80</v>
      </c>
      <c r="S876" s="2">
        <v>166</v>
      </c>
      <c r="T876" t="s">
        <v>3317</v>
      </c>
      <c r="U876" s="6">
        <v>21548</v>
      </c>
      <c r="V876" s="2">
        <v>47037015700</v>
      </c>
      <c r="W876" s="2" t="s">
        <v>68</v>
      </c>
      <c r="X876" s="1">
        <v>45658</v>
      </c>
      <c r="Y876" s="2">
        <v>57600</v>
      </c>
      <c r="Z876" s="2">
        <v>0</v>
      </c>
      <c r="AA876" s="2">
        <v>57600</v>
      </c>
    </row>
    <row r="877" spans="1:27" x14ac:dyDescent="0.3">
      <c r="A877" s="3">
        <v>13</v>
      </c>
      <c r="B877" s="2" t="str">
        <f>"12014018000"</f>
        <v>12014018000</v>
      </c>
      <c r="C877" s="2" t="s">
        <v>3318</v>
      </c>
      <c r="D877" t="s">
        <v>29</v>
      </c>
      <c r="E877" s="2" t="s">
        <v>30</v>
      </c>
      <c r="F877" s="2">
        <v>37217</v>
      </c>
      <c r="G877" s="2" t="s">
        <v>64</v>
      </c>
      <c r="H877" t="s">
        <v>2707</v>
      </c>
      <c r="I877" s="6">
        <v>32870</v>
      </c>
      <c r="J877" s="2" t="s">
        <v>3319</v>
      </c>
      <c r="K877" s="2">
        <v>44000</v>
      </c>
      <c r="L877" t="s">
        <v>2689</v>
      </c>
      <c r="M877" t="s">
        <v>29</v>
      </c>
      <c r="N877" t="s">
        <v>30</v>
      </c>
      <c r="O877">
        <v>37214</v>
      </c>
      <c r="P877" t="s">
        <v>3320</v>
      </c>
      <c r="Q877" s="2">
        <v>0.28000000000000003</v>
      </c>
      <c r="R877" s="2">
        <v>80</v>
      </c>
      <c r="S877" s="2">
        <v>166</v>
      </c>
      <c r="T877" t="s">
        <v>3321</v>
      </c>
      <c r="U877" s="6">
        <v>24824</v>
      </c>
      <c r="V877" s="2">
        <v>47037015700</v>
      </c>
      <c r="W877" s="2" t="s">
        <v>68</v>
      </c>
      <c r="X877" s="1">
        <v>45658</v>
      </c>
      <c r="Y877" s="2">
        <v>57600</v>
      </c>
      <c r="Z877" s="2">
        <v>0</v>
      </c>
      <c r="AA877" s="2">
        <v>57600</v>
      </c>
    </row>
    <row r="878" spans="1:27" x14ac:dyDescent="0.3">
      <c r="A878" s="3">
        <v>13</v>
      </c>
      <c r="B878" s="2" t="str">
        <f>"12014000800"</f>
        <v>12014000800</v>
      </c>
      <c r="C878" s="2" t="s">
        <v>3322</v>
      </c>
      <c r="D878" t="s">
        <v>29</v>
      </c>
      <c r="E878" s="2" t="s">
        <v>30</v>
      </c>
      <c r="F878" s="2">
        <v>37217</v>
      </c>
      <c r="G878" s="2" t="s">
        <v>64</v>
      </c>
      <c r="H878" t="s">
        <v>2707</v>
      </c>
      <c r="I878" s="6">
        <v>32807</v>
      </c>
      <c r="J878" s="2" t="s">
        <v>3323</v>
      </c>
      <c r="K878" s="2" t="s">
        <v>34</v>
      </c>
      <c r="L878" t="s">
        <v>2689</v>
      </c>
      <c r="M878" t="s">
        <v>29</v>
      </c>
      <c r="N878" t="s">
        <v>30</v>
      </c>
      <c r="O878">
        <v>37214</v>
      </c>
      <c r="P878" t="s">
        <v>3324</v>
      </c>
      <c r="Q878" s="2">
        <v>0.5</v>
      </c>
      <c r="R878" s="2">
        <v>101</v>
      </c>
      <c r="S878" s="2">
        <v>184</v>
      </c>
      <c r="T878" t="s">
        <v>3325</v>
      </c>
      <c r="U878" s="6">
        <v>25464</v>
      </c>
      <c r="V878" s="2">
        <v>47037015700</v>
      </c>
      <c r="W878" s="2" t="s">
        <v>68</v>
      </c>
      <c r="X878" s="1">
        <v>45658</v>
      </c>
      <c r="Y878" s="2">
        <v>63400</v>
      </c>
      <c r="Z878" s="2">
        <v>0</v>
      </c>
      <c r="AA878" s="2">
        <v>63400</v>
      </c>
    </row>
    <row r="879" spans="1:27" x14ac:dyDescent="0.3">
      <c r="A879" s="3">
        <v>13</v>
      </c>
      <c r="B879" s="2" t="str">
        <f>"12014017900"</f>
        <v>12014017900</v>
      </c>
      <c r="C879" s="2" t="s">
        <v>3326</v>
      </c>
      <c r="D879" t="s">
        <v>29</v>
      </c>
      <c r="E879" s="2" t="s">
        <v>30</v>
      </c>
      <c r="F879" s="2">
        <v>37217</v>
      </c>
      <c r="G879" s="2" t="s">
        <v>64</v>
      </c>
      <c r="H879" t="s">
        <v>2707</v>
      </c>
      <c r="I879" s="6">
        <v>32861</v>
      </c>
      <c r="J879" s="2" t="s">
        <v>3327</v>
      </c>
      <c r="K879" s="2">
        <v>50000</v>
      </c>
      <c r="L879" t="s">
        <v>2689</v>
      </c>
      <c r="M879" t="s">
        <v>29</v>
      </c>
      <c r="N879" t="s">
        <v>30</v>
      </c>
      <c r="O879">
        <v>37214</v>
      </c>
      <c r="P879" t="s">
        <v>3328</v>
      </c>
      <c r="Q879" s="2">
        <v>0.28000000000000003</v>
      </c>
      <c r="R879" s="2">
        <v>80</v>
      </c>
      <c r="S879" s="2">
        <v>165</v>
      </c>
      <c r="T879" t="s">
        <v>3329</v>
      </c>
      <c r="U879" s="6">
        <v>26089</v>
      </c>
      <c r="V879" s="2">
        <v>47037015700</v>
      </c>
      <c r="W879" s="2" t="s">
        <v>68</v>
      </c>
      <c r="X879" s="1">
        <v>45658</v>
      </c>
      <c r="Y879" s="2">
        <v>57600</v>
      </c>
      <c r="Z879" s="2">
        <v>0</v>
      </c>
      <c r="AA879" s="2">
        <v>57600</v>
      </c>
    </row>
    <row r="880" spans="1:27" x14ac:dyDescent="0.3">
      <c r="A880" s="3">
        <v>13</v>
      </c>
      <c r="B880" s="2" t="str">
        <f>"12014017800"</f>
        <v>12014017800</v>
      </c>
      <c r="C880" s="2" t="s">
        <v>3330</v>
      </c>
      <c r="D880" t="s">
        <v>29</v>
      </c>
      <c r="E880" s="2" t="s">
        <v>30</v>
      </c>
      <c r="F880" s="2">
        <v>37217</v>
      </c>
      <c r="G880" s="2" t="s">
        <v>64</v>
      </c>
      <c r="H880" t="s">
        <v>2707</v>
      </c>
      <c r="I880" s="6">
        <v>32416</v>
      </c>
      <c r="J880" s="2" t="s">
        <v>3331</v>
      </c>
      <c r="K880" s="2">
        <v>48000</v>
      </c>
      <c r="L880" t="s">
        <v>2689</v>
      </c>
      <c r="M880" t="s">
        <v>29</v>
      </c>
      <c r="N880" t="s">
        <v>30</v>
      </c>
      <c r="O880">
        <v>37214</v>
      </c>
      <c r="P880" t="s">
        <v>3332</v>
      </c>
      <c r="Q880" s="2">
        <v>0.28000000000000003</v>
      </c>
      <c r="R880" s="2">
        <v>80</v>
      </c>
      <c r="S880" s="2">
        <v>163</v>
      </c>
      <c r="T880" t="s">
        <v>3333</v>
      </c>
      <c r="U880" s="6">
        <v>22229</v>
      </c>
      <c r="V880" s="2">
        <v>47037015700</v>
      </c>
      <c r="W880" s="2" t="s">
        <v>68</v>
      </c>
      <c r="X880" s="1">
        <v>45658</v>
      </c>
      <c r="Y880" s="2">
        <v>57600</v>
      </c>
      <c r="Z880" s="2">
        <v>0</v>
      </c>
      <c r="AA880" s="2">
        <v>57600</v>
      </c>
    </row>
    <row r="881" spans="1:27" x14ac:dyDescent="0.3">
      <c r="A881" s="3">
        <v>13</v>
      </c>
      <c r="B881" s="2" t="str">
        <f>"12014017700"</f>
        <v>12014017700</v>
      </c>
      <c r="C881" s="2" t="s">
        <v>3334</v>
      </c>
      <c r="D881" t="s">
        <v>29</v>
      </c>
      <c r="E881" s="2" t="s">
        <v>30</v>
      </c>
      <c r="F881" s="2">
        <v>37217</v>
      </c>
      <c r="G881" s="2" t="s">
        <v>64</v>
      </c>
      <c r="H881" t="s">
        <v>2707</v>
      </c>
      <c r="I881" s="6">
        <v>32393</v>
      </c>
      <c r="J881" s="2" t="s">
        <v>3335</v>
      </c>
      <c r="K881" s="2">
        <v>59000</v>
      </c>
      <c r="L881" t="s">
        <v>2689</v>
      </c>
      <c r="M881" t="s">
        <v>29</v>
      </c>
      <c r="N881" t="s">
        <v>30</v>
      </c>
      <c r="O881">
        <v>37214</v>
      </c>
      <c r="P881" t="s">
        <v>3336</v>
      </c>
      <c r="Q881" s="2">
        <v>0.28000000000000003</v>
      </c>
      <c r="R881" s="2">
        <v>80</v>
      </c>
      <c r="S881" s="2">
        <v>162</v>
      </c>
      <c r="T881" t="s">
        <v>3337</v>
      </c>
      <c r="U881" s="6">
        <v>27127</v>
      </c>
      <c r="V881" s="2">
        <v>47037015700</v>
      </c>
      <c r="W881" s="2" t="s">
        <v>68</v>
      </c>
      <c r="X881" s="1">
        <v>45658</v>
      </c>
      <c r="Y881" s="2">
        <v>57600</v>
      </c>
      <c r="Z881" s="2">
        <v>0</v>
      </c>
      <c r="AA881" s="2">
        <v>57600</v>
      </c>
    </row>
    <row r="882" spans="1:27" x14ac:dyDescent="0.3">
      <c r="A882" s="3">
        <v>13</v>
      </c>
      <c r="B882" s="2" t="str">
        <f>"12014017600"</f>
        <v>12014017600</v>
      </c>
      <c r="C882" s="2" t="s">
        <v>3338</v>
      </c>
      <c r="D882" t="s">
        <v>29</v>
      </c>
      <c r="E882" s="2" t="s">
        <v>30</v>
      </c>
      <c r="F882" s="2">
        <v>37217</v>
      </c>
      <c r="G882" s="2" t="s">
        <v>64</v>
      </c>
      <c r="H882" t="s">
        <v>2707</v>
      </c>
      <c r="I882" s="6">
        <v>32129</v>
      </c>
      <c r="J882" s="2" t="s">
        <v>3339</v>
      </c>
      <c r="K882" s="2">
        <v>45000</v>
      </c>
      <c r="L882" t="s">
        <v>2689</v>
      </c>
      <c r="M882" t="s">
        <v>29</v>
      </c>
      <c r="N882" t="s">
        <v>30</v>
      </c>
      <c r="O882">
        <v>37214</v>
      </c>
      <c r="P882" t="s">
        <v>3340</v>
      </c>
      <c r="Q882" s="2">
        <v>0.28000000000000003</v>
      </c>
      <c r="R882" s="2">
        <v>80</v>
      </c>
      <c r="S882" s="2">
        <v>161</v>
      </c>
      <c r="T882" t="s">
        <v>3341</v>
      </c>
      <c r="U882" s="6">
        <v>25841</v>
      </c>
      <c r="V882" s="2">
        <v>47037015700</v>
      </c>
      <c r="W882" s="2" t="s">
        <v>68</v>
      </c>
      <c r="X882" s="1">
        <v>45658</v>
      </c>
      <c r="Y882" s="2">
        <v>57600</v>
      </c>
      <c r="Z882" s="2">
        <v>0</v>
      </c>
      <c r="AA882" s="2">
        <v>57600</v>
      </c>
    </row>
    <row r="883" spans="1:27" x14ac:dyDescent="0.3">
      <c r="A883" s="3">
        <v>13</v>
      </c>
      <c r="B883" s="2" t="str">
        <f>"12014017500"</f>
        <v>12014017500</v>
      </c>
      <c r="C883" s="2" t="s">
        <v>3342</v>
      </c>
      <c r="D883" t="s">
        <v>29</v>
      </c>
      <c r="E883" s="2" t="s">
        <v>30</v>
      </c>
      <c r="F883" s="2">
        <v>37217</v>
      </c>
      <c r="G883" s="2" t="s">
        <v>64</v>
      </c>
      <c r="H883" t="s">
        <v>2707</v>
      </c>
      <c r="I883" s="6">
        <v>32517</v>
      </c>
      <c r="J883" s="2" t="s">
        <v>3343</v>
      </c>
      <c r="K883" s="2">
        <v>62000</v>
      </c>
      <c r="L883" t="s">
        <v>2689</v>
      </c>
      <c r="M883" t="s">
        <v>29</v>
      </c>
      <c r="N883" t="s">
        <v>30</v>
      </c>
      <c r="O883">
        <v>37214</v>
      </c>
      <c r="P883" t="s">
        <v>3344</v>
      </c>
      <c r="Q883" s="2">
        <v>0.28000000000000003</v>
      </c>
      <c r="R883" s="2">
        <v>80</v>
      </c>
      <c r="S883" s="2">
        <v>161</v>
      </c>
      <c r="T883" t="s">
        <v>3345</v>
      </c>
      <c r="U883" s="6">
        <v>17778</v>
      </c>
      <c r="V883" s="2">
        <v>47037015700</v>
      </c>
      <c r="W883" s="2" t="s">
        <v>68</v>
      </c>
      <c r="X883" s="1">
        <v>45658</v>
      </c>
      <c r="Y883" s="2">
        <v>57600</v>
      </c>
      <c r="Z883" s="2">
        <v>0</v>
      </c>
      <c r="AA883" s="2">
        <v>57600</v>
      </c>
    </row>
    <row r="884" spans="1:27" x14ac:dyDescent="0.3">
      <c r="A884" s="3">
        <v>13</v>
      </c>
      <c r="B884" s="2" t="str">
        <f>"12014017400"</f>
        <v>12014017400</v>
      </c>
      <c r="C884" s="2" t="s">
        <v>3346</v>
      </c>
      <c r="D884" t="s">
        <v>29</v>
      </c>
      <c r="E884" s="2" t="s">
        <v>30</v>
      </c>
      <c r="F884" s="2">
        <v>37217</v>
      </c>
      <c r="G884" s="2" t="s">
        <v>64</v>
      </c>
      <c r="H884" t="s">
        <v>2707</v>
      </c>
      <c r="I884" s="6">
        <v>32342</v>
      </c>
      <c r="J884" s="2" t="s">
        <v>3347</v>
      </c>
      <c r="K884" s="2">
        <v>52000</v>
      </c>
      <c r="L884" t="s">
        <v>2689</v>
      </c>
      <c r="M884" t="s">
        <v>29</v>
      </c>
      <c r="N884" t="s">
        <v>30</v>
      </c>
      <c r="O884">
        <v>37214</v>
      </c>
      <c r="P884" t="s">
        <v>3348</v>
      </c>
      <c r="Q884" s="2">
        <v>0.28000000000000003</v>
      </c>
      <c r="R884" s="2">
        <v>80</v>
      </c>
      <c r="S884" s="2">
        <v>162</v>
      </c>
      <c r="T884" t="s">
        <v>3349</v>
      </c>
      <c r="U884" s="6">
        <v>23334</v>
      </c>
      <c r="V884" s="2">
        <v>47037015700</v>
      </c>
      <c r="W884" s="2" t="s">
        <v>68</v>
      </c>
      <c r="X884" s="1">
        <v>45658</v>
      </c>
      <c r="Y884" s="2">
        <v>57600</v>
      </c>
      <c r="Z884" s="2">
        <v>0</v>
      </c>
      <c r="AA884" s="2">
        <v>57600</v>
      </c>
    </row>
    <row r="885" spans="1:27" x14ac:dyDescent="0.3">
      <c r="A885" s="3">
        <v>13</v>
      </c>
      <c r="B885" s="2" t="str">
        <f>"12014017300"</f>
        <v>12014017300</v>
      </c>
      <c r="C885" s="2" t="s">
        <v>3350</v>
      </c>
      <c r="D885" t="s">
        <v>29</v>
      </c>
      <c r="E885" s="2" t="s">
        <v>30</v>
      </c>
      <c r="F885" s="2">
        <v>37217</v>
      </c>
      <c r="G885" s="2" t="s">
        <v>64</v>
      </c>
      <c r="H885" t="s">
        <v>2707</v>
      </c>
      <c r="I885" s="6">
        <v>32335</v>
      </c>
      <c r="J885" s="2" t="s">
        <v>3351</v>
      </c>
      <c r="K885" s="2">
        <v>56000</v>
      </c>
      <c r="L885" t="s">
        <v>2689</v>
      </c>
      <c r="M885" t="s">
        <v>29</v>
      </c>
      <c r="N885" t="s">
        <v>30</v>
      </c>
      <c r="O885">
        <v>37214</v>
      </c>
      <c r="P885" t="s">
        <v>3352</v>
      </c>
      <c r="Q885" s="2">
        <v>0.28000000000000003</v>
      </c>
      <c r="R885" s="2">
        <v>80</v>
      </c>
      <c r="S885" s="2">
        <v>162</v>
      </c>
      <c r="T885" t="s">
        <v>3353</v>
      </c>
      <c r="U885" s="6">
        <v>24947</v>
      </c>
      <c r="V885" s="2">
        <v>47037015700</v>
      </c>
      <c r="W885" s="2" t="s">
        <v>68</v>
      </c>
      <c r="X885" s="1">
        <v>45658</v>
      </c>
      <c r="Y885" s="2">
        <v>57600</v>
      </c>
      <c r="Z885" s="2">
        <v>0</v>
      </c>
      <c r="AA885" s="2">
        <v>57600</v>
      </c>
    </row>
    <row r="886" spans="1:27" x14ac:dyDescent="0.3">
      <c r="A886" s="3">
        <v>13</v>
      </c>
      <c r="B886" s="2" t="str">
        <f>"12014017200"</f>
        <v>12014017200</v>
      </c>
      <c r="C886" s="2" t="s">
        <v>3354</v>
      </c>
      <c r="D886" t="s">
        <v>29</v>
      </c>
      <c r="E886" s="2" t="s">
        <v>30</v>
      </c>
      <c r="F886" s="2">
        <v>37217</v>
      </c>
      <c r="G886" s="2" t="s">
        <v>64</v>
      </c>
      <c r="H886" t="s">
        <v>2707</v>
      </c>
      <c r="I886" s="6">
        <v>32101</v>
      </c>
      <c r="J886" s="2" t="s">
        <v>3355</v>
      </c>
      <c r="K886" s="2">
        <v>55000</v>
      </c>
      <c r="L886" t="s">
        <v>2689</v>
      </c>
      <c r="M886" t="s">
        <v>29</v>
      </c>
      <c r="N886" t="s">
        <v>30</v>
      </c>
      <c r="O886">
        <v>37214</v>
      </c>
      <c r="P886" t="s">
        <v>3356</v>
      </c>
      <c r="Q886" s="2">
        <v>0.28000000000000003</v>
      </c>
      <c r="R886" s="2">
        <v>80</v>
      </c>
      <c r="S886" s="2">
        <v>163</v>
      </c>
      <c r="T886" t="s">
        <v>3357</v>
      </c>
      <c r="U886" s="6">
        <v>20502</v>
      </c>
      <c r="V886" s="2">
        <v>47037015700</v>
      </c>
      <c r="W886" s="2" t="s">
        <v>68</v>
      </c>
      <c r="X886" s="1">
        <v>45658</v>
      </c>
      <c r="Y886" s="2">
        <v>57600</v>
      </c>
      <c r="Z886" s="2">
        <v>0</v>
      </c>
      <c r="AA886" s="2">
        <v>57600</v>
      </c>
    </row>
    <row r="887" spans="1:27" x14ac:dyDescent="0.3">
      <c r="A887" s="3">
        <v>13</v>
      </c>
      <c r="B887" s="2" t="str">
        <f>"12014017100"</f>
        <v>12014017100</v>
      </c>
      <c r="C887" s="2" t="s">
        <v>3358</v>
      </c>
      <c r="D887" t="s">
        <v>29</v>
      </c>
      <c r="E887" s="2" t="s">
        <v>30</v>
      </c>
      <c r="F887" s="2">
        <v>37217</v>
      </c>
      <c r="G887" s="2" t="s">
        <v>64</v>
      </c>
      <c r="H887" t="s">
        <v>2707</v>
      </c>
      <c r="I887" s="6">
        <v>32077</v>
      </c>
      <c r="J887" s="2" t="s">
        <v>3359</v>
      </c>
      <c r="K887" s="2">
        <v>43500</v>
      </c>
      <c r="L887" t="s">
        <v>2689</v>
      </c>
      <c r="M887" t="s">
        <v>29</v>
      </c>
      <c r="N887" t="s">
        <v>30</v>
      </c>
      <c r="O887">
        <v>37214</v>
      </c>
      <c r="P887" t="s">
        <v>3360</v>
      </c>
      <c r="Q887" s="2">
        <v>0.28000000000000003</v>
      </c>
      <c r="R887" s="2">
        <v>80</v>
      </c>
      <c r="S887" s="2">
        <v>164</v>
      </c>
      <c r="T887" t="s">
        <v>3361</v>
      </c>
      <c r="U887" s="6">
        <v>26564</v>
      </c>
      <c r="V887" s="2">
        <v>47037015700</v>
      </c>
      <c r="W887" s="2" t="s">
        <v>68</v>
      </c>
      <c r="X887" s="1">
        <v>45658</v>
      </c>
      <c r="Y887" s="2">
        <v>57600</v>
      </c>
      <c r="Z887" s="2">
        <v>0</v>
      </c>
      <c r="AA887" s="2">
        <v>57600</v>
      </c>
    </row>
    <row r="888" spans="1:27" x14ac:dyDescent="0.3">
      <c r="A888" s="3">
        <v>13</v>
      </c>
      <c r="B888" s="2" t="str">
        <f>"12014017000"</f>
        <v>12014017000</v>
      </c>
      <c r="C888" s="2" t="s">
        <v>3362</v>
      </c>
      <c r="D888" t="s">
        <v>29</v>
      </c>
      <c r="E888" s="2" t="s">
        <v>30</v>
      </c>
      <c r="F888" s="2">
        <v>37217</v>
      </c>
      <c r="G888" s="2" t="s">
        <v>64</v>
      </c>
      <c r="H888" t="s">
        <v>2707</v>
      </c>
      <c r="I888" s="6">
        <v>32126</v>
      </c>
      <c r="J888" s="2" t="s">
        <v>3363</v>
      </c>
      <c r="K888" s="2">
        <v>45650</v>
      </c>
      <c r="L888" t="s">
        <v>2689</v>
      </c>
      <c r="M888" t="s">
        <v>29</v>
      </c>
      <c r="N888" t="s">
        <v>30</v>
      </c>
      <c r="O888">
        <v>37214</v>
      </c>
      <c r="P888" t="s">
        <v>3364</v>
      </c>
      <c r="Q888" s="2">
        <v>0.28999999999999998</v>
      </c>
      <c r="R888" s="2">
        <v>80</v>
      </c>
      <c r="S888" s="2">
        <v>164</v>
      </c>
      <c r="T888" t="s">
        <v>3365</v>
      </c>
      <c r="U888" s="6">
        <v>18195</v>
      </c>
      <c r="V888" s="2">
        <v>47037015700</v>
      </c>
      <c r="W888" s="2" t="s">
        <v>68</v>
      </c>
      <c r="X888" s="1">
        <v>45658</v>
      </c>
      <c r="Y888" s="2">
        <v>57600</v>
      </c>
      <c r="Z888" s="2">
        <v>0</v>
      </c>
      <c r="AA888" s="2">
        <v>57600</v>
      </c>
    </row>
    <row r="889" spans="1:27" x14ac:dyDescent="0.3">
      <c r="A889" s="3">
        <v>13</v>
      </c>
      <c r="B889" s="2" t="str">
        <f>"12014016900"</f>
        <v>12014016900</v>
      </c>
      <c r="C889" s="2" t="s">
        <v>3366</v>
      </c>
      <c r="D889" t="s">
        <v>29</v>
      </c>
      <c r="E889" s="2" t="s">
        <v>30</v>
      </c>
      <c r="F889" s="2">
        <v>37217</v>
      </c>
      <c r="G889" s="2" t="s">
        <v>64</v>
      </c>
      <c r="H889" t="s">
        <v>2707</v>
      </c>
      <c r="I889" s="6">
        <v>32195</v>
      </c>
      <c r="J889" s="2" t="s">
        <v>3367</v>
      </c>
      <c r="K889" s="2">
        <v>64000</v>
      </c>
      <c r="L889" t="s">
        <v>2689</v>
      </c>
      <c r="M889" t="s">
        <v>29</v>
      </c>
      <c r="N889" t="s">
        <v>30</v>
      </c>
      <c r="O889">
        <v>37214</v>
      </c>
      <c r="P889" t="s">
        <v>3368</v>
      </c>
      <c r="Q889" s="2">
        <v>0.23</v>
      </c>
      <c r="R889" s="2">
        <v>35</v>
      </c>
      <c r="S889" s="2">
        <v>164</v>
      </c>
      <c r="T889" t="s">
        <v>3044</v>
      </c>
      <c r="U889" s="6">
        <v>33721</v>
      </c>
      <c r="V889" s="2">
        <v>47037015700</v>
      </c>
      <c r="W889" s="2" t="s">
        <v>68</v>
      </c>
      <c r="X889" s="1">
        <v>45658</v>
      </c>
      <c r="Y889" s="2">
        <v>57600</v>
      </c>
      <c r="Z889" s="2">
        <v>0</v>
      </c>
      <c r="AA889" s="2">
        <v>57600</v>
      </c>
    </row>
    <row r="890" spans="1:27" x14ac:dyDescent="0.3">
      <c r="A890" s="3">
        <v>13</v>
      </c>
      <c r="B890" s="2" t="str">
        <f>"10700005001"</f>
        <v>10700005001</v>
      </c>
      <c r="C890" s="2" t="s">
        <v>3369</v>
      </c>
      <c r="D890" t="s">
        <v>29</v>
      </c>
      <c r="E890" s="2" t="s">
        <v>30</v>
      </c>
      <c r="F890" s="2">
        <v>37214</v>
      </c>
      <c r="G890" s="2" t="s">
        <v>152</v>
      </c>
      <c r="H890" t="s">
        <v>2707</v>
      </c>
      <c r="I890" s="6">
        <v>25797</v>
      </c>
      <c r="J890" s="2" t="s">
        <v>2712</v>
      </c>
      <c r="K890" s="2" t="s">
        <v>34</v>
      </c>
      <c r="L890" t="s">
        <v>2689</v>
      </c>
      <c r="M890" t="s">
        <v>29</v>
      </c>
      <c r="N890" t="s">
        <v>30</v>
      </c>
      <c r="O890">
        <v>37214</v>
      </c>
      <c r="P890" t="s">
        <v>3370</v>
      </c>
      <c r="Q890" s="2">
        <v>11.79</v>
      </c>
      <c r="R890" s="2">
        <v>539</v>
      </c>
      <c r="S890" s="2">
        <v>0</v>
      </c>
      <c r="T890" t="s">
        <v>2710</v>
      </c>
      <c r="U890" s="6">
        <v>41814</v>
      </c>
      <c r="V890" s="2">
        <v>47037980100</v>
      </c>
      <c r="W890" s="2" t="s">
        <v>68</v>
      </c>
      <c r="X890" s="1">
        <v>45658</v>
      </c>
      <c r="Y890" s="2">
        <v>4005900</v>
      </c>
      <c r="Z890" s="2">
        <v>0</v>
      </c>
      <c r="AA890" s="2">
        <v>4005900</v>
      </c>
    </row>
    <row r="891" spans="1:27" x14ac:dyDescent="0.3">
      <c r="A891" s="3">
        <v>13</v>
      </c>
      <c r="B891" s="2" t="str">
        <f>"12015001500"</f>
        <v>12015001500</v>
      </c>
      <c r="C891" s="2" t="s">
        <v>3371</v>
      </c>
      <c r="D891" t="s">
        <v>29</v>
      </c>
      <c r="E891" s="2" t="s">
        <v>30</v>
      </c>
      <c r="F891" s="2">
        <v>37217</v>
      </c>
      <c r="G891" s="2" t="s">
        <v>64</v>
      </c>
      <c r="H891" t="s">
        <v>2707</v>
      </c>
      <c r="I891" s="6">
        <v>32071</v>
      </c>
      <c r="J891" s="2" t="s">
        <v>3372</v>
      </c>
      <c r="K891" s="2">
        <v>57000</v>
      </c>
      <c r="L891" t="s">
        <v>2689</v>
      </c>
      <c r="M891" t="s">
        <v>29</v>
      </c>
      <c r="N891" t="s">
        <v>30</v>
      </c>
      <c r="O891">
        <v>37214</v>
      </c>
      <c r="P891" t="s">
        <v>3373</v>
      </c>
      <c r="Q891" s="2">
        <v>0.14000000000000001</v>
      </c>
      <c r="R891" s="2">
        <v>88</v>
      </c>
      <c r="S891" s="2">
        <v>91</v>
      </c>
      <c r="T891" t="s">
        <v>3044</v>
      </c>
      <c r="U891" s="6">
        <v>33721</v>
      </c>
      <c r="V891" s="2">
        <v>47037015700</v>
      </c>
      <c r="W891" s="2" t="s">
        <v>68</v>
      </c>
      <c r="X891" s="1">
        <v>45658</v>
      </c>
      <c r="Y891" s="2">
        <v>51800</v>
      </c>
      <c r="Z891" s="2">
        <v>0</v>
      </c>
      <c r="AA891" s="2">
        <v>51800</v>
      </c>
    </row>
    <row r="892" spans="1:27" x14ac:dyDescent="0.3">
      <c r="A892" s="3">
        <v>13</v>
      </c>
      <c r="B892" s="2" t="str">
        <f>"12014012300"</f>
        <v>12014012300</v>
      </c>
      <c r="C892" s="2" t="s">
        <v>3374</v>
      </c>
      <c r="D892" t="s">
        <v>29</v>
      </c>
      <c r="E892" s="2" t="s">
        <v>30</v>
      </c>
      <c r="F892" s="2">
        <v>37217</v>
      </c>
      <c r="G892" s="2" t="s">
        <v>64</v>
      </c>
      <c r="H892" t="s">
        <v>2707</v>
      </c>
      <c r="I892" s="6">
        <v>32098</v>
      </c>
      <c r="J892" s="2" t="s">
        <v>3375</v>
      </c>
      <c r="K892" s="2">
        <v>50000</v>
      </c>
      <c r="L892" t="s">
        <v>2689</v>
      </c>
      <c r="M892" t="s">
        <v>29</v>
      </c>
      <c r="N892" t="s">
        <v>30</v>
      </c>
      <c r="O892">
        <v>37214</v>
      </c>
      <c r="P892" t="s">
        <v>3376</v>
      </c>
      <c r="Q892" s="2">
        <v>0.06</v>
      </c>
      <c r="R892" s="2">
        <v>111</v>
      </c>
      <c r="S892" s="2">
        <v>89</v>
      </c>
      <c r="T892" t="s">
        <v>3044</v>
      </c>
      <c r="U892" s="6">
        <v>33721</v>
      </c>
      <c r="V892" s="2">
        <v>47037015700</v>
      </c>
      <c r="W892" s="2" t="s">
        <v>68</v>
      </c>
      <c r="X892" s="1">
        <v>45658</v>
      </c>
      <c r="Y892" s="2">
        <v>1400</v>
      </c>
      <c r="Z892" s="2">
        <v>0</v>
      </c>
      <c r="AA892" s="2">
        <v>1400</v>
      </c>
    </row>
    <row r="893" spans="1:27" x14ac:dyDescent="0.3">
      <c r="A893" s="3">
        <v>13</v>
      </c>
      <c r="B893" s="2" t="str">
        <f>"12100008700"</f>
        <v>12100008700</v>
      </c>
      <c r="C893" s="2" t="s">
        <v>3377</v>
      </c>
      <c r="D893" t="s">
        <v>29</v>
      </c>
      <c r="E893" s="2" t="s">
        <v>30</v>
      </c>
      <c r="F893" s="2">
        <v>37217</v>
      </c>
      <c r="G893" s="2" t="s">
        <v>152</v>
      </c>
      <c r="H893" t="s">
        <v>2707</v>
      </c>
      <c r="I893" s="6">
        <v>32161</v>
      </c>
      <c r="J893" s="2" t="s">
        <v>3378</v>
      </c>
      <c r="K893" s="2" t="s">
        <v>34</v>
      </c>
      <c r="L893" t="s">
        <v>2689</v>
      </c>
      <c r="M893" t="s">
        <v>29</v>
      </c>
      <c r="N893" t="s">
        <v>30</v>
      </c>
      <c r="O893">
        <v>37214</v>
      </c>
      <c r="P893" t="s">
        <v>3379</v>
      </c>
      <c r="Q893" s="2">
        <v>325.39999999999998</v>
      </c>
      <c r="R893" s="2">
        <v>1288</v>
      </c>
      <c r="S893" s="2">
        <v>0</v>
      </c>
      <c r="T893" t="s">
        <v>2710</v>
      </c>
      <c r="U893" s="6">
        <v>41814</v>
      </c>
      <c r="V893" s="2">
        <v>47037015612</v>
      </c>
      <c r="W893" s="2" t="s">
        <v>68</v>
      </c>
      <c r="X893" s="1">
        <v>45658</v>
      </c>
      <c r="Y893" s="2">
        <v>18407800</v>
      </c>
      <c r="Z893" s="2">
        <v>510800</v>
      </c>
      <c r="AA893" s="2">
        <v>17897000</v>
      </c>
    </row>
    <row r="894" spans="1:27" x14ac:dyDescent="0.3">
      <c r="A894" s="3">
        <v>13</v>
      </c>
      <c r="B894" s="2" t="str">
        <f>"12100000400"</f>
        <v>12100000400</v>
      </c>
      <c r="C894" s="2" t="s">
        <v>3380</v>
      </c>
      <c r="D894" t="s">
        <v>29</v>
      </c>
      <c r="E894" s="2" t="s">
        <v>30</v>
      </c>
      <c r="F894" s="2">
        <v>37214</v>
      </c>
      <c r="G894" s="2" t="s">
        <v>152</v>
      </c>
      <c r="H894" t="s">
        <v>2707</v>
      </c>
      <c r="I894" s="6">
        <v>32161</v>
      </c>
      <c r="J894" s="2" t="s">
        <v>3378</v>
      </c>
      <c r="K894" s="2">
        <v>200000</v>
      </c>
      <c r="L894" t="s">
        <v>2689</v>
      </c>
      <c r="M894" t="s">
        <v>29</v>
      </c>
      <c r="N894" t="s">
        <v>30</v>
      </c>
      <c r="O894">
        <v>37214</v>
      </c>
      <c r="P894" t="s">
        <v>3381</v>
      </c>
      <c r="Q894" s="2">
        <v>59.91</v>
      </c>
      <c r="R894" s="2">
        <v>1787</v>
      </c>
      <c r="S894" s="2">
        <v>0</v>
      </c>
      <c r="T894" t="s">
        <v>2710</v>
      </c>
      <c r="U894" s="6">
        <v>41814</v>
      </c>
      <c r="V894" s="2">
        <v>47037015625</v>
      </c>
      <c r="W894" s="2" t="s">
        <v>68</v>
      </c>
      <c r="X894" s="1">
        <v>45658</v>
      </c>
      <c r="Y894" s="2">
        <v>3295100</v>
      </c>
      <c r="Z894" s="2">
        <v>0</v>
      </c>
      <c r="AA894" s="2">
        <v>3295100</v>
      </c>
    </row>
    <row r="895" spans="1:27" x14ac:dyDescent="0.3">
      <c r="A895" s="3">
        <v>13</v>
      </c>
      <c r="B895" s="2" t="str">
        <f>"10700004900"</f>
        <v>10700004900</v>
      </c>
      <c r="C895" s="2" t="s">
        <v>3382</v>
      </c>
      <c r="D895" t="s">
        <v>29</v>
      </c>
      <c r="E895" s="2" t="s">
        <v>30</v>
      </c>
      <c r="F895" s="2">
        <v>37217</v>
      </c>
      <c r="G895" s="2" t="s">
        <v>2601</v>
      </c>
      <c r="H895" t="s">
        <v>2707</v>
      </c>
      <c r="I895" s="6">
        <v>25798</v>
      </c>
      <c r="J895" s="2" t="s">
        <v>2715</v>
      </c>
      <c r="K895" s="2" t="s">
        <v>34</v>
      </c>
      <c r="L895" t="s">
        <v>2689</v>
      </c>
      <c r="M895" t="s">
        <v>29</v>
      </c>
      <c r="N895" t="s">
        <v>30</v>
      </c>
      <c r="O895">
        <v>37214</v>
      </c>
      <c r="P895" t="s">
        <v>3383</v>
      </c>
      <c r="Q895" s="2">
        <v>21.05</v>
      </c>
      <c r="R895" s="2">
        <v>0</v>
      </c>
      <c r="S895" s="2">
        <v>0</v>
      </c>
      <c r="T895" t="s">
        <v>3384</v>
      </c>
      <c r="U895" s="6">
        <v>28314</v>
      </c>
      <c r="V895" s="2">
        <v>47037015804</v>
      </c>
      <c r="W895" s="2" t="s">
        <v>68</v>
      </c>
      <c r="X895" s="1">
        <v>45658</v>
      </c>
      <c r="Y895" s="2">
        <v>0</v>
      </c>
      <c r="Z895" s="2">
        <v>0</v>
      </c>
      <c r="AA895" s="2">
        <v>0</v>
      </c>
    </row>
    <row r="896" spans="1:27" x14ac:dyDescent="0.3">
      <c r="A896" s="3">
        <v>13</v>
      </c>
      <c r="B896" s="2" t="str">
        <f>"10800033200"</f>
        <v>10800033200</v>
      </c>
      <c r="C896" s="2" t="s">
        <v>1986</v>
      </c>
      <c r="D896" t="s">
        <v>29</v>
      </c>
      <c r="E896" s="2" t="s">
        <v>30</v>
      </c>
      <c r="F896" s="2">
        <v>37214</v>
      </c>
      <c r="G896" s="2" t="s">
        <v>1485</v>
      </c>
      <c r="H896" t="s">
        <v>2707</v>
      </c>
      <c r="I896" s="6">
        <v>37034</v>
      </c>
      <c r="J896" s="2" t="s">
        <v>3385</v>
      </c>
      <c r="K896" s="2" t="s">
        <v>34</v>
      </c>
      <c r="L896" t="s">
        <v>2689</v>
      </c>
      <c r="M896" t="s">
        <v>29</v>
      </c>
      <c r="N896" t="s">
        <v>30</v>
      </c>
      <c r="O896">
        <v>37214</v>
      </c>
      <c r="P896" t="s">
        <v>3386</v>
      </c>
      <c r="Q896" s="2">
        <v>42.57</v>
      </c>
      <c r="R896" s="2">
        <v>403</v>
      </c>
      <c r="S896" s="2">
        <v>0</v>
      </c>
      <c r="T896" t="s">
        <v>2710</v>
      </c>
      <c r="U896" s="6">
        <v>41814</v>
      </c>
      <c r="V896" s="2">
        <v>47037980100</v>
      </c>
      <c r="W896" s="2" t="s">
        <v>68</v>
      </c>
      <c r="X896" s="1">
        <v>45658</v>
      </c>
      <c r="Y896" s="2">
        <v>4682700</v>
      </c>
      <c r="Z896" s="2">
        <v>0</v>
      </c>
      <c r="AA896" s="2">
        <v>4682700</v>
      </c>
    </row>
    <row r="897" spans="1:27" x14ac:dyDescent="0.3">
      <c r="A897" s="3">
        <v>13</v>
      </c>
      <c r="B897" s="2" t="str">
        <f>"10800006600"</f>
        <v>10800006600</v>
      </c>
      <c r="C897" s="2" t="s">
        <v>3387</v>
      </c>
      <c r="D897" t="s">
        <v>29</v>
      </c>
      <c r="E897" s="2" t="s">
        <v>30</v>
      </c>
      <c r="F897" s="2">
        <v>37214</v>
      </c>
      <c r="G897" s="2" t="s">
        <v>2495</v>
      </c>
      <c r="H897" t="s">
        <v>2707</v>
      </c>
      <c r="I897" s="6">
        <v>39139</v>
      </c>
      <c r="J897" s="2" t="s">
        <v>3388</v>
      </c>
      <c r="K897" s="2" t="s">
        <v>34</v>
      </c>
      <c r="L897" t="s">
        <v>2689</v>
      </c>
      <c r="M897" t="s">
        <v>29</v>
      </c>
      <c r="N897" t="s">
        <v>30</v>
      </c>
      <c r="O897">
        <v>37214</v>
      </c>
      <c r="P897" t="s">
        <v>3389</v>
      </c>
      <c r="Q897" s="2">
        <v>1167.94</v>
      </c>
      <c r="R897" s="2">
        <v>1888</v>
      </c>
      <c r="S897" s="2">
        <v>0</v>
      </c>
      <c r="T897" t="s">
        <v>3390</v>
      </c>
      <c r="U897" s="6">
        <v>44909</v>
      </c>
      <c r="V897" s="2">
        <v>47037980100</v>
      </c>
      <c r="W897" s="2" t="s">
        <v>68</v>
      </c>
      <c r="X897" s="1">
        <v>45658</v>
      </c>
      <c r="Y897" s="2">
        <v>78915200</v>
      </c>
      <c r="Z897" s="2">
        <v>14678500</v>
      </c>
      <c r="AA897" s="2">
        <v>64236700</v>
      </c>
    </row>
    <row r="898" spans="1:27" x14ac:dyDescent="0.3">
      <c r="A898" s="3">
        <v>13</v>
      </c>
      <c r="B898" s="2" t="str">
        <f>"10700005000"</f>
        <v>10700005000</v>
      </c>
      <c r="C898" s="2" t="s">
        <v>3391</v>
      </c>
      <c r="D898" t="s">
        <v>29</v>
      </c>
      <c r="E898" s="2" t="s">
        <v>30</v>
      </c>
      <c r="F898" s="2">
        <v>37214</v>
      </c>
      <c r="G898" s="2" t="s">
        <v>152</v>
      </c>
      <c r="H898" t="s">
        <v>2707</v>
      </c>
      <c r="I898" s="6">
        <v>28313</v>
      </c>
      <c r="J898" s="2" t="s">
        <v>2708</v>
      </c>
      <c r="K898" s="2">
        <v>0</v>
      </c>
      <c r="L898" t="s">
        <v>2689</v>
      </c>
      <c r="M898" t="s">
        <v>29</v>
      </c>
      <c r="N898" t="s">
        <v>30</v>
      </c>
      <c r="O898">
        <v>37214</v>
      </c>
      <c r="P898" t="s">
        <v>3392</v>
      </c>
      <c r="Q898" s="2">
        <v>2110.61</v>
      </c>
      <c r="R898" s="2">
        <v>0</v>
      </c>
      <c r="S898" s="2">
        <v>0</v>
      </c>
      <c r="T898" t="s">
        <v>3390</v>
      </c>
      <c r="U898" s="6">
        <v>44909</v>
      </c>
      <c r="V898" s="2">
        <v>47037980100</v>
      </c>
      <c r="W898" s="2" t="s">
        <v>68</v>
      </c>
      <c r="X898" s="1">
        <v>45658</v>
      </c>
      <c r="Y898" s="2">
        <v>125232600</v>
      </c>
      <c r="Z898" s="2">
        <v>40808200</v>
      </c>
      <c r="AA898" s="2">
        <v>84424400</v>
      </c>
    </row>
    <row r="899" spans="1:27" x14ac:dyDescent="0.3">
      <c r="A899" s="3">
        <v>13</v>
      </c>
      <c r="B899" s="2" t="str">
        <f>"12000015400"</f>
        <v>12000015400</v>
      </c>
      <c r="C899" s="2" t="s">
        <v>3393</v>
      </c>
      <c r="D899" t="s">
        <v>29</v>
      </c>
      <c r="E899" s="2" t="s">
        <v>30</v>
      </c>
      <c r="F899" s="2">
        <v>37217</v>
      </c>
      <c r="G899" s="2" t="s">
        <v>1485</v>
      </c>
      <c r="H899" t="s">
        <v>2707</v>
      </c>
      <c r="I899" s="6">
        <v>33780</v>
      </c>
      <c r="J899" s="2" t="s">
        <v>3394</v>
      </c>
      <c r="K899" s="2">
        <v>0</v>
      </c>
      <c r="L899" t="s">
        <v>2689</v>
      </c>
      <c r="M899" t="s">
        <v>29</v>
      </c>
      <c r="N899" t="s">
        <v>30</v>
      </c>
      <c r="O899">
        <v>37214</v>
      </c>
      <c r="P899" t="s">
        <v>2616</v>
      </c>
      <c r="Q899" s="2">
        <v>344.91</v>
      </c>
      <c r="R899" s="2">
        <v>2094</v>
      </c>
      <c r="S899" s="2">
        <v>0</v>
      </c>
      <c r="T899" t="s">
        <v>2615</v>
      </c>
      <c r="U899" s="6">
        <v>41976</v>
      </c>
      <c r="V899" s="2">
        <v>47037980100</v>
      </c>
      <c r="W899" s="2" t="s">
        <v>68</v>
      </c>
      <c r="X899" s="1">
        <v>45658</v>
      </c>
      <c r="Y899" s="2">
        <v>18970100</v>
      </c>
      <c r="Z899" s="2">
        <v>0</v>
      </c>
      <c r="AA899" s="2">
        <v>18970100</v>
      </c>
    </row>
    <row r="900" spans="1:27" x14ac:dyDescent="0.3">
      <c r="A900" s="3">
        <v>14</v>
      </c>
      <c r="B900" s="2" t="str">
        <f>"07408024300"</f>
        <v>07408024300</v>
      </c>
      <c r="C900" s="2" t="s">
        <v>3395</v>
      </c>
      <c r="D900" t="s">
        <v>2512</v>
      </c>
      <c r="E900" s="2" t="s">
        <v>30</v>
      </c>
      <c r="F900" s="2">
        <v>37076</v>
      </c>
      <c r="G900" s="2" t="s">
        <v>152</v>
      </c>
      <c r="H900" t="s">
        <v>32</v>
      </c>
      <c r="I900" s="6">
        <v>26846</v>
      </c>
      <c r="J900" s="2" t="s">
        <v>1990</v>
      </c>
      <c r="K900" s="2">
        <v>0</v>
      </c>
      <c r="L900" t="s">
        <v>35</v>
      </c>
      <c r="M900" t="s">
        <v>29</v>
      </c>
      <c r="N900" t="s">
        <v>30</v>
      </c>
      <c r="O900">
        <v>37219</v>
      </c>
      <c r="P900" t="s">
        <v>3396</v>
      </c>
      <c r="Q900" s="2">
        <v>2.79</v>
      </c>
      <c r="R900" s="2">
        <v>507</v>
      </c>
      <c r="S900" s="2">
        <v>230</v>
      </c>
      <c r="T900" t="s">
        <v>3397</v>
      </c>
      <c r="U900" s="6">
        <v>39100</v>
      </c>
      <c r="V900" s="2">
        <v>47037015402</v>
      </c>
      <c r="W900" s="2" t="s">
        <v>38</v>
      </c>
      <c r="X900" s="1">
        <v>45658</v>
      </c>
      <c r="Y900" s="2">
        <v>688000</v>
      </c>
      <c r="Z900" s="2">
        <v>0</v>
      </c>
      <c r="AA900" s="2">
        <v>688000</v>
      </c>
    </row>
    <row r="901" spans="1:27" x14ac:dyDescent="0.3">
      <c r="A901" s="3">
        <v>14</v>
      </c>
      <c r="B901" s="2" t="str">
        <f>"08507002600"</f>
        <v>08507002600</v>
      </c>
      <c r="C901" s="2" t="s">
        <v>3398</v>
      </c>
      <c r="D901" t="s">
        <v>29</v>
      </c>
      <c r="E901" s="2" t="s">
        <v>30</v>
      </c>
      <c r="F901" s="2">
        <v>37214</v>
      </c>
      <c r="G901" s="2" t="s">
        <v>194</v>
      </c>
      <c r="H901" t="s">
        <v>32</v>
      </c>
      <c r="I901" s="6">
        <v>43601</v>
      </c>
      <c r="J901" s="2" t="s">
        <v>3399</v>
      </c>
      <c r="K901" s="2">
        <v>0</v>
      </c>
      <c r="L901" t="s">
        <v>2247</v>
      </c>
      <c r="M901" t="s">
        <v>29</v>
      </c>
      <c r="N901" t="s">
        <v>30</v>
      </c>
      <c r="O901">
        <v>37219</v>
      </c>
      <c r="P901" t="s">
        <v>3400</v>
      </c>
      <c r="Q901" s="2">
        <v>0.72</v>
      </c>
      <c r="R901" s="2">
        <v>114</v>
      </c>
      <c r="S901" s="2">
        <v>243</v>
      </c>
      <c r="T901" t="s">
        <v>3401</v>
      </c>
      <c r="U901" s="6">
        <v>22696</v>
      </c>
      <c r="V901" s="2">
        <v>47037015501</v>
      </c>
      <c r="W901" s="2" t="s">
        <v>68</v>
      </c>
      <c r="X901" s="1">
        <v>45658</v>
      </c>
      <c r="Y901" s="2">
        <v>321800</v>
      </c>
      <c r="Z901" s="2">
        <v>183800</v>
      </c>
      <c r="AA901" s="2">
        <v>138000</v>
      </c>
    </row>
    <row r="902" spans="1:27" x14ac:dyDescent="0.3">
      <c r="A902" s="3">
        <v>14</v>
      </c>
      <c r="B902" s="2" t="str">
        <f>"08500001600"</f>
        <v>08500001600</v>
      </c>
      <c r="C902" s="2" t="s">
        <v>3402</v>
      </c>
      <c r="D902" t="s">
        <v>2512</v>
      </c>
      <c r="E902" s="2" t="s">
        <v>30</v>
      </c>
      <c r="F902" s="2">
        <v>37076</v>
      </c>
      <c r="G902" s="2" t="s">
        <v>31</v>
      </c>
      <c r="H902" t="s">
        <v>32</v>
      </c>
      <c r="I902" s="6">
        <v>40927</v>
      </c>
      <c r="J902" s="2" t="s">
        <v>3403</v>
      </c>
      <c r="K902" s="2">
        <v>0</v>
      </c>
      <c r="L902" t="s">
        <v>35</v>
      </c>
      <c r="M902" t="s">
        <v>29</v>
      </c>
      <c r="N902" t="s">
        <v>30</v>
      </c>
      <c r="O902">
        <v>37219</v>
      </c>
      <c r="P902" t="s">
        <v>3404</v>
      </c>
      <c r="Q902" s="2">
        <v>6.94</v>
      </c>
      <c r="R902" s="2">
        <v>0</v>
      </c>
      <c r="S902" s="2">
        <v>0</v>
      </c>
      <c r="T902" t="s">
        <v>3405</v>
      </c>
      <c r="U902" s="6">
        <v>22769</v>
      </c>
      <c r="V902" s="2">
        <v>47037015402</v>
      </c>
      <c r="W902" s="2" t="s">
        <v>38</v>
      </c>
      <c r="X902" s="1">
        <v>45658</v>
      </c>
      <c r="Y902" s="2">
        <v>85900</v>
      </c>
      <c r="Z902" s="2">
        <v>0</v>
      </c>
      <c r="AA902" s="2">
        <v>85900</v>
      </c>
    </row>
    <row r="903" spans="1:27" x14ac:dyDescent="0.3">
      <c r="A903" s="3">
        <v>14</v>
      </c>
      <c r="B903" s="2" t="str">
        <f>"08500021700"</f>
        <v>08500021700</v>
      </c>
      <c r="C903" s="2" t="s">
        <v>3406</v>
      </c>
      <c r="D903" t="s">
        <v>2512</v>
      </c>
      <c r="E903" s="2" t="s">
        <v>30</v>
      </c>
      <c r="F903" s="2">
        <v>37076</v>
      </c>
      <c r="G903" s="2" t="s">
        <v>200</v>
      </c>
      <c r="H903" t="s">
        <v>32</v>
      </c>
      <c r="I903" s="6">
        <v>40927</v>
      </c>
      <c r="J903" s="2" t="s">
        <v>3403</v>
      </c>
      <c r="K903" s="2">
        <v>0</v>
      </c>
      <c r="L903" t="s">
        <v>35</v>
      </c>
      <c r="M903" t="s">
        <v>29</v>
      </c>
      <c r="N903" t="s">
        <v>30</v>
      </c>
      <c r="O903">
        <v>37219</v>
      </c>
      <c r="P903" t="s">
        <v>3407</v>
      </c>
      <c r="Q903" s="2">
        <v>169.17</v>
      </c>
      <c r="R903" s="2">
        <v>5450</v>
      </c>
      <c r="S903" s="2">
        <v>0</v>
      </c>
      <c r="T903" t="s">
        <v>3408</v>
      </c>
      <c r="U903" s="6">
        <v>40938</v>
      </c>
      <c r="V903" s="2">
        <v>47037015402</v>
      </c>
      <c r="W903" s="2" t="s">
        <v>38</v>
      </c>
      <c r="X903" s="1">
        <v>45658</v>
      </c>
      <c r="Y903" s="2">
        <v>5632600</v>
      </c>
      <c r="Z903" s="2">
        <v>161900</v>
      </c>
      <c r="AA903" s="2">
        <v>5470700</v>
      </c>
    </row>
    <row r="904" spans="1:27" x14ac:dyDescent="0.3">
      <c r="A904" s="3">
        <v>14</v>
      </c>
      <c r="B904" s="2" t="str">
        <f>"08500001200"</f>
        <v>08500001200</v>
      </c>
      <c r="C904" s="2" t="s">
        <v>3409</v>
      </c>
      <c r="D904" t="s">
        <v>29</v>
      </c>
      <c r="E904" s="2" t="s">
        <v>30</v>
      </c>
      <c r="F904" s="2">
        <v>37214</v>
      </c>
      <c r="G904" s="2" t="s">
        <v>31</v>
      </c>
      <c r="H904" t="s">
        <v>32</v>
      </c>
      <c r="I904" s="6">
        <v>43601</v>
      </c>
      <c r="J904" s="2" t="s">
        <v>3399</v>
      </c>
      <c r="K904" s="2">
        <v>0</v>
      </c>
      <c r="L904" t="s">
        <v>2247</v>
      </c>
      <c r="M904" t="s">
        <v>29</v>
      </c>
      <c r="N904" t="s">
        <v>30</v>
      </c>
      <c r="O904">
        <v>37219</v>
      </c>
      <c r="P904" t="s">
        <v>3410</v>
      </c>
      <c r="Q904" s="2">
        <v>53.44</v>
      </c>
      <c r="R904" s="2">
        <v>0</v>
      </c>
      <c r="S904" s="2">
        <v>0</v>
      </c>
      <c r="T904" t="s">
        <v>3411</v>
      </c>
      <c r="U904" s="6">
        <v>30790</v>
      </c>
      <c r="V904" s="2">
        <v>47037015501</v>
      </c>
      <c r="W904" s="2" t="s">
        <v>68</v>
      </c>
      <c r="X904" s="1">
        <v>45658</v>
      </c>
      <c r="Y904" s="2">
        <v>1306200</v>
      </c>
      <c r="Z904" s="2">
        <v>0</v>
      </c>
      <c r="AA904" s="2">
        <v>1306200</v>
      </c>
    </row>
    <row r="905" spans="1:27" x14ac:dyDescent="0.3">
      <c r="A905" s="3">
        <v>14</v>
      </c>
      <c r="B905" s="2" t="str">
        <f>"07412017200"</f>
        <v>07412017200</v>
      </c>
      <c r="C905" s="2" t="s">
        <v>3412</v>
      </c>
      <c r="D905" t="s">
        <v>2512</v>
      </c>
      <c r="E905" s="2" t="s">
        <v>30</v>
      </c>
      <c r="F905" s="2">
        <v>37076</v>
      </c>
      <c r="G905" s="2" t="s">
        <v>64</v>
      </c>
      <c r="H905" t="s">
        <v>32</v>
      </c>
      <c r="I905" s="6">
        <v>42633</v>
      </c>
      <c r="J905" s="2" t="s">
        <v>3413</v>
      </c>
      <c r="K905" s="2">
        <v>482</v>
      </c>
      <c r="L905" t="s">
        <v>35</v>
      </c>
      <c r="M905" t="s">
        <v>29</v>
      </c>
      <c r="N905" t="s">
        <v>30</v>
      </c>
      <c r="O905">
        <v>37219</v>
      </c>
      <c r="P905" t="s">
        <v>3414</v>
      </c>
      <c r="Q905" s="2">
        <v>0.01</v>
      </c>
      <c r="R905" s="2">
        <v>2</v>
      </c>
      <c r="S905" s="2">
        <v>10</v>
      </c>
      <c r="T905" t="s">
        <v>3415</v>
      </c>
      <c r="U905" s="6">
        <v>22803</v>
      </c>
      <c r="V905" s="2">
        <v>47037015402</v>
      </c>
      <c r="W905" s="2" t="s">
        <v>38</v>
      </c>
      <c r="X905" s="1">
        <v>45658</v>
      </c>
      <c r="Y905" s="2">
        <v>1500</v>
      </c>
      <c r="Z905" s="2">
        <v>0</v>
      </c>
      <c r="AA905" s="2">
        <v>1500</v>
      </c>
    </row>
    <row r="906" spans="1:27" x14ac:dyDescent="0.3">
      <c r="A906" s="3">
        <v>14</v>
      </c>
      <c r="B906" s="2" t="str">
        <f>"07404013200"</f>
        <v>07404013200</v>
      </c>
      <c r="C906" s="2" t="s">
        <v>3416</v>
      </c>
      <c r="D906" t="s">
        <v>2512</v>
      </c>
      <c r="E906" s="2" t="s">
        <v>30</v>
      </c>
      <c r="F906" s="2">
        <v>37076</v>
      </c>
      <c r="G906" s="2" t="s">
        <v>64</v>
      </c>
      <c r="H906" t="s">
        <v>99</v>
      </c>
      <c r="I906" s="6">
        <v>32926</v>
      </c>
      <c r="J906" s="2" t="s">
        <v>3417</v>
      </c>
      <c r="K906" s="2">
        <v>327</v>
      </c>
      <c r="L906" t="s">
        <v>35</v>
      </c>
      <c r="M906" t="s">
        <v>29</v>
      </c>
      <c r="N906" t="s">
        <v>30</v>
      </c>
      <c r="O906">
        <v>37219</v>
      </c>
      <c r="P906" t="s">
        <v>3418</v>
      </c>
      <c r="Q906" s="2">
        <v>0.03</v>
      </c>
      <c r="R906" s="2">
        <v>0</v>
      </c>
      <c r="S906" s="2">
        <v>43</v>
      </c>
      <c r="T906" t="s">
        <v>3419</v>
      </c>
      <c r="U906" s="6">
        <v>28874</v>
      </c>
      <c r="V906" s="2">
        <v>47037015402</v>
      </c>
      <c r="W906" s="2" t="s">
        <v>38</v>
      </c>
      <c r="X906" s="1">
        <v>45658</v>
      </c>
      <c r="Y906" s="2">
        <v>1100</v>
      </c>
      <c r="Z906" s="2">
        <v>0</v>
      </c>
      <c r="AA906" s="2">
        <v>1100</v>
      </c>
    </row>
    <row r="907" spans="1:27" x14ac:dyDescent="0.3">
      <c r="A907" s="3">
        <v>14</v>
      </c>
      <c r="B907" s="2" t="str">
        <f>"07509014100"</f>
        <v>07509014100</v>
      </c>
      <c r="C907" s="2" t="s">
        <v>3420</v>
      </c>
      <c r="D907" t="s">
        <v>2512</v>
      </c>
      <c r="E907" s="2" t="s">
        <v>30</v>
      </c>
      <c r="F907" s="2">
        <v>37076</v>
      </c>
      <c r="G907" s="2" t="s">
        <v>147</v>
      </c>
      <c r="H907" t="s">
        <v>1131</v>
      </c>
      <c r="I907" s="6">
        <v>28509</v>
      </c>
      <c r="J907" s="2" t="s">
        <v>3421</v>
      </c>
      <c r="K907" s="2" t="s">
        <v>34</v>
      </c>
      <c r="L907" t="s">
        <v>35</v>
      </c>
      <c r="M907" t="s">
        <v>29</v>
      </c>
      <c r="N907" t="s">
        <v>30</v>
      </c>
      <c r="O907">
        <v>37219</v>
      </c>
      <c r="P907" t="s">
        <v>3422</v>
      </c>
      <c r="Q907" s="2">
        <v>0.76</v>
      </c>
      <c r="R907" s="2">
        <v>130</v>
      </c>
      <c r="S907" s="2">
        <v>300</v>
      </c>
      <c r="T907" t="s">
        <v>3423</v>
      </c>
      <c r="U907" s="6">
        <v>21057</v>
      </c>
      <c r="V907" s="2">
        <v>47037015402</v>
      </c>
      <c r="W907" s="2" t="s">
        <v>38</v>
      </c>
      <c r="X907" s="1">
        <v>45658</v>
      </c>
      <c r="Y907" s="2">
        <v>496600</v>
      </c>
      <c r="Z907" s="2">
        <v>0</v>
      </c>
      <c r="AA907" s="2">
        <v>496600</v>
      </c>
    </row>
    <row r="908" spans="1:27" x14ac:dyDescent="0.3">
      <c r="A908" s="3">
        <v>14</v>
      </c>
      <c r="B908" s="2" t="str">
        <f>"08600014700"</f>
        <v>08600014700</v>
      </c>
      <c r="C908" s="2" t="s">
        <v>3424</v>
      </c>
      <c r="D908" t="s">
        <v>2512</v>
      </c>
      <c r="E908" s="2" t="s">
        <v>30</v>
      </c>
      <c r="F908" s="2">
        <v>37076</v>
      </c>
      <c r="G908" s="2" t="s">
        <v>77</v>
      </c>
      <c r="H908" t="s">
        <v>171</v>
      </c>
      <c r="I908" s="6">
        <v>35317</v>
      </c>
      <c r="J908" s="2" t="s">
        <v>3425</v>
      </c>
      <c r="K908" s="2">
        <v>615000</v>
      </c>
      <c r="L908" t="s">
        <v>35</v>
      </c>
      <c r="M908" t="s">
        <v>29</v>
      </c>
      <c r="N908" t="s">
        <v>30</v>
      </c>
      <c r="O908">
        <v>37219</v>
      </c>
      <c r="P908" t="s">
        <v>3426</v>
      </c>
      <c r="Q908" s="2">
        <v>22.03</v>
      </c>
      <c r="R908" s="2">
        <v>0</v>
      </c>
      <c r="S908" s="2">
        <v>0</v>
      </c>
      <c r="T908" t="s">
        <v>3427</v>
      </c>
      <c r="U908" s="6">
        <v>35306</v>
      </c>
      <c r="V908" s="2">
        <v>47037015623</v>
      </c>
      <c r="W908" s="2" t="s">
        <v>38</v>
      </c>
      <c r="X908" s="1">
        <v>45658</v>
      </c>
      <c r="Y908" s="2">
        <v>699900</v>
      </c>
      <c r="Z908" s="2">
        <v>34400</v>
      </c>
      <c r="AA908" s="2">
        <v>665500</v>
      </c>
    </row>
    <row r="909" spans="1:27" x14ac:dyDescent="0.3">
      <c r="A909" s="3">
        <v>14</v>
      </c>
      <c r="B909" s="2" t="str">
        <f>"07408007000"</f>
        <v>07408007000</v>
      </c>
      <c r="C909" s="2" t="s">
        <v>3428</v>
      </c>
      <c r="D909" t="s">
        <v>2512</v>
      </c>
      <c r="E909" s="2" t="s">
        <v>30</v>
      </c>
      <c r="F909" s="2">
        <v>37076</v>
      </c>
      <c r="G909" s="2" t="s">
        <v>152</v>
      </c>
      <c r="H909" t="s">
        <v>176</v>
      </c>
      <c r="I909" s="6">
        <v>22864</v>
      </c>
      <c r="J909" s="2" t="s">
        <v>3429</v>
      </c>
      <c r="K909" s="2" t="s">
        <v>34</v>
      </c>
      <c r="L909" t="s">
        <v>178</v>
      </c>
      <c r="M909" t="s">
        <v>29</v>
      </c>
      <c r="N909" t="s">
        <v>30</v>
      </c>
      <c r="O909">
        <v>37246</v>
      </c>
      <c r="P909" t="s">
        <v>3430</v>
      </c>
      <c r="Q909" s="2">
        <v>0.28999999999999998</v>
      </c>
      <c r="R909" s="2">
        <v>80</v>
      </c>
      <c r="S909" s="2">
        <v>155</v>
      </c>
      <c r="T909" t="s">
        <v>3431</v>
      </c>
      <c r="U909" s="6">
        <v>22864</v>
      </c>
      <c r="V909" s="2">
        <v>47037015402</v>
      </c>
      <c r="W909" s="2" t="s">
        <v>38</v>
      </c>
      <c r="X909" s="1">
        <v>45658</v>
      </c>
      <c r="Y909" s="2">
        <v>86000</v>
      </c>
      <c r="Z909" s="2">
        <v>0</v>
      </c>
      <c r="AA909" s="2">
        <v>86000</v>
      </c>
    </row>
    <row r="910" spans="1:27" x14ac:dyDescent="0.3">
      <c r="A910" s="3">
        <v>14</v>
      </c>
      <c r="B910" s="2" t="str">
        <f>"07514004200"</f>
        <v>07514004200</v>
      </c>
      <c r="C910" s="2" t="s">
        <v>3432</v>
      </c>
      <c r="D910" t="s">
        <v>2512</v>
      </c>
      <c r="E910" s="2" t="s">
        <v>30</v>
      </c>
      <c r="F910" s="2">
        <v>37076</v>
      </c>
      <c r="G910" s="2" t="s">
        <v>152</v>
      </c>
      <c r="H910" t="s">
        <v>176</v>
      </c>
      <c r="I910" s="6">
        <v>23964</v>
      </c>
      <c r="J910" s="2" t="s">
        <v>3433</v>
      </c>
      <c r="K910" s="2" t="s">
        <v>34</v>
      </c>
      <c r="L910" t="s">
        <v>178</v>
      </c>
      <c r="M910" t="s">
        <v>29</v>
      </c>
      <c r="N910" t="s">
        <v>30</v>
      </c>
      <c r="O910">
        <v>37246</v>
      </c>
      <c r="P910" t="s">
        <v>3434</v>
      </c>
      <c r="Q910" s="2">
        <v>4.63</v>
      </c>
      <c r="R910" s="2">
        <v>0</v>
      </c>
      <c r="S910" s="2">
        <v>0</v>
      </c>
      <c r="T910" t="s">
        <v>3433</v>
      </c>
      <c r="U910" s="6">
        <v>23964</v>
      </c>
      <c r="V910" s="2">
        <v>47037015404</v>
      </c>
      <c r="W910" s="2" t="s">
        <v>38</v>
      </c>
      <c r="X910" s="1">
        <v>45658</v>
      </c>
      <c r="Y910" s="2">
        <v>1978600</v>
      </c>
      <c r="Z910" s="2">
        <v>0</v>
      </c>
      <c r="AA910" s="2">
        <v>1978600</v>
      </c>
    </row>
    <row r="911" spans="1:27" x14ac:dyDescent="0.3">
      <c r="A911" s="3">
        <v>14</v>
      </c>
      <c r="B911" s="2" t="str">
        <f>"07513012200"</f>
        <v>07513012200</v>
      </c>
      <c r="C911" s="2" t="s">
        <v>3435</v>
      </c>
      <c r="D911" t="s">
        <v>2512</v>
      </c>
      <c r="E911" s="2" t="s">
        <v>30</v>
      </c>
      <c r="F911" s="2">
        <v>37076</v>
      </c>
      <c r="G911" s="2" t="s">
        <v>152</v>
      </c>
      <c r="H911" t="s">
        <v>176</v>
      </c>
      <c r="I911" s="6">
        <v>21760</v>
      </c>
      <c r="J911" s="2" t="s">
        <v>3436</v>
      </c>
      <c r="K911" s="2" t="s">
        <v>34</v>
      </c>
      <c r="L911" t="s">
        <v>178</v>
      </c>
      <c r="M911" t="s">
        <v>29</v>
      </c>
      <c r="N911" t="s">
        <v>30</v>
      </c>
      <c r="O911">
        <v>37246</v>
      </c>
      <c r="P911" t="s">
        <v>3437</v>
      </c>
      <c r="Q911" s="2">
        <v>0.36</v>
      </c>
      <c r="R911" s="2">
        <v>77</v>
      </c>
      <c r="S911" s="2">
        <v>205</v>
      </c>
      <c r="T911" t="s">
        <v>3436</v>
      </c>
      <c r="U911" s="6">
        <v>21760</v>
      </c>
      <c r="V911" s="2">
        <v>47037015402</v>
      </c>
      <c r="W911" s="2" t="s">
        <v>38</v>
      </c>
      <c r="X911" s="1">
        <v>45658</v>
      </c>
      <c r="Y911" s="2">
        <v>86000</v>
      </c>
      <c r="Z911" s="2">
        <v>0</v>
      </c>
      <c r="AA911" s="2">
        <v>86000</v>
      </c>
    </row>
    <row r="912" spans="1:27" x14ac:dyDescent="0.3">
      <c r="A912" s="3">
        <v>14</v>
      </c>
      <c r="B912" s="2" t="str">
        <f>"08500004400"</f>
        <v>08500004400</v>
      </c>
      <c r="C912" s="2" t="s">
        <v>3438</v>
      </c>
      <c r="D912" t="s">
        <v>2512</v>
      </c>
      <c r="E912" s="2" t="s">
        <v>30</v>
      </c>
      <c r="F912" s="2">
        <v>37076</v>
      </c>
      <c r="G912" s="2" t="s">
        <v>31</v>
      </c>
      <c r="H912" t="s">
        <v>176</v>
      </c>
      <c r="I912" s="6">
        <v>32674</v>
      </c>
      <c r="J912" s="2" t="s">
        <v>3439</v>
      </c>
      <c r="K912" s="2" t="s">
        <v>34</v>
      </c>
      <c r="L912" t="s">
        <v>178</v>
      </c>
      <c r="M912" t="s">
        <v>29</v>
      </c>
      <c r="N912" t="s">
        <v>30</v>
      </c>
      <c r="O912">
        <v>37246</v>
      </c>
      <c r="P912" t="s">
        <v>3440</v>
      </c>
      <c r="Q912" s="2">
        <v>5.42</v>
      </c>
      <c r="R912" s="2">
        <v>0</v>
      </c>
      <c r="S912" s="2">
        <v>0</v>
      </c>
      <c r="T912" t="s">
        <v>3441</v>
      </c>
      <c r="U912" s="6">
        <v>26050</v>
      </c>
      <c r="V912" s="2">
        <v>47037015609</v>
      </c>
      <c r="W912" s="2" t="s">
        <v>38</v>
      </c>
      <c r="X912" s="1">
        <v>45658</v>
      </c>
      <c r="Y912" s="2">
        <v>293500</v>
      </c>
      <c r="Z912" s="2">
        <v>0</v>
      </c>
      <c r="AA912" s="2">
        <v>293500</v>
      </c>
    </row>
    <row r="913" spans="1:27" x14ac:dyDescent="0.3">
      <c r="A913" s="3">
        <v>14</v>
      </c>
      <c r="B913" s="2" t="str">
        <f>"09600000100"</f>
        <v>09600000100</v>
      </c>
      <c r="C913" s="2" t="s">
        <v>3442</v>
      </c>
      <c r="D913" t="s">
        <v>29</v>
      </c>
      <c r="E913" s="2" t="s">
        <v>30</v>
      </c>
      <c r="F913" s="2">
        <v>37214</v>
      </c>
      <c r="G913" s="2" t="s">
        <v>152</v>
      </c>
      <c r="H913" t="s">
        <v>176</v>
      </c>
      <c r="I913" s="6">
        <v>29486</v>
      </c>
      <c r="J913" s="2" t="s">
        <v>3443</v>
      </c>
      <c r="K913" s="2" t="s">
        <v>34</v>
      </c>
      <c r="L913" t="s">
        <v>178</v>
      </c>
      <c r="M913" t="s">
        <v>29</v>
      </c>
      <c r="N913" t="s">
        <v>30</v>
      </c>
      <c r="O913">
        <v>37246</v>
      </c>
      <c r="P913" t="s">
        <v>3444</v>
      </c>
      <c r="Q913" s="2">
        <v>16.82</v>
      </c>
      <c r="R913" s="2">
        <v>0</v>
      </c>
      <c r="S913" s="2">
        <v>0</v>
      </c>
      <c r="T913" t="s">
        <v>3445</v>
      </c>
      <c r="U913" s="6">
        <v>38330</v>
      </c>
      <c r="V913" s="2">
        <v>47037015501</v>
      </c>
      <c r="W913" s="2" t="s">
        <v>68</v>
      </c>
      <c r="X913" s="1">
        <v>45658</v>
      </c>
      <c r="Y913" s="2">
        <v>54700</v>
      </c>
      <c r="Z913" s="2">
        <v>0</v>
      </c>
      <c r="AA913" s="2">
        <v>54700</v>
      </c>
    </row>
    <row r="914" spans="1:27" x14ac:dyDescent="0.3">
      <c r="A914" s="3">
        <v>14</v>
      </c>
      <c r="B914" s="2" t="str">
        <f>"08500002900"</f>
        <v>08500002900</v>
      </c>
      <c r="C914" s="2" t="s">
        <v>3446</v>
      </c>
      <c r="D914" t="s">
        <v>2512</v>
      </c>
      <c r="E914" s="2" t="s">
        <v>30</v>
      </c>
      <c r="F914" s="2">
        <v>37076</v>
      </c>
      <c r="G914" s="2" t="s">
        <v>2267</v>
      </c>
      <c r="H914" t="s">
        <v>176</v>
      </c>
      <c r="I914" s="6">
        <v>32674</v>
      </c>
      <c r="J914" s="2" t="s">
        <v>3439</v>
      </c>
      <c r="K914" s="2" t="s">
        <v>34</v>
      </c>
      <c r="L914" t="s">
        <v>178</v>
      </c>
      <c r="M914" t="s">
        <v>29</v>
      </c>
      <c r="N914" t="s">
        <v>30</v>
      </c>
      <c r="O914">
        <v>37246</v>
      </c>
      <c r="P914" t="s">
        <v>3447</v>
      </c>
      <c r="Q914" s="2">
        <v>8.9499999999999993</v>
      </c>
      <c r="R914" s="2">
        <v>0</v>
      </c>
      <c r="S914" s="2">
        <v>0</v>
      </c>
      <c r="T914" t="s">
        <v>3448</v>
      </c>
      <c r="U914" s="6">
        <v>26015</v>
      </c>
      <c r="V914" s="2">
        <v>47037015609</v>
      </c>
      <c r="W914" s="2" t="s">
        <v>38</v>
      </c>
      <c r="X914" s="1">
        <v>45658</v>
      </c>
      <c r="Y914" s="2">
        <v>365000</v>
      </c>
      <c r="Z914" s="2">
        <v>0</v>
      </c>
      <c r="AA914" s="2">
        <v>365000</v>
      </c>
    </row>
    <row r="915" spans="1:27" x14ac:dyDescent="0.3">
      <c r="A915" s="3">
        <v>14</v>
      </c>
      <c r="B915" s="2" t="str">
        <f>"08500000600"</f>
        <v>08500000600</v>
      </c>
      <c r="C915" s="2" t="s">
        <v>3449</v>
      </c>
      <c r="D915" t="s">
        <v>2512</v>
      </c>
      <c r="E915" s="2" t="s">
        <v>30</v>
      </c>
      <c r="F915" s="2">
        <v>37076</v>
      </c>
      <c r="G915" s="2" t="s">
        <v>200</v>
      </c>
      <c r="H915" t="s">
        <v>206</v>
      </c>
      <c r="I915" s="6">
        <v>41285</v>
      </c>
      <c r="J915" s="2" t="s">
        <v>3450</v>
      </c>
      <c r="K915" s="2">
        <v>0</v>
      </c>
      <c r="L915" t="s">
        <v>35</v>
      </c>
      <c r="M915" t="s">
        <v>29</v>
      </c>
      <c r="N915" t="s">
        <v>30</v>
      </c>
      <c r="O915">
        <v>37219</v>
      </c>
      <c r="P915" t="s">
        <v>3451</v>
      </c>
      <c r="Q915" s="2">
        <v>601</v>
      </c>
      <c r="R915" s="2">
        <v>0</v>
      </c>
      <c r="S915" s="2">
        <v>0</v>
      </c>
      <c r="T915" t="s">
        <v>3452</v>
      </c>
      <c r="U915" s="6">
        <v>40234</v>
      </c>
      <c r="V915" s="2">
        <v>47037015402</v>
      </c>
      <c r="W915" s="2" t="s">
        <v>38</v>
      </c>
      <c r="X915" s="1">
        <v>45658</v>
      </c>
      <c r="Y915" s="2">
        <v>9412900</v>
      </c>
      <c r="Z915" s="2">
        <v>22600</v>
      </c>
      <c r="AA915" s="2">
        <v>9390300</v>
      </c>
    </row>
    <row r="916" spans="1:27" x14ac:dyDescent="0.3">
      <c r="A916" s="3">
        <v>14</v>
      </c>
      <c r="B916" s="2" t="str">
        <f>"08500006500"</f>
        <v>08500006500</v>
      </c>
      <c r="C916" s="2" t="s">
        <v>3402</v>
      </c>
      <c r="D916" t="s">
        <v>2512</v>
      </c>
      <c r="E916" s="2" t="s">
        <v>30</v>
      </c>
      <c r="F916" s="2">
        <v>37076</v>
      </c>
      <c r="G916" s="2" t="s">
        <v>200</v>
      </c>
      <c r="H916" t="s">
        <v>3453</v>
      </c>
      <c r="I916" s="6">
        <v>36816</v>
      </c>
      <c r="J916" s="2" t="s">
        <v>3454</v>
      </c>
      <c r="K916" s="2">
        <v>180500</v>
      </c>
      <c r="L916" t="s">
        <v>35</v>
      </c>
      <c r="M916" t="s">
        <v>29</v>
      </c>
      <c r="N916" t="s">
        <v>30</v>
      </c>
      <c r="O916">
        <v>37219</v>
      </c>
      <c r="P916" t="s">
        <v>3455</v>
      </c>
      <c r="Q916" s="2">
        <v>5.93</v>
      </c>
      <c r="R916" s="2">
        <v>0</v>
      </c>
      <c r="S916" s="2">
        <v>0</v>
      </c>
      <c r="T916" t="s">
        <v>3456</v>
      </c>
      <c r="U916" s="6">
        <v>29361</v>
      </c>
      <c r="V916" s="2">
        <v>47037015402</v>
      </c>
      <c r="W916" s="2" t="s">
        <v>38</v>
      </c>
      <c r="X916" s="1">
        <v>45658</v>
      </c>
      <c r="Y916" s="2">
        <v>314600</v>
      </c>
      <c r="Z916" s="2">
        <v>0</v>
      </c>
      <c r="AA916" s="2">
        <v>314600</v>
      </c>
    </row>
    <row r="917" spans="1:27" x14ac:dyDescent="0.3">
      <c r="A917" s="3">
        <v>14</v>
      </c>
      <c r="B917" s="2" t="str">
        <f>"08500000800"</f>
        <v>08500000800</v>
      </c>
      <c r="C917" s="2" t="s">
        <v>3457</v>
      </c>
      <c r="D917" t="s">
        <v>2512</v>
      </c>
      <c r="E917" s="2" t="s">
        <v>30</v>
      </c>
      <c r="F917" s="2">
        <v>37076</v>
      </c>
      <c r="G917" s="2" t="s">
        <v>200</v>
      </c>
      <c r="H917" t="s">
        <v>3453</v>
      </c>
      <c r="I917" s="6">
        <v>36816</v>
      </c>
      <c r="J917" s="2" t="s">
        <v>3454</v>
      </c>
      <c r="K917" s="2">
        <v>180500</v>
      </c>
      <c r="L917" t="s">
        <v>35</v>
      </c>
      <c r="M917" t="s">
        <v>29</v>
      </c>
      <c r="N917" t="s">
        <v>30</v>
      </c>
      <c r="O917">
        <v>37219</v>
      </c>
      <c r="P917" t="s">
        <v>3404</v>
      </c>
      <c r="Q917" s="2">
        <v>2.76</v>
      </c>
      <c r="R917" s="2">
        <v>0</v>
      </c>
      <c r="S917" s="2">
        <v>0</v>
      </c>
      <c r="T917" t="s">
        <v>3458</v>
      </c>
      <c r="U917" s="6">
        <v>21655</v>
      </c>
      <c r="V917" s="2">
        <v>47037015402</v>
      </c>
      <c r="W917" s="2" t="s">
        <v>38</v>
      </c>
      <c r="X917" s="1">
        <v>45658</v>
      </c>
      <c r="Y917" s="2">
        <v>204500</v>
      </c>
      <c r="Z917" s="2">
        <v>0</v>
      </c>
      <c r="AA917" s="2">
        <v>204500</v>
      </c>
    </row>
    <row r="918" spans="1:27" x14ac:dyDescent="0.3">
      <c r="A918" s="3">
        <v>14</v>
      </c>
      <c r="B918" s="2" t="str">
        <f>"08500001700"</f>
        <v>08500001700</v>
      </c>
      <c r="C918" s="2" t="s">
        <v>3459</v>
      </c>
      <c r="D918" t="s">
        <v>2512</v>
      </c>
      <c r="E918" s="2" t="s">
        <v>30</v>
      </c>
      <c r="F918" s="2">
        <v>37076</v>
      </c>
      <c r="G918" s="2" t="s">
        <v>194</v>
      </c>
      <c r="H918" t="s">
        <v>249</v>
      </c>
      <c r="I918" s="6">
        <v>39122</v>
      </c>
      <c r="J918" s="2" t="s">
        <v>3460</v>
      </c>
      <c r="K918" s="2">
        <v>1975000</v>
      </c>
      <c r="L918" t="s">
        <v>35</v>
      </c>
      <c r="M918" t="s">
        <v>29</v>
      </c>
      <c r="N918" t="s">
        <v>30</v>
      </c>
      <c r="O918">
        <v>37219</v>
      </c>
      <c r="P918" t="s">
        <v>3461</v>
      </c>
      <c r="Q918" s="2">
        <v>2.1</v>
      </c>
      <c r="R918" s="2">
        <v>0</v>
      </c>
      <c r="S918" s="2">
        <v>0</v>
      </c>
      <c r="T918" t="s">
        <v>3462</v>
      </c>
      <c r="U918" s="6">
        <v>40136</v>
      </c>
      <c r="V918" s="2">
        <v>47037015402</v>
      </c>
      <c r="W918" s="2" t="s">
        <v>38</v>
      </c>
      <c r="X918" s="1">
        <v>45658</v>
      </c>
      <c r="Y918" s="2">
        <v>198600</v>
      </c>
      <c r="Z918" s="2">
        <v>66300</v>
      </c>
      <c r="AA918" s="2">
        <v>132300</v>
      </c>
    </row>
    <row r="919" spans="1:27" x14ac:dyDescent="0.3">
      <c r="A919" s="3">
        <v>14</v>
      </c>
      <c r="B919" s="2" t="str">
        <f>"08500001800"</f>
        <v>08500001800</v>
      </c>
      <c r="C919" s="2" t="s">
        <v>3463</v>
      </c>
      <c r="D919" t="s">
        <v>2512</v>
      </c>
      <c r="E919" s="2" t="s">
        <v>30</v>
      </c>
      <c r="F919" s="2">
        <v>37076</v>
      </c>
      <c r="G919" s="2" t="s">
        <v>194</v>
      </c>
      <c r="H919" t="s">
        <v>249</v>
      </c>
      <c r="I919" s="6">
        <v>39122</v>
      </c>
      <c r="J919" s="2" t="s">
        <v>3460</v>
      </c>
      <c r="K919" s="2">
        <v>1975000</v>
      </c>
      <c r="L919" t="s">
        <v>35</v>
      </c>
      <c r="M919" t="s">
        <v>29</v>
      </c>
      <c r="N919" t="s">
        <v>30</v>
      </c>
      <c r="O919">
        <v>37219</v>
      </c>
      <c r="P919" t="s">
        <v>3464</v>
      </c>
      <c r="Q919" s="2">
        <v>7.46</v>
      </c>
      <c r="R919" s="2">
        <v>516</v>
      </c>
      <c r="S919" s="2">
        <v>0</v>
      </c>
      <c r="T919" t="s">
        <v>3465</v>
      </c>
      <c r="U919" s="6">
        <v>39693</v>
      </c>
      <c r="V919" s="2">
        <v>47037015402</v>
      </c>
      <c r="W919" s="2" t="s">
        <v>38</v>
      </c>
      <c r="X919" s="1">
        <v>45658</v>
      </c>
      <c r="Y919" s="2">
        <v>963200</v>
      </c>
      <c r="Z919" s="2">
        <v>654400</v>
      </c>
      <c r="AA919" s="2">
        <v>308800</v>
      </c>
    </row>
    <row r="920" spans="1:27" x14ac:dyDescent="0.3">
      <c r="A920" s="3">
        <v>14</v>
      </c>
      <c r="B920" s="2" t="str">
        <f>"08500021400"</f>
        <v>08500021400</v>
      </c>
      <c r="C920" s="2" t="s">
        <v>3466</v>
      </c>
      <c r="D920" t="s">
        <v>2512</v>
      </c>
      <c r="E920" s="2" t="s">
        <v>30</v>
      </c>
      <c r="F920" s="2">
        <v>37076</v>
      </c>
      <c r="G920" s="2" t="s">
        <v>77</v>
      </c>
      <c r="H920" t="s">
        <v>249</v>
      </c>
      <c r="I920" s="6">
        <v>39122</v>
      </c>
      <c r="J920" s="2" t="s">
        <v>3460</v>
      </c>
      <c r="K920" s="2">
        <v>1975000</v>
      </c>
      <c r="L920" t="s">
        <v>35</v>
      </c>
      <c r="M920" t="s">
        <v>29</v>
      </c>
      <c r="N920" t="s">
        <v>30</v>
      </c>
      <c r="O920">
        <v>37219</v>
      </c>
      <c r="P920" t="s">
        <v>3467</v>
      </c>
      <c r="Q920" s="2">
        <v>1.06</v>
      </c>
      <c r="R920" s="2">
        <v>1052</v>
      </c>
      <c r="S920" s="2">
        <v>198</v>
      </c>
      <c r="T920" t="s">
        <v>3465</v>
      </c>
      <c r="U920" s="6">
        <v>39693</v>
      </c>
      <c r="V920" s="2">
        <v>47037015402</v>
      </c>
      <c r="W920" s="2" t="s">
        <v>38</v>
      </c>
      <c r="X920" s="1">
        <v>45658</v>
      </c>
      <c r="Y920" s="2">
        <v>150600</v>
      </c>
      <c r="Z920" s="2">
        <v>26700</v>
      </c>
      <c r="AA920" s="2">
        <v>123900</v>
      </c>
    </row>
    <row r="921" spans="1:27" x14ac:dyDescent="0.3">
      <c r="A921" s="3">
        <v>14</v>
      </c>
      <c r="B921" s="2" t="str">
        <f>"07500004500"</f>
        <v>07500004500</v>
      </c>
      <c r="C921" s="2" t="s">
        <v>3468</v>
      </c>
      <c r="D921" t="s">
        <v>2512</v>
      </c>
      <c r="E921" s="2" t="s">
        <v>30</v>
      </c>
      <c r="F921" s="2">
        <v>37076</v>
      </c>
      <c r="G921" s="2" t="s">
        <v>253</v>
      </c>
      <c r="H921" t="s">
        <v>2444</v>
      </c>
      <c r="I921" s="6">
        <v>22406</v>
      </c>
      <c r="J921" s="2" t="s">
        <v>3469</v>
      </c>
      <c r="K921" s="2" t="s">
        <v>34</v>
      </c>
      <c r="L921" t="s">
        <v>35</v>
      </c>
      <c r="M921" t="s">
        <v>29</v>
      </c>
      <c r="N921" t="s">
        <v>30</v>
      </c>
      <c r="O921">
        <v>37219</v>
      </c>
      <c r="P921" t="s">
        <v>3470</v>
      </c>
      <c r="Q921" s="2">
        <v>34.200000000000003</v>
      </c>
      <c r="R921" s="2">
        <v>0</v>
      </c>
      <c r="S921" s="2">
        <v>0</v>
      </c>
      <c r="T921" t="s">
        <v>3471</v>
      </c>
      <c r="U921" s="6">
        <v>28990</v>
      </c>
      <c r="V921" s="2">
        <v>47037015404</v>
      </c>
      <c r="W921" s="2" t="s">
        <v>38</v>
      </c>
      <c r="X921" s="1">
        <v>45658</v>
      </c>
      <c r="Y921" s="2">
        <v>1325200</v>
      </c>
      <c r="Z921" s="2">
        <v>0</v>
      </c>
      <c r="AA921" s="2">
        <v>1325200</v>
      </c>
    </row>
    <row r="922" spans="1:27" x14ac:dyDescent="0.3">
      <c r="A922" s="3">
        <v>14</v>
      </c>
      <c r="B922" s="2" t="str">
        <f>"07416000100"</f>
        <v>07416000100</v>
      </c>
      <c r="C922" s="2" t="s">
        <v>3472</v>
      </c>
      <c r="D922" t="s">
        <v>2512</v>
      </c>
      <c r="E922" s="2" t="s">
        <v>30</v>
      </c>
      <c r="F922" s="2">
        <v>37076</v>
      </c>
      <c r="G922" s="2" t="s">
        <v>253</v>
      </c>
      <c r="H922" t="s">
        <v>3473</v>
      </c>
      <c r="I922" s="6">
        <v>22138</v>
      </c>
      <c r="J922" s="2" t="s">
        <v>3474</v>
      </c>
      <c r="K922" s="2" t="s">
        <v>34</v>
      </c>
      <c r="L922" t="s">
        <v>35</v>
      </c>
      <c r="M922" t="s">
        <v>29</v>
      </c>
      <c r="N922" t="s">
        <v>30</v>
      </c>
      <c r="O922">
        <v>37219</v>
      </c>
      <c r="P922" t="s">
        <v>3475</v>
      </c>
      <c r="Q922" s="2">
        <v>10.52</v>
      </c>
      <c r="R922" s="2">
        <v>0</v>
      </c>
      <c r="S922" s="2">
        <v>0</v>
      </c>
      <c r="T922" t="s">
        <v>3476</v>
      </c>
      <c r="U922" s="6">
        <v>43707</v>
      </c>
      <c r="V922" s="2">
        <v>47037015402</v>
      </c>
      <c r="W922" s="2" t="s">
        <v>38</v>
      </c>
      <c r="X922" s="1">
        <v>45658</v>
      </c>
      <c r="Y922" s="2">
        <v>2150000</v>
      </c>
      <c r="Z922" s="2">
        <v>0</v>
      </c>
      <c r="AA922" s="2">
        <v>2150000</v>
      </c>
    </row>
    <row r="923" spans="1:27" x14ac:dyDescent="0.3">
      <c r="A923" s="3">
        <v>14</v>
      </c>
      <c r="B923" s="2" t="str">
        <f>"08600075400"</f>
        <v>08600075400</v>
      </c>
      <c r="C923" s="2" t="s">
        <v>3477</v>
      </c>
      <c r="D923" t="s">
        <v>2512</v>
      </c>
      <c r="E923" s="2" t="s">
        <v>30</v>
      </c>
      <c r="F923" s="2">
        <v>37076</v>
      </c>
      <c r="G923" s="2" t="s">
        <v>2495</v>
      </c>
      <c r="H923" t="s">
        <v>280</v>
      </c>
      <c r="I923" s="6">
        <v>26846</v>
      </c>
      <c r="J923" s="2" t="s">
        <v>1990</v>
      </c>
      <c r="K923" s="2" t="s">
        <v>34</v>
      </c>
      <c r="L923" t="s">
        <v>35</v>
      </c>
      <c r="M923" t="s">
        <v>29</v>
      </c>
      <c r="N923" t="s">
        <v>30</v>
      </c>
      <c r="O923">
        <v>37219</v>
      </c>
      <c r="P923" t="s">
        <v>3478</v>
      </c>
      <c r="Q923" s="2">
        <v>2.58</v>
      </c>
      <c r="R923" s="2">
        <v>203</v>
      </c>
      <c r="S923" s="2">
        <v>224</v>
      </c>
      <c r="T923" t="s">
        <v>3479</v>
      </c>
      <c r="U923" s="6">
        <v>38926</v>
      </c>
      <c r="V923" s="2">
        <v>47037015404</v>
      </c>
      <c r="W923" s="2" t="s">
        <v>38</v>
      </c>
      <c r="X923" s="1">
        <v>45658</v>
      </c>
      <c r="Y923" s="2">
        <v>165100</v>
      </c>
      <c r="Z923" s="2">
        <v>0</v>
      </c>
      <c r="AA923" s="2">
        <v>165100</v>
      </c>
    </row>
    <row r="924" spans="1:27" x14ac:dyDescent="0.3">
      <c r="A924" s="3">
        <v>14</v>
      </c>
      <c r="B924" s="2" t="str">
        <f>"08600075500"</f>
        <v>08600075500</v>
      </c>
      <c r="C924" s="2" t="s">
        <v>3480</v>
      </c>
      <c r="D924" t="s">
        <v>2512</v>
      </c>
      <c r="E924" s="2" t="s">
        <v>30</v>
      </c>
      <c r="F924" s="2">
        <v>37076</v>
      </c>
      <c r="G924" s="2" t="s">
        <v>64</v>
      </c>
      <c r="H924" t="s">
        <v>280</v>
      </c>
      <c r="I924" s="6">
        <v>26846</v>
      </c>
      <c r="J924" s="2" t="s">
        <v>1990</v>
      </c>
      <c r="K924" s="2" t="s">
        <v>34</v>
      </c>
      <c r="L924" t="s">
        <v>35</v>
      </c>
      <c r="M924" t="s">
        <v>29</v>
      </c>
      <c r="N924" t="s">
        <v>30</v>
      </c>
      <c r="O924">
        <v>37219</v>
      </c>
      <c r="P924" t="s">
        <v>3481</v>
      </c>
      <c r="Q924" s="2">
        <v>1.45</v>
      </c>
      <c r="R924" s="2">
        <v>297</v>
      </c>
      <c r="S924" s="2">
        <v>152</v>
      </c>
      <c r="T924" t="s">
        <v>3479</v>
      </c>
      <c r="U924" s="6">
        <v>38926</v>
      </c>
      <c r="V924" s="2">
        <v>47037015404</v>
      </c>
      <c r="W924" s="2" t="s">
        <v>38</v>
      </c>
      <c r="X924" s="1">
        <v>45658</v>
      </c>
      <c r="Y924" s="2">
        <v>3600</v>
      </c>
      <c r="Z924" s="2">
        <v>0</v>
      </c>
      <c r="AA924" s="2">
        <v>3600</v>
      </c>
    </row>
    <row r="925" spans="1:27" x14ac:dyDescent="0.3">
      <c r="A925" s="3">
        <v>14</v>
      </c>
      <c r="B925" s="2" t="str">
        <f>"09700001900"</f>
        <v>09700001900</v>
      </c>
      <c r="C925" s="2" t="s">
        <v>3482</v>
      </c>
      <c r="D925" t="s">
        <v>29</v>
      </c>
      <c r="E925" s="2" t="s">
        <v>30</v>
      </c>
      <c r="F925" s="2">
        <v>37214</v>
      </c>
      <c r="G925" s="2" t="s">
        <v>152</v>
      </c>
      <c r="H925" t="s">
        <v>280</v>
      </c>
      <c r="I925" s="6">
        <v>27233</v>
      </c>
      <c r="J925" s="2" t="s">
        <v>3483</v>
      </c>
      <c r="K925" s="2" t="s">
        <v>34</v>
      </c>
      <c r="L925" t="s">
        <v>35</v>
      </c>
      <c r="M925" t="s">
        <v>29</v>
      </c>
      <c r="N925" t="s">
        <v>30</v>
      </c>
      <c r="O925">
        <v>37219</v>
      </c>
      <c r="P925" t="s">
        <v>3484</v>
      </c>
      <c r="Q925" s="2">
        <v>20.399999999999999</v>
      </c>
      <c r="R925" s="2">
        <v>0</v>
      </c>
      <c r="S925" s="2">
        <v>0</v>
      </c>
      <c r="T925" t="s">
        <v>3483</v>
      </c>
      <c r="U925" s="6">
        <v>27233</v>
      </c>
      <c r="V925" s="2">
        <v>47037015501</v>
      </c>
      <c r="W925" s="2" t="s">
        <v>68</v>
      </c>
      <c r="X925" s="1">
        <v>45658</v>
      </c>
      <c r="Y925" s="2">
        <v>66300</v>
      </c>
      <c r="Z925" s="2">
        <v>0</v>
      </c>
      <c r="AA925" s="2">
        <v>66300</v>
      </c>
    </row>
    <row r="926" spans="1:27" x14ac:dyDescent="0.3">
      <c r="A926" s="3">
        <v>14</v>
      </c>
      <c r="B926" s="2" t="str">
        <f>"08600075600"</f>
        <v>08600075600</v>
      </c>
      <c r="C926" s="2" t="s">
        <v>3485</v>
      </c>
      <c r="D926" t="s">
        <v>2512</v>
      </c>
      <c r="E926" s="2" t="s">
        <v>30</v>
      </c>
      <c r="F926" s="2">
        <v>37076</v>
      </c>
      <c r="G926" s="2" t="s">
        <v>152</v>
      </c>
      <c r="H926" t="s">
        <v>280</v>
      </c>
      <c r="I926" s="6">
        <v>26846</v>
      </c>
      <c r="J926" s="2" t="s">
        <v>1990</v>
      </c>
      <c r="K926" s="2" t="s">
        <v>34</v>
      </c>
      <c r="L926" t="s">
        <v>35</v>
      </c>
      <c r="M926" t="s">
        <v>29</v>
      </c>
      <c r="N926" t="s">
        <v>30</v>
      </c>
      <c r="O926">
        <v>37219</v>
      </c>
      <c r="P926" t="s">
        <v>3486</v>
      </c>
      <c r="Q926" s="2">
        <v>13.99</v>
      </c>
      <c r="R926" s="2">
        <v>0</v>
      </c>
      <c r="S926" s="2">
        <v>0</v>
      </c>
      <c r="T926" t="s">
        <v>3479</v>
      </c>
      <c r="U926" s="6">
        <v>38926</v>
      </c>
      <c r="V926" s="2">
        <v>47037015404</v>
      </c>
      <c r="W926" s="2" t="s">
        <v>38</v>
      </c>
      <c r="X926" s="1">
        <v>45658</v>
      </c>
      <c r="Y926" s="2">
        <v>916800</v>
      </c>
      <c r="Z926" s="2">
        <v>0</v>
      </c>
      <c r="AA926" s="2">
        <v>916800</v>
      </c>
    </row>
    <row r="927" spans="1:27" x14ac:dyDescent="0.3">
      <c r="A927" s="3">
        <v>14</v>
      </c>
      <c r="B927" s="2" t="str">
        <f>"07509001800"</f>
        <v>07509001800</v>
      </c>
      <c r="C927" s="2" t="s">
        <v>3487</v>
      </c>
      <c r="D927" t="s">
        <v>2512</v>
      </c>
      <c r="E927" s="2" t="s">
        <v>30</v>
      </c>
      <c r="F927" s="2">
        <v>37076</v>
      </c>
      <c r="G927" s="2" t="s">
        <v>152</v>
      </c>
      <c r="H927" t="s">
        <v>280</v>
      </c>
      <c r="I927" s="6">
        <v>26846</v>
      </c>
      <c r="J927" s="2" t="s">
        <v>1990</v>
      </c>
      <c r="K927" s="2" t="s">
        <v>34</v>
      </c>
      <c r="L927" t="s">
        <v>35</v>
      </c>
      <c r="M927" t="s">
        <v>29</v>
      </c>
      <c r="N927" t="s">
        <v>30</v>
      </c>
      <c r="O927">
        <v>37219</v>
      </c>
      <c r="P927" t="s">
        <v>3488</v>
      </c>
      <c r="Q927" s="2">
        <v>0.41</v>
      </c>
      <c r="R927" s="2">
        <v>60</v>
      </c>
      <c r="S927" s="2">
        <v>244</v>
      </c>
      <c r="T927" t="s">
        <v>3489</v>
      </c>
      <c r="U927" s="6">
        <v>26390</v>
      </c>
      <c r="V927" s="2">
        <v>47037015402</v>
      </c>
      <c r="W927" s="2" t="s">
        <v>38</v>
      </c>
      <c r="X927" s="1">
        <v>45658</v>
      </c>
      <c r="Y927" s="2">
        <v>86000</v>
      </c>
      <c r="Z927" s="2">
        <v>0</v>
      </c>
      <c r="AA927" s="2">
        <v>86000</v>
      </c>
    </row>
    <row r="928" spans="1:27" x14ac:dyDescent="0.3">
      <c r="A928" s="3">
        <v>14</v>
      </c>
      <c r="B928" s="2" t="str">
        <f>"08600026100"</f>
        <v>08600026100</v>
      </c>
      <c r="C928" s="2" t="s">
        <v>3490</v>
      </c>
      <c r="D928" t="s">
        <v>2512</v>
      </c>
      <c r="E928" s="2" t="s">
        <v>30</v>
      </c>
      <c r="F928" s="2">
        <v>37076</v>
      </c>
      <c r="G928" s="2" t="s">
        <v>41</v>
      </c>
      <c r="H928" t="s">
        <v>2213</v>
      </c>
      <c r="I928" s="6">
        <v>35230</v>
      </c>
      <c r="J928" s="2" t="s">
        <v>3491</v>
      </c>
      <c r="K928" s="2">
        <v>181320</v>
      </c>
      <c r="L928" t="s">
        <v>3492</v>
      </c>
      <c r="M928" t="s">
        <v>29</v>
      </c>
      <c r="N928" t="s">
        <v>30</v>
      </c>
      <c r="O928">
        <v>37210</v>
      </c>
      <c r="P928" t="s">
        <v>3493</v>
      </c>
      <c r="Q928" s="2">
        <v>1.1100000000000001</v>
      </c>
      <c r="R928" s="2">
        <v>260</v>
      </c>
      <c r="S928" s="2">
        <v>233</v>
      </c>
      <c r="T928" t="s">
        <v>3494</v>
      </c>
      <c r="U928" s="6">
        <v>33630</v>
      </c>
      <c r="V928" s="2">
        <v>47037015623</v>
      </c>
      <c r="W928" s="2" t="s">
        <v>38</v>
      </c>
      <c r="X928" s="1">
        <v>45658</v>
      </c>
      <c r="Y928" s="2">
        <v>406100</v>
      </c>
      <c r="Z928" s="2">
        <v>0</v>
      </c>
      <c r="AA928" s="2">
        <v>406100</v>
      </c>
    </row>
    <row r="929" spans="1:27" x14ac:dyDescent="0.3">
      <c r="A929" s="3">
        <v>15</v>
      </c>
      <c r="B929" s="2" t="str">
        <f>"07413000700"</f>
        <v>07413000700</v>
      </c>
      <c r="C929" s="2" t="s">
        <v>3402</v>
      </c>
      <c r="D929" t="s">
        <v>29</v>
      </c>
      <c r="E929" s="2" t="s">
        <v>30</v>
      </c>
      <c r="F929" s="2">
        <v>37214</v>
      </c>
      <c r="G929" s="2" t="s">
        <v>64</v>
      </c>
      <c r="H929" t="s">
        <v>32</v>
      </c>
      <c r="I929" s="6">
        <v>36299</v>
      </c>
      <c r="J929" s="2" t="s">
        <v>3495</v>
      </c>
      <c r="K929" s="2" t="s">
        <v>34</v>
      </c>
      <c r="L929" t="s">
        <v>35</v>
      </c>
      <c r="M929" t="s">
        <v>29</v>
      </c>
      <c r="N929" t="s">
        <v>30</v>
      </c>
      <c r="O929">
        <v>37219</v>
      </c>
      <c r="P929" t="s">
        <v>3496</v>
      </c>
      <c r="Q929" s="2">
        <v>0.44</v>
      </c>
      <c r="R929" s="2">
        <v>251</v>
      </c>
      <c r="S929" s="2">
        <v>112</v>
      </c>
      <c r="T929" t="s">
        <v>3497</v>
      </c>
      <c r="U929" s="6">
        <v>30704</v>
      </c>
      <c r="V929" s="2">
        <v>47037015300</v>
      </c>
      <c r="W929" s="2" t="s">
        <v>68</v>
      </c>
      <c r="X929" s="1">
        <v>45658</v>
      </c>
      <c r="Y929" s="2">
        <v>1600</v>
      </c>
      <c r="Z929" s="2">
        <v>0</v>
      </c>
      <c r="AA929" s="2">
        <v>1600</v>
      </c>
    </row>
    <row r="930" spans="1:27" x14ac:dyDescent="0.3">
      <c r="A930" s="3">
        <v>15</v>
      </c>
      <c r="B930" s="2" t="str">
        <f>"10700015900"</f>
        <v>10700015900</v>
      </c>
      <c r="C930" s="2" t="s">
        <v>3498</v>
      </c>
      <c r="D930" t="s">
        <v>29</v>
      </c>
      <c r="E930" s="2" t="s">
        <v>30</v>
      </c>
      <c r="F930" s="2">
        <v>37214</v>
      </c>
      <c r="G930" s="2" t="s">
        <v>41</v>
      </c>
      <c r="H930" t="s">
        <v>32</v>
      </c>
      <c r="I930" s="6">
        <v>34633</v>
      </c>
      <c r="J930" s="2" t="s">
        <v>3499</v>
      </c>
      <c r="K930" s="2" t="s">
        <v>34</v>
      </c>
      <c r="L930" t="s">
        <v>35</v>
      </c>
      <c r="M930" t="s">
        <v>29</v>
      </c>
      <c r="N930" t="s">
        <v>30</v>
      </c>
      <c r="O930">
        <v>37219</v>
      </c>
      <c r="P930" t="s">
        <v>3500</v>
      </c>
      <c r="Q930" s="2">
        <v>1.05</v>
      </c>
      <c r="R930" s="2">
        <v>612</v>
      </c>
      <c r="S930" s="2">
        <v>77</v>
      </c>
      <c r="T930" t="s">
        <v>3501</v>
      </c>
      <c r="U930" s="6">
        <v>35818</v>
      </c>
      <c r="V930" s="2">
        <v>47037015100</v>
      </c>
      <c r="W930" s="2" t="s">
        <v>68</v>
      </c>
      <c r="X930" s="1">
        <v>45658</v>
      </c>
      <c r="Y930" s="2">
        <v>121000</v>
      </c>
      <c r="Z930" s="2">
        <v>0</v>
      </c>
      <c r="AA930" s="2">
        <v>121000</v>
      </c>
    </row>
    <row r="931" spans="1:27" x14ac:dyDescent="0.3">
      <c r="A931" s="3">
        <v>15</v>
      </c>
      <c r="B931" s="2" t="str">
        <f>"10604002500"</f>
        <v>10604002500</v>
      </c>
      <c r="C931" s="2" t="s">
        <v>3502</v>
      </c>
      <c r="D931" t="s">
        <v>29</v>
      </c>
      <c r="E931" s="2" t="s">
        <v>30</v>
      </c>
      <c r="F931" s="2">
        <v>37210</v>
      </c>
      <c r="G931" s="2" t="s">
        <v>527</v>
      </c>
      <c r="H931" t="s">
        <v>32</v>
      </c>
      <c r="I931" s="6">
        <v>42226</v>
      </c>
      <c r="J931" s="2" t="s">
        <v>3503</v>
      </c>
      <c r="K931" s="2">
        <v>0</v>
      </c>
      <c r="L931" t="s">
        <v>35</v>
      </c>
      <c r="M931" t="s">
        <v>29</v>
      </c>
      <c r="N931" t="s">
        <v>30</v>
      </c>
      <c r="O931">
        <v>37219</v>
      </c>
      <c r="P931" t="s">
        <v>3504</v>
      </c>
      <c r="Q931" s="2">
        <v>1.46</v>
      </c>
      <c r="R931" s="2">
        <v>151</v>
      </c>
      <c r="S931" s="2">
        <v>249</v>
      </c>
      <c r="T931" t="s">
        <v>3503</v>
      </c>
      <c r="U931" s="6">
        <v>42226</v>
      </c>
      <c r="V931" s="2">
        <v>47037019600</v>
      </c>
      <c r="W931" s="2" t="s">
        <v>68</v>
      </c>
      <c r="X931" s="1">
        <v>45658</v>
      </c>
      <c r="Y931" s="2">
        <v>876000</v>
      </c>
      <c r="Z931" s="2">
        <v>0</v>
      </c>
      <c r="AA931" s="2">
        <v>876000</v>
      </c>
    </row>
    <row r="932" spans="1:27" x14ac:dyDescent="0.3">
      <c r="A932" s="3">
        <v>15</v>
      </c>
      <c r="B932" s="2" t="str">
        <f>"09601016200"</f>
        <v>09601016200</v>
      </c>
      <c r="C932" s="2" t="s">
        <v>3505</v>
      </c>
      <c r="D932" t="s">
        <v>29</v>
      </c>
      <c r="E932" s="2" t="s">
        <v>30</v>
      </c>
      <c r="F932" s="2">
        <v>37214</v>
      </c>
      <c r="G932" s="2" t="s">
        <v>2490</v>
      </c>
      <c r="H932" t="s">
        <v>32</v>
      </c>
      <c r="I932" s="6">
        <v>43550</v>
      </c>
      <c r="J932" s="2" t="s">
        <v>3506</v>
      </c>
      <c r="K932" s="2">
        <v>2326634</v>
      </c>
      <c r="L932" t="s">
        <v>85</v>
      </c>
      <c r="M932" t="s">
        <v>29</v>
      </c>
      <c r="N932" t="s">
        <v>30</v>
      </c>
      <c r="O932">
        <v>37219</v>
      </c>
      <c r="P932" t="s">
        <v>3507</v>
      </c>
      <c r="Q932" s="2">
        <v>1.72</v>
      </c>
      <c r="R932" s="2">
        <v>120</v>
      </c>
      <c r="S932" s="2">
        <v>52</v>
      </c>
      <c r="T932" t="s">
        <v>3508</v>
      </c>
      <c r="U932" s="6">
        <v>43543</v>
      </c>
      <c r="V932" s="2">
        <v>47037015300</v>
      </c>
      <c r="W932" s="2" t="s">
        <v>68</v>
      </c>
      <c r="X932" s="1">
        <v>45658</v>
      </c>
      <c r="Y932" s="2">
        <v>10584700</v>
      </c>
      <c r="Z932" s="2">
        <v>9460900</v>
      </c>
      <c r="AA932" s="2">
        <v>1123800</v>
      </c>
    </row>
    <row r="933" spans="1:27" x14ac:dyDescent="0.3">
      <c r="A933" s="3">
        <v>15</v>
      </c>
      <c r="B933" s="2" t="str">
        <f>"06201001700"</f>
        <v>06201001700</v>
      </c>
      <c r="C933" s="2" t="s">
        <v>3509</v>
      </c>
      <c r="D933" t="s">
        <v>29</v>
      </c>
      <c r="E933" s="2" t="s">
        <v>30</v>
      </c>
      <c r="F933" s="2">
        <v>37214</v>
      </c>
      <c r="G933" s="2" t="s">
        <v>41</v>
      </c>
      <c r="H933" t="s">
        <v>32</v>
      </c>
      <c r="I933" s="6">
        <v>41635</v>
      </c>
      <c r="J933" s="2" t="s">
        <v>3510</v>
      </c>
      <c r="K933" s="2">
        <v>0</v>
      </c>
      <c r="L933" t="s">
        <v>35</v>
      </c>
      <c r="M933" t="s">
        <v>29</v>
      </c>
      <c r="N933" t="s">
        <v>30</v>
      </c>
      <c r="O933">
        <v>37219</v>
      </c>
      <c r="P933" t="s">
        <v>3511</v>
      </c>
      <c r="Q933" s="2">
        <v>4.78</v>
      </c>
      <c r="R933" s="2">
        <v>0</v>
      </c>
      <c r="S933" s="2">
        <v>0</v>
      </c>
      <c r="T933" t="s">
        <v>3512</v>
      </c>
      <c r="U933" s="6">
        <v>38694</v>
      </c>
      <c r="V933" s="2">
        <v>47037015300</v>
      </c>
      <c r="W933" s="2" t="s">
        <v>68</v>
      </c>
      <c r="X933" s="1">
        <v>45658</v>
      </c>
      <c r="Y933" s="2">
        <v>1288500</v>
      </c>
      <c r="Z933" s="2">
        <v>0</v>
      </c>
      <c r="AA933" s="2">
        <v>1288500</v>
      </c>
    </row>
    <row r="934" spans="1:27" x14ac:dyDescent="0.3">
      <c r="A934" s="3">
        <v>15</v>
      </c>
      <c r="B934" s="2" t="str">
        <f>"08500000100"</f>
        <v>08500000100</v>
      </c>
      <c r="C934" s="2" t="s">
        <v>3513</v>
      </c>
      <c r="D934" t="s">
        <v>29</v>
      </c>
      <c r="E934" s="2" t="s">
        <v>30</v>
      </c>
      <c r="F934" s="2">
        <v>37214</v>
      </c>
      <c r="G934" s="2" t="s">
        <v>31</v>
      </c>
      <c r="H934" t="s">
        <v>32</v>
      </c>
      <c r="I934" s="6">
        <v>40043</v>
      </c>
      <c r="J934" s="2" t="s">
        <v>3514</v>
      </c>
      <c r="K934" s="2">
        <v>250000</v>
      </c>
      <c r="L934" t="s">
        <v>35</v>
      </c>
      <c r="M934" t="s">
        <v>29</v>
      </c>
      <c r="N934" t="s">
        <v>30</v>
      </c>
      <c r="O934">
        <v>37219</v>
      </c>
      <c r="P934" t="s">
        <v>3515</v>
      </c>
      <c r="Q934" s="2">
        <v>39.11</v>
      </c>
      <c r="R934" s="2">
        <v>0</v>
      </c>
      <c r="S934" s="2">
        <v>0</v>
      </c>
      <c r="T934" t="s">
        <v>3516</v>
      </c>
      <c r="U934" s="6">
        <v>37526</v>
      </c>
      <c r="V934" s="2">
        <v>47037015300</v>
      </c>
      <c r="W934" s="2" t="s">
        <v>68</v>
      </c>
      <c r="X934" s="1">
        <v>45658</v>
      </c>
      <c r="Y934" s="2">
        <v>148400</v>
      </c>
      <c r="Z934" s="2">
        <v>0</v>
      </c>
      <c r="AA934" s="2">
        <v>148400</v>
      </c>
    </row>
    <row r="935" spans="1:27" x14ac:dyDescent="0.3">
      <c r="A935" s="3">
        <v>15</v>
      </c>
      <c r="B935" s="2" t="str">
        <f>"07316008200"</f>
        <v>07316008200</v>
      </c>
      <c r="C935" s="2" t="s">
        <v>2627</v>
      </c>
      <c r="D935" t="s">
        <v>29</v>
      </c>
      <c r="E935" s="2" t="s">
        <v>30</v>
      </c>
      <c r="F935" s="2">
        <v>37214</v>
      </c>
      <c r="G935" s="2" t="s">
        <v>64</v>
      </c>
      <c r="H935" t="s">
        <v>99</v>
      </c>
      <c r="I935" s="6">
        <v>40555</v>
      </c>
      <c r="J935" s="2" t="s">
        <v>3517</v>
      </c>
      <c r="K935" s="2">
        <v>1623</v>
      </c>
      <c r="L935" t="s">
        <v>35</v>
      </c>
      <c r="M935" t="s">
        <v>29</v>
      </c>
      <c r="N935" t="s">
        <v>30</v>
      </c>
      <c r="O935">
        <v>37219</v>
      </c>
      <c r="P935" t="s">
        <v>3518</v>
      </c>
      <c r="Q935" s="2">
        <v>0.09</v>
      </c>
      <c r="R935" s="2">
        <v>156</v>
      </c>
      <c r="S935" s="2">
        <v>134</v>
      </c>
      <c r="T935" t="s">
        <v>3497</v>
      </c>
      <c r="U935" s="6">
        <v>30704</v>
      </c>
      <c r="V935" s="2">
        <v>47037015300</v>
      </c>
      <c r="W935" s="2" t="s">
        <v>68</v>
      </c>
      <c r="X935" s="1">
        <v>45658</v>
      </c>
      <c r="Y935" s="2">
        <v>1600</v>
      </c>
      <c r="Z935" s="2">
        <v>0</v>
      </c>
      <c r="AA935" s="2">
        <v>1600</v>
      </c>
    </row>
    <row r="936" spans="1:27" x14ac:dyDescent="0.3">
      <c r="A936" s="3">
        <v>15</v>
      </c>
      <c r="B936" s="2" t="str">
        <f>"08412005900"</f>
        <v>08412005900</v>
      </c>
      <c r="C936" s="2" t="s">
        <v>3519</v>
      </c>
      <c r="D936" t="s">
        <v>29</v>
      </c>
      <c r="E936" s="2" t="s">
        <v>30</v>
      </c>
      <c r="F936" s="2">
        <v>37214</v>
      </c>
      <c r="G936" s="2" t="s">
        <v>64</v>
      </c>
      <c r="H936" t="s">
        <v>99</v>
      </c>
      <c r="I936" s="6">
        <v>27575</v>
      </c>
      <c r="J936" s="2" t="s">
        <v>3520</v>
      </c>
      <c r="K936" s="2" t="s">
        <v>34</v>
      </c>
      <c r="L936" t="s">
        <v>35</v>
      </c>
      <c r="M936" t="s">
        <v>29</v>
      </c>
      <c r="N936" t="s">
        <v>30</v>
      </c>
      <c r="O936">
        <v>37219</v>
      </c>
      <c r="P936" t="s">
        <v>3521</v>
      </c>
      <c r="Q936" s="2">
        <v>7.0000000000000007E-2</v>
      </c>
      <c r="R936" s="2">
        <v>30</v>
      </c>
      <c r="S936" s="2">
        <v>100</v>
      </c>
      <c r="T936" t="s">
        <v>3522</v>
      </c>
      <c r="U936" s="6">
        <v>25399</v>
      </c>
      <c r="V936" s="2">
        <v>47037015300</v>
      </c>
      <c r="W936" s="2" t="s">
        <v>68</v>
      </c>
      <c r="X936" s="1">
        <v>45658</v>
      </c>
      <c r="Y936" s="2">
        <v>3800</v>
      </c>
      <c r="Z936" s="2">
        <v>0</v>
      </c>
      <c r="AA936" s="2">
        <v>3800</v>
      </c>
    </row>
    <row r="937" spans="1:27" x14ac:dyDescent="0.3">
      <c r="A937" s="3">
        <v>15</v>
      </c>
      <c r="B937" s="2" t="str">
        <f>"08415006700"</f>
        <v>08415006700</v>
      </c>
      <c r="C937" s="2" t="s">
        <v>3523</v>
      </c>
      <c r="D937" t="s">
        <v>29</v>
      </c>
      <c r="E937" s="2" t="s">
        <v>30</v>
      </c>
      <c r="F937" s="2">
        <v>37214</v>
      </c>
      <c r="G937" s="2" t="s">
        <v>64</v>
      </c>
      <c r="H937" t="s">
        <v>99</v>
      </c>
      <c r="I937" s="6">
        <v>41198</v>
      </c>
      <c r="J937" s="2" t="s">
        <v>3524</v>
      </c>
      <c r="K937" s="2">
        <v>804</v>
      </c>
      <c r="L937" t="s">
        <v>35</v>
      </c>
      <c r="M937" t="s">
        <v>29</v>
      </c>
      <c r="N937" t="s">
        <v>30</v>
      </c>
      <c r="O937">
        <v>37219</v>
      </c>
      <c r="P937" t="s">
        <v>3525</v>
      </c>
      <c r="Q937" s="2">
        <v>0.04</v>
      </c>
      <c r="R937" s="2">
        <v>70</v>
      </c>
      <c r="S937" s="2">
        <v>25</v>
      </c>
      <c r="T937" t="s">
        <v>3526</v>
      </c>
      <c r="U937" s="6">
        <v>28037</v>
      </c>
      <c r="V937" s="2">
        <v>47037015200</v>
      </c>
      <c r="W937" s="2" t="s">
        <v>68</v>
      </c>
      <c r="X937" s="1">
        <v>45658</v>
      </c>
      <c r="Y937" s="2">
        <v>700</v>
      </c>
      <c r="Z937" s="2">
        <v>0</v>
      </c>
      <c r="AA937" s="2">
        <v>700</v>
      </c>
    </row>
    <row r="938" spans="1:27" x14ac:dyDescent="0.3">
      <c r="A938" s="3">
        <v>15</v>
      </c>
      <c r="B938" s="2" t="str">
        <f>"096070A02900CO"</f>
        <v>096070A02900CO</v>
      </c>
      <c r="C938" s="2" t="s">
        <v>3527</v>
      </c>
      <c r="D938" t="s">
        <v>29</v>
      </c>
      <c r="E938" s="2" t="s">
        <v>30</v>
      </c>
      <c r="F938" s="2">
        <v>37214</v>
      </c>
      <c r="G938" s="2" t="s">
        <v>64</v>
      </c>
      <c r="H938" t="s">
        <v>99</v>
      </c>
      <c r="I938" s="6">
        <v>43445</v>
      </c>
      <c r="J938" s="2" t="s">
        <v>3528</v>
      </c>
      <c r="K938" s="2">
        <v>1447</v>
      </c>
      <c r="L938" t="s">
        <v>893</v>
      </c>
      <c r="M938" t="s">
        <v>29</v>
      </c>
      <c r="N938" t="s">
        <v>30</v>
      </c>
      <c r="O938">
        <v>37219</v>
      </c>
      <c r="P938" t="s">
        <v>3529</v>
      </c>
      <c r="Q938" s="2">
        <v>0.52</v>
      </c>
      <c r="R938" s="2">
        <v>83</v>
      </c>
      <c r="S938" s="2">
        <v>273</v>
      </c>
      <c r="T938" t="s">
        <v>3530</v>
      </c>
      <c r="U938" s="6">
        <v>30615</v>
      </c>
      <c r="V938" s="2">
        <v>47037015502</v>
      </c>
      <c r="W938" s="2" t="s">
        <v>68</v>
      </c>
      <c r="X938" s="1">
        <v>45658</v>
      </c>
      <c r="Y938" s="2">
        <v>9900</v>
      </c>
      <c r="Z938" s="2">
        <v>0</v>
      </c>
      <c r="AA938" s="2">
        <v>9900</v>
      </c>
    </row>
    <row r="939" spans="1:27" x14ac:dyDescent="0.3">
      <c r="A939" s="3">
        <v>15</v>
      </c>
      <c r="B939" s="2" t="str">
        <f>"09514012400"</f>
        <v>09514012400</v>
      </c>
      <c r="C939" s="2" t="s">
        <v>3531</v>
      </c>
      <c r="D939" t="s">
        <v>29</v>
      </c>
      <c r="E939" s="2" t="s">
        <v>30</v>
      </c>
      <c r="F939" s="2">
        <v>37210</v>
      </c>
      <c r="G939" s="2" t="s">
        <v>41</v>
      </c>
      <c r="H939" t="s">
        <v>99</v>
      </c>
      <c r="I939" s="6">
        <v>40198</v>
      </c>
      <c r="J939" s="2" t="s">
        <v>3532</v>
      </c>
      <c r="K939" s="2">
        <v>2616</v>
      </c>
      <c r="L939" t="s">
        <v>35</v>
      </c>
      <c r="M939" t="s">
        <v>29</v>
      </c>
      <c r="N939" t="s">
        <v>30</v>
      </c>
      <c r="O939">
        <v>37219</v>
      </c>
      <c r="P939" t="s">
        <v>3533</v>
      </c>
      <c r="Q939" s="2">
        <v>0.05</v>
      </c>
      <c r="R939" s="2">
        <v>562</v>
      </c>
      <c r="S939" s="2">
        <v>4</v>
      </c>
      <c r="T939" t="s">
        <v>3534</v>
      </c>
      <c r="U939" s="6">
        <v>30706</v>
      </c>
      <c r="V939" s="2">
        <v>47037019600</v>
      </c>
      <c r="W939" s="2" t="s">
        <v>68</v>
      </c>
      <c r="X939" s="1">
        <v>45658</v>
      </c>
      <c r="Y939" s="2">
        <v>3300</v>
      </c>
      <c r="Z939" s="2">
        <v>0</v>
      </c>
      <c r="AA939" s="2">
        <v>3300</v>
      </c>
    </row>
    <row r="940" spans="1:27" x14ac:dyDescent="0.3">
      <c r="A940" s="3">
        <v>15</v>
      </c>
      <c r="B940" s="2" t="str">
        <f>"06200005900"</f>
        <v>06200005900</v>
      </c>
      <c r="C940" s="2" t="s">
        <v>3535</v>
      </c>
      <c r="D940" t="s">
        <v>29</v>
      </c>
      <c r="E940" s="2" t="s">
        <v>30</v>
      </c>
      <c r="F940" s="2">
        <v>37214</v>
      </c>
      <c r="G940" s="2" t="s">
        <v>147</v>
      </c>
      <c r="H940" t="s">
        <v>3536</v>
      </c>
      <c r="I940" s="6">
        <v>28989</v>
      </c>
      <c r="J940" s="2" t="s">
        <v>3537</v>
      </c>
      <c r="K940" s="2">
        <v>75000</v>
      </c>
      <c r="L940" t="s">
        <v>35</v>
      </c>
      <c r="M940" t="s">
        <v>29</v>
      </c>
      <c r="N940" t="s">
        <v>30</v>
      </c>
      <c r="O940">
        <v>37219</v>
      </c>
      <c r="P940" t="s">
        <v>3538</v>
      </c>
      <c r="Q940" s="2">
        <v>1.96</v>
      </c>
      <c r="R940" s="2">
        <v>0</v>
      </c>
      <c r="S940" s="2">
        <v>0</v>
      </c>
      <c r="T940" t="s">
        <v>3539</v>
      </c>
      <c r="U940" s="6">
        <v>24532</v>
      </c>
      <c r="V940" s="2">
        <v>47037015300</v>
      </c>
      <c r="W940" s="2" t="s">
        <v>68</v>
      </c>
      <c r="X940" s="1">
        <v>45658</v>
      </c>
      <c r="Y940" s="2">
        <v>213000</v>
      </c>
      <c r="Z940" s="2">
        <v>0</v>
      </c>
      <c r="AA940" s="2">
        <v>213000</v>
      </c>
    </row>
    <row r="941" spans="1:27" x14ac:dyDescent="0.3">
      <c r="A941" s="3">
        <v>15</v>
      </c>
      <c r="B941" s="2" t="str">
        <f>"09503001600"</f>
        <v>09503001600</v>
      </c>
      <c r="C941" s="2" t="s">
        <v>3540</v>
      </c>
      <c r="D941" t="s">
        <v>29</v>
      </c>
      <c r="E941" s="2" t="s">
        <v>30</v>
      </c>
      <c r="F941" s="2">
        <v>37214</v>
      </c>
      <c r="G941" s="2" t="s">
        <v>147</v>
      </c>
      <c r="H941" t="s">
        <v>1131</v>
      </c>
      <c r="I941" s="6">
        <v>28430</v>
      </c>
      <c r="J941" s="2" t="s">
        <v>3541</v>
      </c>
      <c r="K941" s="2" t="s">
        <v>34</v>
      </c>
      <c r="L941" t="s">
        <v>35</v>
      </c>
      <c r="M941" t="s">
        <v>29</v>
      </c>
      <c r="N941" t="s">
        <v>30</v>
      </c>
      <c r="O941">
        <v>37219</v>
      </c>
      <c r="P941" t="s">
        <v>3542</v>
      </c>
      <c r="Q941" s="2">
        <v>1.31</v>
      </c>
      <c r="R941" s="2">
        <v>141</v>
      </c>
      <c r="S941" s="2">
        <v>200</v>
      </c>
      <c r="T941" t="s">
        <v>3543</v>
      </c>
      <c r="U941" s="6">
        <v>28430</v>
      </c>
      <c r="V941" s="2">
        <v>47037015200</v>
      </c>
      <c r="W941" s="2" t="s">
        <v>68</v>
      </c>
      <c r="X941" s="1">
        <v>45658</v>
      </c>
      <c r="Y941" s="2">
        <v>1711900</v>
      </c>
      <c r="Z941" s="2">
        <v>0</v>
      </c>
      <c r="AA941" s="2">
        <v>1711900</v>
      </c>
    </row>
    <row r="942" spans="1:27" x14ac:dyDescent="0.3">
      <c r="A942" s="3">
        <v>15</v>
      </c>
      <c r="B942" s="2" t="str">
        <f>"09503004500"</f>
        <v>09503004500</v>
      </c>
      <c r="C942" s="2" t="s">
        <v>3544</v>
      </c>
      <c r="D942" t="s">
        <v>29</v>
      </c>
      <c r="E942" s="2" t="s">
        <v>30</v>
      </c>
      <c r="F942" s="2">
        <v>37214</v>
      </c>
      <c r="G942" s="2" t="s">
        <v>901</v>
      </c>
      <c r="H942" t="s">
        <v>3545</v>
      </c>
      <c r="I942" s="6">
        <v>23351</v>
      </c>
      <c r="J942" s="2" t="s">
        <v>3546</v>
      </c>
      <c r="K942" s="2" t="s">
        <v>34</v>
      </c>
      <c r="L942" t="s">
        <v>35</v>
      </c>
      <c r="M942" t="s">
        <v>29</v>
      </c>
      <c r="N942" t="s">
        <v>30</v>
      </c>
      <c r="O942">
        <v>37219</v>
      </c>
      <c r="P942" t="s">
        <v>3547</v>
      </c>
      <c r="Q942" s="2">
        <v>1.01</v>
      </c>
      <c r="R942" s="2">
        <v>123</v>
      </c>
      <c r="S942" s="2">
        <v>360</v>
      </c>
      <c r="T942" t="s">
        <v>3546</v>
      </c>
      <c r="U942" s="6">
        <v>23351</v>
      </c>
      <c r="V942" s="2">
        <v>47037015100</v>
      </c>
      <c r="W942" s="2" t="s">
        <v>68</v>
      </c>
      <c r="X942" s="1">
        <v>45658</v>
      </c>
      <c r="Y942" s="2">
        <v>130300</v>
      </c>
      <c r="Z942" s="2">
        <v>0</v>
      </c>
      <c r="AA942" s="2">
        <v>130300</v>
      </c>
    </row>
    <row r="943" spans="1:27" x14ac:dyDescent="0.3">
      <c r="A943" s="3">
        <v>15</v>
      </c>
      <c r="B943" s="2" t="str">
        <f>"09312001100"</f>
        <v>09312001100</v>
      </c>
      <c r="C943" s="2" t="s">
        <v>3492</v>
      </c>
      <c r="D943" t="s">
        <v>29</v>
      </c>
      <c r="E943" s="2" t="s">
        <v>30</v>
      </c>
      <c r="F943" s="2">
        <v>37210</v>
      </c>
      <c r="G943" s="2" t="s">
        <v>398</v>
      </c>
      <c r="H943" t="s">
        <v>3548</v>
      </c>
      <c r="I943" s="6">
        <v>40529</v>
      </c>
      <c r="J943" s="2" t="s">
        <v>3549</v>
      </c>
      <c r="K943" s="2">
        <v>102000</v>
      </c>
      <c r="L943" t="s">
        <v>35</v>
      </c>
      <c r="M943" t="s">
        <v>29</v>
      </c>
      <c r="N943" t="s">
        <v>30</v>
      </c>
      <c r="O943">
        <v>37219</v>
      </c>
      <c r="P943" t="s">
        <v>3550</v>
      </c>
      <c r="Q943" s="2">
        <v>15.48</v>
      </c>
      <c r="R943" s="2">
        <v>1066</v>
      </c>
      <c r="S943" s="2">
        <v>0</v>
      </c>
      <c r="T943" t="s">
        <v>3551</v>
      </c>
      <c r="U943" s="6">
        <v>40386</v>
      </c>
      <c r="V943" s="2">
        <v>47037019600</v>
      </c>
      <c r="W943" s="2" t="s">
        <v>68</v>
      </c>
      <c r="X943" s="1">
        <v>45658</v>
      </c>
      <c r="Y943" s="2">
        <v>12157400</v>
      </c>
      <c r="Z943" s="2">
        <v>1708400</v>
      </c>
      <c r="AA943" s="2">
        <v>10449000</v>
      </c>
    </row>
    <row r="944" spans="1:27" x14ac:dyDescent="0.3">
      <c r="A944" s="3">
        <v>15</v>
      </c>
      <c r="B944" s="2" t="str">
        <f>"09312000900"</f>
        <v>09312000900</v>
      </c>
      <c r="C944" s="2" t="s">
        <v>3552</v>
      </c>
      <c r="D944" t="s">
        <v>29</v>
      </c>
      <c r="E944" s="2" t="s">
        <v>30</v>
      </c>
      <c r="F944" s="2">
        <v>37210</v>
      </c>
      <c r="G944" s="2" t="s">
        <v>152</v>
      </c>
      <c r="H944" t="s">
        <v>3548</v>
      </c>
      <c r="I944" s="6">
        <v>33450</v>
      </c>
      <c r="J944" s="2" t="s">
        <v>3553</v>
      </c>
      <c r="K944" s="2">
        <v>4475000</v>
      </c>
      <c r="L944" t="s">
        <v>35</v>
      </c>
      <c r="M944" t="s">
        <v>29</v>
      </c>
      <c r="N944" t="s">
        <v>30</v>
      </c>
      <c r="O944">
        <v>37219</v>
      </c>
      <c r="P944" t="s">
        <v>3554</v>
      </c>
      <c r="Q944" s="2">
        <v>0.85</v>
      </c>
      <c r="R944" s="2">
        <v>323</v>
      </c>
      <c r="S944" s="2">
        <v>205</v>
      </c>
      <c r="T944" t="s">
        <v>62</v>
      </c>
      <c r="U944" s="6">
        <v>33450</v>
      </c>
      <c r="V944" s="2">
        <v>47037019600</v>
      </c>
      <c r="W944" s="2" t="s">
        <v>68</v>
      </c>
      <c r="X944" s="1">
        <v>45658</v>
      </c>
      <c r="Y944" s="2">
        <v>765000</v>
      </c>
      <c r="Z944" s="2">
        <v>0</v>
      </c>
      <c r="AA944" s="2">
        <v>765000</v>
      </c>
    </row>
    <row r="945" spans="1:27" x14ac:dyDescent="0.3">
      <c r="A945" s="3">
        <v>15</v>
      </c>
      <c r="B945" s="2" t="str">
        <f>"06213012700"</f>
        <v>06213012700</v>
      </c>
      <c r="C945" s="2" t="s">
        <v>3555</v>
      </c>
      <c r="D945" t="s">
        <v>29</v>
      </c>
      <c r="E945" s="2" t="s">
        <v>30</v>
      </c>
      <c r="F945" s="2">
        <v>37214</v>
      </c>
      <c r="G945" s="2" t="s">
        <v>41</v>
      </c>
      <c r="H945" t="s">
        <v>518</v>
      </c>
      <c r="I945" s="6">
        <v>42902</v>
      </c>
      <c r="J945" s="2" t="s">
        <v>3556</v>
      </c>
      <c r="K945" s="2">
        <v>0</v>
      </c>
      <c r="L945" t="s">
        <v>881</v>
      </c>
      <c r="M945" t="s">
        <v>29</v>
      </c>
      <c r="N945" t="s">
        <v>30</v>
      </c>
      <c r="O945">
        <v>37219</v>
      </c>
      <c r="P945" t="s">
        <v>3557</v>
      </c>
      <c r="Q945" s="2">
        <v>0.38</v>
      </c>
      <c r="R945" s="2">
        <v>100</v>
      </c>
      <c r="S945" s="2">
        <v>201</v>
      </c>
      <c r="T945" t="s">
        <v>3558</v>
      </c>
      <c r="U945" s="6">
        <v>31049</v>
      </c>
      <c r="V945" s="2">
        <v>47037015300</v>
      </c>
      <c r="W945" s="2" t="s">
        <v>68</v>
      </c>
      <c r="X945" s="1">
        <v>45658</v>
      </c>
      <c r="Y945" s="2">
        <v>229600</v>
      </c>
      <c r="Z945" s="2">
        <v>0</v>
      </c>
      <c r="AA945" s="2">
        <v>229600</v>
      </c>
    </row>
    <row r="946" spans="1:27" x14ac:dyDescent="0.3">
      <c r="A946" s="3">
        <v>15</v>
      </c>
      <c r="B946" s="2" t="str">
        <f>"06213012800"</f>
        <v>06213012800</v>
      </c>
      <c r="C946" s="2" t="s">
        <v>3559</v>
      </c>
      <c r="D946" t="s">
        <v>29</v>
      </c>
      <c r="E946" s="2" t="s">
        <v>30</v>
      </c>
      <c r="F946" s="2">
        <v>37214</v>
      </c>
      <c r="G946" s="2" t="s">
        <v>2490</v>
      </c>
      <c r="H946" t="s">
        <v>518</v>
      </c>
      <c r="I946" s="6">
        <v>42902</v>
      </c>
      <c r="J946" s="2" t="s">
        <v>3560</v>
      </c>
      <c r="K946" s="2">
        <v>0</v>
      </c>
      <c r="L946" t="s">
        <v>881</v>
      </c>
      <c r="M946" t="s">
        <v>29</v>
      </c>
      <c r="N946" t="s">
        <v>30</v>
      </c>
      <c r="O946">
        <v>37219</v>
      </c>
      <c r="P946" t="s">
        <v>3561</v>
      </c>
      <c r="Q946" s="2">
        <v>1.1399999999999999</v>
      </c>
      <c r="R946" s="2">
        <v>0</v>
      </c>
      <c r="S946" s="2">
        <v>272</v>
      </c>
      <c r="T946" t="s">
        <v>3558</v>
      </c>
      <c r="U946" s="6">
        <v>31049</v>
      </c>
      <c r="V946" s="2">
        <v>47037015300</v>
      </c>
      <c r="W946" s="2" t="s">
        <v>68</v>
      </c>
      <c r="X946" s="1">
        <v>45658</v>
      </c>
      <c r="Y946" s="2">
        <v>829000</v>
      </c>
      <c r="Z946" s="2">
        <v>59300</v>
      </c>
      <c r="AA946" s="2">
        <v>769700</v>
      </c>
    </row>
    <row r="947" spans="1:27" x14ac:dyDescent="0.3">
      <c r="A947" s="3">
        <v>15</v>
      </c>
      <c r="B947" s="2" t="str">
        <f>"09508022500"</f>
        <v>09508022500</v>
      </c>
      <c r="C947" s="2" t="s">
        <v>3562</v>
      </c>
      <c r="D947" t="s">
        <v>29</v>
      </c>
      <c r="E947" s="2" t="s">
        <v>30</v>
      </c>
      <c r="F947" s="2">
        <v>37214</v>
      </c>
      <c r="G947" s="2" t="s">
        <v>64</v>
      </c>
      <c r="H947" t="s">
        <v>171</v>
      </c>
      <c r="I947" s="6">
        <v>26543</v>
      </c>
      <c r="J947" s="2" t="s">
        <v>3563</v>
      </c>
      <c r="K947" s="2" t="s">
        <v>34</v>
      </c>
      <c r="L947" t="s">
        <v>35</v>
      </c>
      <c r="M947" t="s">
        <v>29</v>
      </c>
      <c r="N947" t="s">
        <v>30</v>
      </c>
      <c r="O947">
        <v>37219</v>
      </c>
      <c r="P947" t="s">
        <v>3564</v>
      </c>
      <c r="Q947" s="2">
        <v>0.01</v>
      </c>
      <c r="R947" s="2">
        <v>0</v>
      </c>
      <c r="S947" s="2">
        <v>2</v>
      </c>
      <c r="T947" t="s">
        <v>278</v>
      </c>
      <c r="U947" s="6">
        <v>35061</v>
      </c>
      <c r="V947" s="2">
        <v>47037015100</v>
      </c>
      <c r="W947" s="2" t="s">
        <v>68</v>
      </c>
      <c r="X947" s="1">
        <v>45658</v>
      </c>
      <c r="Y947" s="2">
        <v>800</v>
      </c>
      <c r="Z947" s="2">
        <v>0</v>
      </c>
      <c r="AA947" s="2">
        <v>800</v>
      </c>
    </row>
    <row r="948" spans="1:27" x14ac:dyDescent="0.3">
      <c r="A948" s="3">
        <v>15</v>
      </c>
      <c r="B948" s="2" t="str">
        <f>"09508010900"</f>
        <v>09508010900</v>
      </c>
      <c r="C948" s="2" t="s">
        <v>3565</v>
      </c>
      <c r="D948" t="s">
        <v>29</v>
      </c>
      <c r="E948" s="2" t="s">
        <v>30</v>
      </c>
      <c r="F948" s="2">
        <v>37214</v>
      </c>
      <c r="G948" s="2" t="s">
        <v>64</v>
      </c>
      <c r="H948" t="s">
        <v>171</v>
      </c>
      <c r="I948" s="6">
        <v>26513</v>
      </c>
      <c r="J948" s="2" t="s">
        <v>3566</v>
      </c>
      <c r="K948" s="2" t="s">
        <v>34</v>
      </c>
      <c r="L948" t="s">
        <v>35</v>
      </c>
      <c r="M948" t="s">
        <v>29</v>
      </c>
      <c r="N948" t="s">
        <v>30</v>
      </c>
      <c r="O948">
        <v>37219</v>
      </c>
      <c r="P948" t="s">
        <v>3567</v>
      </c>
      <c r="Q948" s="2">
        <v>0.06</v>
      </c>
      <c r="R948" s="2">
        <v>2</v>
      </c>
      <c r="S948" s="2">
        <v>915</v>
      </c>
      <c r="T948" t="s">
        <v>3566</v>
      </c>
      <c r="U948" s="6">
        <v>26513</v>
      </c>
      <c r="V948" s="2">
        <v>47037015100</v>
      </c>
      <c r="W948" s="2" t="s">
        <v>68</v>
      </c>
      <c r="X948" s="1">
        <v>45658</v>
      </c>
      <c r="Y948" s="2">
        <v>800</v>
      </c>
      <c r="Z948" s="2">
        <v>0</v>
      </c>
      <c r="AA948" s="2">
        <v>800</v>
      </c>
    </row>
    <row r="949" spans="1:27" x14ac:dyDescent="0.3">
      <c r="A949" s="3">
        <v>15</v>
      </c>
      <c r="B949" s="2" t="str">
        <f>"09400002500"</f>
        <v>09400002500</v>
      </c>
      <c r="C949" s="2" t="s">
        <v>3568</v>
      </c>
      <c r="D949" t="s">
        <v>29</v>
      </c>
      <c r="E949" s="2" t="s">
        <v>30</v>
      </c>
      <c r="F949" s="2">
        <v>37210</v>
      </c>
      <c r="G949" s="2" t="s">
        <v>3569</v>
      </c>
      <c r="H949" t="s">
        <v>3570</v>
      </c>
      <c r="I949" s="6">
        <v>35293</v>
      </c>
      <c r="J949" s="2" t="s">
        <v>3571</v>
      </c>
      <c r="K949" s="2">
        <v>3500</v>
      </c>
      <c r="L949" t="s">
        <v>35</v>
      </c>
      <c r="M949" t="s">
        <v>29</v>
      </c>
      <c r="N949" t="s">
        <v>30</v>
      </c>
      <c r="O949">
        <v>37219</v>
      </c>
      <c r="P949" t="s">
        <v>3572</v>
      </c>
      <c r="Q949" s="2">
        <v>22</v>
      </c>
      <c r="R949" s="2">
        <v>0</v>
      </c>
      <c r="S949" s="2">
        <v>0</v>
      </c>
      <c r="T949" t="s">
        <v>3571</v>
      </c>
      <c r="U949" s="6">
        <v>35293</v>
      </c>
      <c r="V949" s="2">
        <v>47037019600</v>
      </c>
      <c r="W949" s="2" t="s">
        <v>68</v>
      </c>
      <c r="X949" s="1">
        <v>45658</v>
      </c>
      <c r="Y949" s="2">
        <v>12704500</v>
      </c>
      <c r="Z949" s="2">
        <v>604500</v>
      </c>
      <c r="AA949" s="2">
        <v>12100000</v>
      </c>
    </row>
    <row r="950" spans="1:27" x14ac:dyDescent="0.3">
      <c r="A950" s="3">
        <v>15</v>
      </c>
      <c r="B950" s="2" t="str">
        <f>"09605002301"</f>
        <v>09605002301</v>
      </c>
      <c r="C950" s="2" t="s">
        <v>3573</v>
      </c>
      <c r="D950" t="s">
        <v>29</v>
      </c>
      <c r="E950" s="2" t="s">
        <v>30</v>
      </c>
      <c r="F950" s="2">
        <v>37214</v>
      </c>
      <c r="G950" s="2" t="s">
        <v>64</v>
      </c>
      <c r="H950" t="s">
        <v>911</v>
      </c>
      <c r="I950" s="6">
        <v>26543</v>
      </c>
      <c r="J950" s="2" t="s">
        <v>3574</v>
      </c>
      <c r="K950" s="2" t="s">
        <v>34</v>
      </c>
      <c r="L950" t="s">
        <v>35</v>
      </c>
      <c r="M950" t="s">
        <v>29</v>
      </c>
      <c r="N950" t="s">
        <v>30</v>
      </c>
      <c r="O950">
        <v>37219</v>
      </c>
      <c r="P950" t="s">
        <v>3575</v>
      </c>
      <c r="Q950" s="2">
        <v>0.09</v>
      </c>
      <c r="R950" s="2">
        <v>0</v>
      </c>
      <c r="S950" s="2">
        <v>0</v>
      </c>
      <c r="T950" t="s">
        <v>3576</v>
      </c>
      <c r="U950" s="6">
        <v>31114</v>
      </c>
      <c r="V950" s="2">
        <v>47037015100</v>
      </c>
      <c r="W950" s="2" t="s">
        <v>68</v>
      </c>
      <c r="X950" s="1">
        <v>45658</v>
      </c>
      <c r="Y950" s="2">
        <v>800</v>
      </c>
      <c r="Z950" s="2">
        <v>0</v>
      </c>
      <c r="AA950" s="2">
        <v>800</v>
      </c>
    </row>
    <row r="951" spans="1:27" x14ac:dyDescent="0.3">
      <c r="A951" s="3">
        <v>15</v>
      </c>
      <c r="B951" s="2" t="str">
        <f>"07311001800"</f>
        <v>07311001800</v>
      </c>
      <c r="C951" s="2" t="s">
        <v>3577</v>
      </c>
      <c r="D951" t="s">
        <v>29</v>
      </c>
      <c r="E951" s="2" t="s">
        <v>30</v>
      </c>
      <c r="F951" s="2">
        <v>37214</v>
      </c>
      <c r="G951" s="2" t="s">
        <v>152</v>
      </c>
      <c r="H951" t="s">
        <v>176</v>
      </c>
      <c r="I951" s="6">
        <v>20731</v>
      </c>
      <c r="J951" s="2" t="s">
        <v>3578</v>
      </c>
      <c r="K951" s="2" t="s">
        <v>34</v>
      </c>
      <c r="L951" t="s">
        <v>178</v>
      </c>
      <c r="M951" t="s">
        <v>29</v>
      </c>
      <c r="N951" t="s">
        <v>30</v>
      </c>
      <c r="O951">
        <v>37246</v>
      </c>
      <c r="P951" t="s">
        <v>3579</v>
      </c>
      <c r="Q951" s="2">
        <v>0.34</v>
      </c>
      <c r="R951" s="2">
        <v>80</v>
      </c>
      <c r="S951" s="2">
        <v>227</v>
      </c>
      <c r="T951" t="s">
        <v>3578</v>
      </c>
      <c r="U951" s="6">
        <v>20731</v>
      </c>
      <c r="V951" s="2">
        <v>47037015300</v>
      </c>
      <c r="W951" s="2" t="s">
        <v>68</v>
      </c>
      <c r="X951" s="1">
        <v>45658</v>
      </c>
      <c r="Y951" s="2">
        <v>107100</v>
      </c>
      <c r="Z951" s="2">
        <v>0</v>
      </c>
      <c r="AA951" s="2">
        <v>107100</v>
      </c>
    </row>
    <row r="952" spans="1:27" x14ac:dyDescent="0.3">
      <c r="A952" s="3">
        <v>15</v>
      </c>
      <c r="B952" s="2" t="str">
        <f>"07300002800"</f>
        <v>07300002800</v>
      </c>
      <c r="C952" s="2" t="s">
        <v>3580</v>
      </c>
      <c r="D952" t="s">
        <v>29</v>
      </c>
      <c r="E952" s="2" t="s">
        <v>30</v>
      </c>
      <c r="F952" s="2">
        <v>37214</v>
      </c>
      <c r="G952" s="2" t="s">
        <v>152</v>
      </c>
      <c r="H952" t="s">
        <v>176</v>
      </c>
      <c r="I952" s="6">
        <v>26123</v>
      </c>
      <c r="J952" s="2" t="s">
        <v>3581</v>
      </c>
      <c r="K952" s="2" t="s">
        <v>34</v>
      </c>
      <c r="L952" t="s">
        <v>178</v>
      </c>
      <c r="M952" t="s">
        <v>29</v>
      </c>
      <c r="N952" t="s">
        <v>30</v>
      </c>
      <c r="O952">
        <v>37246</v>
      </c>
      <c r="P952" t="s">
        <v>3582</v>
      </c>
      <c r="Q952" s="2">
        <v>0.54</v>
      </c>
      <c r="R952" s="2">
        <v>130</v>
      </c>
      <c r="S952" s="2">
        <v>186</v>
      </c>
      <c r="T952" t="s">
        <v>3581</v>
      </c>
      <c r="U952" s="6">
        <v>26123</v>
      </c>
      <c r="V952" s="2">
        <v>47037015300</v>
      </c>
      <c r="W952" s="2" t="s">
        <v>68</v>
      </c>
      <c r="X952" s="1">
        <v>45658</v>
      </c>
      <c r="Y952" s="2">
        <v>121500</v>
      </c>
      <c r="Z952" s="2">
        <v>0</v>
      </c>
      <c r="AA952" s="2">
        <v>121500</v>
      </c>
    </row>
    <row r="953" spans="1:27" x14ac:dyDescent="0.3">
      <c r="A953" s="3">
        <v>15</v>
      </c>
      <c r="B953" s="2" t="str">
        <f>"09611019800"</f>
        <v>09611019800</v>
      </c>
      <c r="C953" s="2" t="s">
        <v>3583</v>
      </c>
      <c r="D953" t="s">
        <v>29</v>
      </c>
      <c r="E953" s="2" t="s">
        <v>30</v>
      </c>
      <c r="F953" s="2">
        <v>37214</v>
      </c>
      <c r="G953" s="2" t="s">
        <v>152</v>
      </c>
      <c r="H953" t="s">
        <v>176</v>
      </c>
      <c r="I953" s="6">
        <v>22731</v>
      </c>
      <c r="J953" s="2" t="s">
        <v>3584</v>
      </c>
      <c r="K953" s="2" t="s">
        <v>34</v>
      </c>
      <c r="L953" t="s">
        <v>178</v>
      </c>
      <c r="M953" t="s">
        <v>29</v>
      </c>
      <c r="N953" t="s">
        <v>30</v>
      </c>
      <c r="O953">
        <v>37246</v>
      </c>
      <c r="P953" t="s">
        <v>3585</v>
      </c>
      <c r="Q953" s="2">
        <v>0.25</v>
      </c>
      <c r="R953" s="2">
        <v>106</v>
      </c>
      <c r="S953" s="2">
        <v>143</v>
      </c>
      <c r="T953" t="s">
        <v>3584</v>
      </c>
      <c r="U953" s="6">
        <v>22731</v>
      </c>
      <c r="V953" s="2">
        <v>47037015502</v>
      </c>
      <c r="W953" s="2" t="s">
        <v>68</v>
      </c>
      <c r="X953" s="1">
        <v>45658</v>
      </c>
      <c r="Y953" s="2">
        <v>82000</v>
      </c>
      <c r="Z953" s="2">
        <v>0</v>
      </c>
      <c r="AA953" s="2">
        <v>82000</v>
      </c>
    </row>
    <row r="954" spans="1:27" x14ac:dyDescent="0.3">
      <c r="A954" s="3">
        <v>15</v>
      </c>
      <c r="B954" s="2" t="str">
        <f>"09409006900"</f>
        <v>09409006900</v>
      </c>
      <c r="C954" s="2" t="s">
        <v>3586</v>
      </c>
      <c r="D954" t="s">
        <v>29</v>
      </c>
      <c r="E954" s="2" t="s">
        <v>30</v>
      </c>
      <c r="F954" s="2">
        <v>37210</v>
      </c>
      <c r="G954" s="2" t="s">
        <v>152</v>
      </c>
      <c r="H954" t="s">
        <v>176</v>
      </c>
      <c r="I954" s="6">
        <v>17632</v>
      </c>
      <c r="J954" s="2" t="s">
        <v>3587</v>
      </c>
      <c r="K954" s="2" t="s">
        <v>34</v>
      </c>
      <c r="L954" t="s">
        <v>178</v>
      </c>
      <c r="M954" t="s">
        <v>29</v>
      </c>
      <c r="N954" t="s">
        <v>30</v>
      </c>
      <c r="O954">
        <v>37246</v>
      </c>
      <c r="P954" t="s">
        <v>3588</v>
      </c>
      <c r="Q954" s="2">
        <v>3.62</v>
      </c>
      <c r="R954" s="2">
        <v>650</v>
      </c>
      <c r="S954" s="2">
        <v>250</v>
      </c>
      <c r="T954" t="s">
        <v>3587</v>
      </c>
      <c r="U954" s="6">
        <v>17632</v>
      </c>
      <c r="V954" s="2">
        <v>47037019600</v>
      </c>
      <c r="W954" s="2" t="s">
        <v>68</v>
      </c>
      <c r="X954" s="1">
        <v>45658</v>
      </c>
      <c r="Y954" s="2">
        <v>3982000</v>
      </c>
      <c r="Z954" s="2">
        <v>0</v>
      </c>
      <c r="AA954" s="2">
        <v>3982000</v>
      </c>
    </row>
    <row r="955" spans="1:27" x14ac:dyDescent="0.3">
      <c r="A955" s="3">
        <v>15</v>
      </c>
      <c r="B955" s="2" t="str">
        <f>"09413005401"</f>
        <v>09413005401</v>
      </c>
      <c r="C955" s="2" t="s">
        <v>3589</v>
      </c>
      <c r="D955" t="s">
        <v>29</v>
      </c>
      <c r="E955" s="2" t="s">
        <v>30</v>
      </c>
      <c r="F955" s="2">
        <v>37210</v>
      </c>
      <c r="G955" s="2" t="s">
        <v>152</v>
      </c>
      <c r="H955" t="s">
        <v>176</v>
      </c>
      <c r="I955" s="6">
        <v>17836</v>
      </c>
      <c r="J955" s="2" t="s">
        <v>3590</v>
      </c>
      <c r="K955" s="2" t="s">
        <v>34</v>
      </c>
      <c r="L955" t="s">
        <v>178</v>
      </c>
      <c r="M955" t="s">
        <v>29</v>
      </c>
      <c r="N955" t="s">
        <v>30</v>
      </c>
      <c r="O955">
        <v>37246</v>
      </c>
      <c r="P955" t="s">
        <v>3591</v>
      </c>
      <c r="Q955" s="2">
        <v>0.37</v>
      </c>
      <c r="R955" s="2">
        <v>106</v>
      </c>
      <c r="S955" s="2">
        <v>150</v>
      </c>
      <c r="T955" t="s">
        <v>3590</v>
      </c>
      <c r="U955" s="6">
        <v>17836</v>
      </c>
      <c r="V955" s="2">
        <v>47037019600</v>
      </c>
      <c r="W955" s="2" t="s">
        <v>68</v>
      </c>
      <c r="X955" s="1">
        <v>45658</v>
      </c>
      <c r="Y955" s="2">
        <v>644700</v>
      </c>
      <c r="Z955" s="2">
        <v>0</v>
      </c>
      <c r="AA955" s="2">
        <v>644700</v>
      </c>
    </row>
    <row r="956" spans="1:27" x14ac:dyDescent="0.3">
      <c r="A956" s="3">
        <v>15</v>
      </c>
      <c r="B956" s="2" t="str">
        <f>"09515003400"</f>
        <v>09515003400</v>
      </c>
      <c r="C956" s="2" t="s">
        <v>3592</v>
      </c>
      <c r="D956" t="s">
        <v>29</v>
      </c>
      <c r="E956" s="2" t="s">
        <v>30</v>
      </c>
      <c r="F956" s="2">
        <v>37214</v>
      </c>
      <c r="G956" s="2" t="s">
        <v>152</v>
      </c>
      <c r="H956" t="s">
        <v>176</v>
      </c>
      <c r="I956" s="6">
        <v>19586</v>
      </c>
      <c r="J956" s="2" t="s">
        <v>3593</v>
      </c>
      <c r="K956" s="2" t="s">
        <v>34</v>
      </c>
      <c r="L956" t="s">
        <v>178</v>
      </c>
      <c r="M956" t="s">
        <v>29</v>
      </c>
      <c r="N956" t="s">
        <v>30</v>
      </c>
      <c r="O956">
        <v>37246</v>
      </c>
      <c r="P956" t="s">
        <v>3594</v>
      </c>
      <c r="Q956" s="2">
        <v>0.08</v>
      </c>
      <c r="R956" s="2">
        <v>65</v>
      </c>
      <c r="S956" s="2">
        <v>65</v>
      </c>
      <c r="T956" t="s">
        <v>3593</v>
      </c>
      <c r="U956" s="6">
        <v>19586</v>
      </c>
      <c r="V956" s="2">
        <v>47037015100</v>
      </c>
      <c r="W956" s="2" t="s">
        <v>68</v>
      </c>
      <c r="X956" s="1">
        <v>45658</v>
      </c>
      <c r="Y956" s="2">
        <v>104600</v>
      </c>
      <c r="Z956" s="2">
        <v>0</v>
      </c>
      <c r="AA956" s="2">
        <v>104600</v>
      </c>
    </row>
    <row r="957" spans="1:27" x14ac:dyDescent="0.3">
      <c r="A957" s="3">
        <v>15</v>
      </c>
      <c r="B957" s="2" t="str">
        <f>"09613009900"</f>
        <v>09613009900</v>
      </c>
      <c r="C957" s="2" t="s">
        <v>3595</v>
      </c>
      <c r="D957" t="s">
        <v>29</v>
      </c>
      <c r="E957" s="2" t="s">
        <v>30</v>
      </c>
      <c r="F957" s="2">
        <v>37214</v>
      </c>
      <c r="G957" s="2" t="s">
        <v>152</v>
      </c>
      <c r="H957" t="s">
        <v>176</v>
      </c>
      <c r="I957" s="6">
        <v>20159</v>
      </c>
      <c r="J957" s="2" t="s">
        <v>3596</v>
      </c>
      <c r="K957" s="2" t="s">
        <v>34</v>
      </c>
      <c r="L957" t="s">
        <v>178</v>
      </c>
      <c r="M957" t="s">
        <v>29</v>
      </c>
      <c r="N957" t="s">
        <v>30</v>
      </c>
      <c r="O957">
        <v>37246</v>
      </c>
      <c r="P957" t="s">
        <v>3597</v>
      </c>
      <c r="Q957" s="2">
        <v>0.26</v>
      </c>
      <c r="R957" s="2">
        <v>80</v>
      </c>
      <c r="S957" s="2">
        <v>151</v>
      </c>
      <c r="T957" t="s">
        <v>3596</v>
      </c>
      <c r="U957" s="6">
        <v>20159</v>
      </c>
      <c r="V957" s="2">
        <v>47037015502</v>
      </c>
      <c r="W957" s="2" t="s">
        <v>68</v>
      </c>
      <c r="X957" s="1">
        <v>45658</v>
      </c>
      <c r="Y957" s="2">
        <v>3300</v>
      </c>
      <c r="Z957" s="2">
        <v>0</v>
      </c>
      <c r="AA957" s="2">
        <v>3300</v>
      </c>
    </row>
    <row r="958" spans="1:27" x14ac:dyDescent="0.3">
      <c r="A958" s="3">
        <v>15</v>
      </c>
      <c r="B958" s="2" t="str">
        <f>"09513000100"</f>
        <v>09513000100</v>
      </c>
      <c r="C958" s="2" t="s">
        <v>3598</v>
      </c>
      <c r="D958" t="s">
        <v>29</v>
      </c>
      <c r="E958" s="2" t="s">
        <v>30</v>
      </c>
      <c r="F958" s="2">
        <v>37210</v>
      </c>
      <c r="G958" s="2" t="s">
        <v>152</v>
      </c>
      <c r="H958" t="s">
        <v>176</v>
      </c>
      <c r="I958" s="6">
        <v>24768</v>
      </c>
      <c r="J958" s="2" t="s">
        <v>3599</v>
      </c>
      <c r="K958" s="2" t="s">
        <v>34</v>
      </c>
      <c r="L958" t="s">
        <v>178</v>
      </c>
      <c r="M958" t="s">
        <v>29</v>
      </c>
      <c r="N958" t="s">
        <v>30</v>
      </c>
      <c r="O958">
        <v>37246</v>
      </c>
      <c r="P958" t="s">
        <v>3600</v>
      </c>
      <c r="Q958" s="2">
        <v>2.2000000000000002</v>
      </c>
      <c r="R958" s="2">
        <v>250</v>
      </c>
      <c r="S958" s="2">
        <v>338</v>
      </c>
      <c r="T958" t="s">
        <v>3599</v>
      </c>
      <c r="U958" s="6">
        <v>24768</v>
      </c>
      <c r="V958" s="2">
        <v>47037019600</v>
      </c>
      <c r="W958" s="2" t="s">
        <v>68</v>
      </c>
      <c r="X958" s="1">
        <v>45658</v>
      </c>
      <c r="Y958" s="2">
        <v>2640000</v>
      </c>
      <c r="Z958" s="2">
        <v>0</v>
      </c>
      <c r="AA958" s="2">
        <v>2640000</v>
      </c>
    </row>
    <row r="959" spans="1:27" x14ac:dyDescent="0.3">
      <c r="A959" s="3">
        <v>15</v>
      </c>
      <c r="B959" s="2" t="str">
        <f>"08414002700"</f>
        <v>08414002700</v>
      </c>
      <c r="C959" s="2" t="s">
        <v>3601</v>
      </c>
      <c r="D959" t="s">
        <v>29</v>
      </c>
      <c r="E959" s="2" t="s">
        <v>30</v>
      </c>
      <c r="F959" s="2">
        <v>37214</v>
      </c>
      <c r="G959" s="2" t="s">
        <v>152</v>
      </c>
      <c r="H959" t="s">
        <v>176</v>
      </c>
      <c r="I959" s="6">
        <v>19838</v>
      </c>
      <c r="J959" s="2" t="s">
        <v>3602</v>
      </c>
      <c r="K959" s="2" t="s">
        <v>34</v>
      </c>
      <c r="L959" t="s">
        <v>178</v>
      </c>
      <c r="M959" t="s">
        <v>29</v>
      </c>
      <c r="N959" t="s">
        <v>30</v>
      </c>
      <c r="O959">
        <v>37246</v>
      </c>
      <c r="P959" t="s">
        <v>3603</v>
      </c>
      <c r="Q959" s="2">
        <v>1.05</v>
      </c>
      <c r="R959" s="2">
        <v>284</v>
      </c>
      <c r="S959" s="2">
        <v>213</v>
      </c>
      <c r="T959" t="s">
        <v>3602</v>
      </c>
      <c r="U959" s="6">
        <v>19838</v>
      </c>
      <c r="V959" s="2">
        <v>47037015200</v>
      </c>
      <c r="W959" s="2" t="s">
        <v>68</v>
      </c>
      <c r="X959" s="1">
        <v>45658</v>
      </c>
      <c r="Y959" s="2">
        <v>235100</v>
      </c>
      <c r="Z959" s="2">
        <v>0</v>
      </c>
      <c r="AA959" s="2">
        <v>235100</v>
      </c>
    </row>
    <row r="960" spans="1:27" x14ac:dyDescent="0.3">
      <c r="A960" s="3">
        <v>15</v>
      </c>
      <c r="B960" s="2" t="str">
        <f>"09606004500"</f>
        <v>09606004500</v>
      </c>
      <c r="C960" s="2" t="s">
        <v>3604</v>
      </c>
      <c r="D960" t="s">
        <v>29</v>
      </c>
      <c r="E960" s="2" t="s">
        <v>30</v>
      </c>
      <c r="F960" s="2">
        <v>37214</v>
      </c>
      <c r="G960" s="2" t="s">
        <v>64</v>
      </c>
      <c r="H960" t="s">
        <v>176</v>
      </c>
      <c r="I960" s="6">
        <v>18855</v>
      </c>
      <c r="J960" s="2" t="s">
        <v>3605</v>
      </c>
      <c r="K960" s="2">
        <v>0</v>
      </c>
      <c r="L960" t="s">
        <v>3606</v>
      </c>
      <c r="M960" t="s">
        <v>29</v>
      </c>
      <c r="N960" t="s">
        <v>30</v>
      </c>
      <c r="O960">
        <v>37246</v>
      </c>
      <c r="P960" t="s">
        <v>3607</v>
      </c>
      <c r="Q960" s="2">
        <v>3.45</v>
      </c>
      <c r="R960" s="2">
        <v>0</v>
      </c>
      <c r="S960" s="2">
        <v>0</v>
      </c>
      <c r="T960" t="s">
        <v>3608</v>
      </c>
      <c r="U960" s="6">
        <v>38330</v>
      </c>
      <c r="V960" s="2">
        <v>47037015501</v>
      </c>
      <c r="W960" s="2" t="s">
        <v>68</v>
      </c>
      <c r="X960" s="1">
        <v>45658</v>
      </c>
      <c r="Y960" s="2">
        <v>11300</v>
      </c>
      <c r="Z960" s="2">
        <v>0</v>
      </c>
      <c r="AA960" s="2">
        <v>11300</v>
      </c>
    </row>
    <row r="961" spans="1:27" x14ac:dyDescent="0.3">
      <c r="A961" s="3">
        <v>15</v>
      </c>
      <c r="B961" s="2" t="str">
        <f>"06200007300"</f>
        <v>06200007300</v>
      </c>
      <c r="C961" s="2" t="s">
        <v>3609</v>
      </c>
      <c r="D961" t="s">
        <v>29</v>
      </c>
      <c r="E961" s="2" t="s">
        <v>30</v>
      </c>
      <c r="F961" s="2">
        <v>37214</v>
      </c>
      <c r="G961" s="2" t="s">
        <v>152</v>
      </c>
      <c r="H961" t="s">
        <v>176</v>
      </c>
      <c r="I961" s="6">
        <v>23963</v>
      </c>
      <c r="J961" s="2" t="s">
        <v>3610</v>
      </c>
      <c r="K961" s="2" t="s">
        <v>34</v>
      </c>
      <c r="L961" t="s">
        <v>178</v>
      </c>
      <c r="M961" t="s">
        <v>29</v>
      </c>
      <c r="N961" t="s">
        <v>30</v>
      </c>
      <c r="O961">
        <v>37246</v>
      </c>
      <c r="P961" t="s">
        <v>3611</v>
      </c>
      <c r="Q961" s="2">
        <v>4.09</v>
      </c>
      <c r="R961" s="2">
        <v>0</v>
      </c>
      <c r="S961" s="2">
        <v>0</v>
      </c>
      <c r="T961" t="s">
        <v>3612</v>
      </c>
      <c r="U961" s="6">
        <v>36977</v>
      </c>
      <c r="V961" s="2">
        <v>47037015300</v>
      </c>
      <c r="W961" s="2" t="s">
        <v>68</v>
      </c>
      <c r="X961" s="1">
        <v>45658</v>
      </c>
      <c r="Y961" s="2">
        <v>510000</v>
      </c>
      <c r="Z961" s="2">
        <v>0</v>
      </c>
      <c r="AA961" s="2">
        <v>510000</v>
      </c>
    </row>
    <row r="962" spans="1:27" x14ac:dyDescent="0.3">
      <c r="A962" s="3">
        <v>15</v>
      </c>
      <c r="B962" s="2" t="str">
        <f>"09509001500"</f>
        <v>09509001500</v>
      </c>
      <c r="C962" s="2" t="s">
        <v>3613</v>
      </c>
      <c r="D962" t="s">
        <v>29</v>
      </c>
      <c r="E962" s="2" t="s">
        <v>30</v>
      </c>
      <c r="F962" s="2">
        <v>37210</v>
      </c>
      <c r="G962" s="2" t="s">
        <v>152</v>
      </c>
      <c r="H962" t="s">
        <v>176</v>
      </c>
      <c r="I962" s="6">
        <v>21640</v>
      </c>
      <c r="J962" s="2" t="s">
        <v>3614</v>
      </c>
      <c r="K962" s="2" t="s">
        <v>34</v>
      </c>
      <c r="L962" t="s">
        <v>178</v>
      </c>
      <c r="M962" t="s">
        <v>29</v>
      </c>
      <c r="N962" t="s">
        <v>30</v>
      </c>
      <c r="O962">
        <v>37246</v>
      </c>
      <c r="P962" t="s">
        <v>3615</v>
      </c>
      <c r="Q962" s="2">
        <v>0.9</v>
      </c>
      <c r="R962" s="2">
        <v>118</v>
      </c>
      <c r="S962" s="2">
        <v>377</v>
      </c>
      <c r="T962" t="s">
        <v>3614</v>
      </c>
      <c r="U962" s="6">
        <v>21640</v>
      </c>
      <c r="V962" s="2">
        <v>47037019600</v>
      </c>
      <c r="W962" s="2" t="s">
        <v>68</v>
      </c>
      <c r="X962" s="1">
        <v>45658</v>
      </c>
      <c r="Y962" s="2">
        <v>210000</v>
      </c>
      <c r="Z962" s="2">
        <v>0</v>
      </c>
      <c r="AA962" s="2">
        <v>210000</v>
      </c>
    </row>
    <row r="963" spans="1:27" x14ac:dyDescent="0.3">
      <c r="A963" s="3">
        <v>15</v>
      </c>
      <c r="B963" s="2" t="str">
        <f>"10802010300"</f>
        <v>10802010300</v>
      </c>
      <c r="C963" s="2" t="s">
        <v>3616</v>
      </c>
      <c r="D963" t="s">
        <v>29</v>
      </c>
      <c r="E963" s="2" t="s">
        <v>30</v>
      </c>
      <c r="F963" s="2">
        <v>37214</v>
      </c>
      <c r="G963" s="2" t="s">
        <v>64</v>
      </c>
      <c r="H963" t="s">
        <v>211</v>
      </c>
      <c r="I963" s="6">
        <v>27732</v>
      </c>
      <c r="J963" s="2" t="s">
        <v>3617</v>
      </c>
      <c r="K963" s="2">
        <v>256</v>
      </c>
      <c r="L963" t="s">
        <v>35</v>
      </c>
      <c r="M963" t="s">
        <v>29</v>
      </c>
      <c r="N963" t="s">
        <v>30</v>
      </c>
      <c r="O963">
        <v>37219</v>
      </c>
      <c r="P963" t="s">
        <v>3618</v>
      </c>
      <c r="Q963" s="2">
        <v>0.2</v>
      </c>
      <c r="R963" s="2">
        <v>98</v>
      </c>
      <c r="S963" s="2">
        <v>80</v>
      </c>
      <c r="T963" t="s">
        <v>3619</v>
      </c>
      <c r="U963" s="6">
        <v>35123</v>
      </c>
      <c r="V963" s="2">
        <v>47037015502</v>
      </c>
      <c r="W963" s="2" t="s">
        <v>68</v>
      </c>
      <c r="X963" s="1">
        <v>45658</v>
      </c>
      <c r="Y963" s="2">
        <v>700</v>
      </c>
      <c r="Z963" s="2">
        <v>0</v>
      </c>
      <c r="AA963" s="2">
        <v>700</v>
      </c>
    </row>
    <row r="964" spans="1:27" x14ac:dyDescent="0.3">
      <c r="A964" s="3">
        <v>15</v>
      </c>
      <c r="B964" s="2" t="str">
        <f>"10600011400"</f>
        <v>10600011400</v>
      </c>
      <c r="C964" s="2" t="s">
        <v>3620</v>
      </c>
      <c r="D964" t="s">
        <v>29</v>
      </c>
      <c r="E964" s="2" t="s">
        <v>30</v>
      </c>
      <c r="F964" s="2">
        <v>37210</v>
      </c>
      <c r="G964" s="2" t="s">
        <v>1485</v>
      </c>
      <c r="H964" t="s">
        <v>211</v>
      </c>
      <c r="I964" s="6">
        <v>37567</v>
      </c>
      <c r="J964" s="2" t="s">
        <v>3621</v>
      </c>
      <c r="K964" s="2">
        <v>9173</v>
      </c>
      <c r="L964" t="s">
        <v>35</v>
      </c>
      <c r="M964" t="s">
        <v>29</v>
      </c>
      <c r="N964" t="s">
        <v>30</v>
      </c>
      <c r="O964">
        <v>37219</v>
      </c>
      <c r="P964" t="s">
        <v>3622</v>
      </c>
      <c r="Q964" s="2">
        <v>0.27</v>
      </c>
      <c r="R964" s="2">
        <v>200</v>
      </c>
      <c r="S964" s="2">
        <v>175</v>
      </c>
      <c r="T964" t="s">
        <v>3623</v>
      </c>
      <c r="U964" s="6">
        <v>24209</v>
      </c>
      <c r="V964" s="2">
        <v>47037019600</v>
      </c>
      <c r="W964" s="2" t="s">
        <v>68</v>
      </c>
      <c r="X964" s="1">
        <v>45658</v>
      </c>
      <c r="Y964" s="2">
        <v>79400</v>
      </c>
      <c r="Z964" s="2">
        <v>0</v>
      </c>
      <c r="AA964" s="2">
        <v>79400</v>
      </c>
    </row>
    <row r="965" spans="1:27" x14ac:dyDescent="0.3">
      <c r="A965" s="3">
        <v>15</v>
      </c>
      <c r="B965" s="2" t="str">
        <f>"08500021100"</f>
        <v>08500021100</v>
      </c>
      <c r="C965" s="2" t="s">
        <v>3624</v>
      </c>
      <c r="D965" t="s">
        <v>29</v>
      </c>
      <c r="E965" s="2" t="s">
        <v>30</v>
      </c>
      <c r="F965" s="2">
        <v>37214</v>
      </c>
      <c r="G965" s="2" t="s">
        <v>64</v>
      </c>
      <c r="H965" t="s">
        <v>211</v>
      </c>
      <c r="I965" s="6">
        <v>37526</v>
      </c>
      <c r="J965" s="2" t="s">
        <v>3516</v>
      </c>
      <c r="K965" s="2">
        <v>1605</v>
      </c>
      <c r="L965" t="s">
        <v>35</v>
      </c>
      <c r="M965" t="s">
        <v>29</v>
      </c>
      <c r="N965" t="s">
        <v>30</v>
      </c>
      <c r="O965">
        <v>37219</v>
      </c>
      <c r="P965" t="s">
        <v>3515</v>
      </c>
      <c r="Q965" s="2">
        <v>37.94</v>
      </c>
      <c r="R965" s="2">
        <v>0</v>
      </c>
      <c r="S965" s="2">
        <v>0</v>
      </c>
      <c r="T965" t="s">
        <v>3516</v>
      </c>
      <c r="U965" s="6">
        <v>37526</v>
      </c>
      <c r="V965" s="2">
        <v>47037015300</v>
      </c>
      <c r="W965" s="2" t="s">
        <v>68</v>
      </c>
      <c r="X965" s="1">
        <v>45658</v>
      </c>
      <c r="Y965" s="2">
        <v>721900</v>
      </c>
      <c r="Z965" s="2">
        <v>0</v>
      </c>
      <c r="AA965" s="2">
        <v>721900</v>
      </c>
    </row>
    <row r="966" spans="1:27" x14ac:dyDescent="0.3">
      <c r="A966" s="3">
        <v>15</v>
      </c>
      <c r="B966" s="2" t="str">
        <f>"08400002100"</f>
        <v>08400002100</v>
      </c>
      <c r="C966" s="2" t="s">
        <v>3625</v>
      </c>
      <c r="D966" t="s">
        <v>29</v>
      </c>
      <c r="E966" s="2" t="s">
        <v>30</v>
      </c>
      <c r="F966" s="2">
        <v>37214</v>
      </c>
      <c r="G966" s="2" t="s">
        <v>200</v>
      </c>
      <c r="H966" t="s">
        <v>3626</v>
      </c>
      <c r="I966" s="6">
        <v>24457</v>
      </c>
      <c r="J966" s="2" t="s">
        <v>3627</v>
      </c>
      <c r="K966" s="2" t="s">
        <v>34</v>
      </c>
      <c r="L966" t="s">
        <v>35</v>
      </c>
      <c r="M966" t="s">
        <v>29</v>
      </c>
      <c r="N966" t="s">
        <v>30</v>
      </c>
      <c r="O966">
        <v>37219</v>
      </c>
      <c r="P966" t="s">
        <v>3628</v>
      </c>
      <c r="Q966" s="2">
        <v>9.18</v>
      </c>
      <c r="R966" s="2">
        <v>0</v>
      </c>
      <c r="S966" s="2">
        <v>0</v>
      </c>
      <c r="T966" t="s">
        <v>3627</v>
      </c>
      <c r="U966" s="6">
        <v>24457</v>
      </c>
      <c r="V966" s="2">
        <v>47037015300</v>
      </c>
      <c r="W966" s="2" t="s">
        <v>68</v>
      </c>
      <c r="X966" s="1">
        <v>45658</v>
      </c>
      <c r="Y966" s="2">
        <v>297600</v>
      </c>
      <c r="Z966" s="2">
        <v>0</v>
      </c>
      <c r="AA966" s="2">
        <v>297600</v>
      </c>
    </row>
    <row r="967" spans="1:27" x14ac:dyDescent="0.3">
      <c r="A967" s="3">
        <v>15</v>
      </c>
      <c r="B967" s="2" t="str">
        <f>"08400002000"</f>
        <v>08400002000</v>
      </c>
      <c r="C967" s="2" t="s">
        <v>3629</v>
      </c>
      <c r="D967" t="s">
        <v>29</v>
      </c>
      <c r="E967" s="2" t="s">
        <v>30</v>
      </c>
      <c r="F967" s="2">
        <v>37214</v>
      </c>
      <c r="G967" s="2" t="s">
        <v>200</v>
      </c>
      <c r="H967" t="s">
        <v>3626</v>
      </c>
      <c r="I967" s="6">
        <v>24457</v>
      </c>
      <c r="J967" s="2" t="s">
        <v>3627</v>
      </c>
      <c r="K967" s="2" t="s">
        <v>34</v>
      </c>
      <c r="L967" t="s">
        <v>35</v>
      </c>
      <c r="M967" t="s">
        <v>29</v>
      </c>
      <c r="N967" t="s">
        <v>30</v>
      </c>
      <c r="O967">
        <v>37219</v>
      </c>
      <c r="P967" t="s">
        <v>3630</v>
      </c>
      <c r="Q967" s="2">
        <v>42.3</v>
      </c>
      <c r="R967" s="2">
        <v>0</v>
      </c>
      <c r="S967" s="2">
        <v>0</v>
      </c>
      <c r="T967" t="s">
        <v>3627</v>
      </c>
      <c r="U967" s="6">
        <v>24457</v>
      </c>
      <c r="V967" s="2">
        <v>47037015300</v>
      </c>
      <c r="W967" s="2" t="s">
        <v>68</v>
      </c>
      <c r="X967" s="1">
        <v>45658</v>
      </c>
      <c r="Y967" s="2">
        <v>1060100</v>
      </c>
      <c r="Z967" s="2">
        <v>0</v>
      </c>
      <c r="AA967" s="2">
        <v>1060100</v>
      </c>
    </row>
    <row r="968" spans="1:27" x14ac:dyDescent="0.3">
      <c r="A968" s="3">
        <v>15</v>
      </c>
      <c r="B968" s="2" t="str">
        <f>"08400001900"</f>
        <v>08400001900</v>
      </c>
      <c r="C968" s="2" t="s">
        <v>2627</v>
      </c>
      <c r="D968" t="s">
        <v>29</v>
      </c>
      <c r="E968" s="2" t="s">
        <v>30</v>
      </c>
      <c r="F968" s="2">
        <v>37214</v>
      </c>
      <c r="G968" s="2" t="s">
        <v>200</v>
      </c>
      <c r="H968" t="s">
        <v>3626</v>
      </c>
      <c r="I968" s="6">
        <v>24457</v>
      </c>
      <c r="J968" s="2" t="s">
        <v>3627</v>
      </c>
      <c r="K968" s="2" t="s">
        <v>34</v>
      </c>
      <c r="L968" t="s">
        <v>35</v>
      </c>
      <c r="M968" t="s">
        <v>29</v>
      </c>
      <c r="N968" t="s">
        <v>30</v>
      </c>
      <c r="O968">
        <v>37219</v>
      </c>
      <c r="P968" t="s">
        <v>3631</v>
      </c>
      <c r="Q968" s="2">
        <v>17.809999999999999</v>
      </c>
      <c r="R968" s="2">
        <v>0</v>
      </c>
      <c r="S968" s="2">
        <v>0</v>
      </c>
      <c r="T968" t="s">
        <v>3627</v>
      </c>
      <c r="U968" s="6">
        <v>24457</v>
      </c>
      <c r="V968" s="2">
        <v>47037015300</v>
      </c>
      <c r="W968" s="2" t="s">
        <v>68</v>
      </c>
      <c r="X968" s="1">
        <v>45658</v>
      </c>
      <c r="Y968" s="2">
        <v>565300</v>
      </c>
      <c r="Z968" s="2">
        <v>0</v>
      </c>
      <c r="AA968" s="2">
        <v>565300</v>
      </c>
    </row>
    <row r="969" spans="1:27" x14ac:dyDescent="0.3">
      <c r="A969" s="3">
        <v>15</v>
      </c>
      <c r="B969" s="2" t="str">
        <f>"08400001300"</f>
        <v>08400001300</v>
      </c>
      <c r="C969" s="2" t="s">
        <v>3632</v>
      </c>
      <c r="D969" t="s">
        <v>29</v>
      </c>
      <c r="E969" s="2" t="s">
        <v>30</v>
      </c>
      <c r="F969" s="2">
        <v>37214</v>
      </c>
      <c r="G969" s="2" t="s">
        <v>200</v>
      </c>
      <c r="H969" t="s">
        <v>3626</v>
      </c>
      <c r="I969" s="6">
        <v>24457</v>
      </c>
      <c r="J969" s="2" t="s">
        <v>3627</v>
      </c>
      <c r="K969" s="2" t="s">
        <v>34</v>
      </c>
      <c r="L969" t="s">
        <v>35</v>
      </c>
      <c r="M969" t="s">
        <v>29</v>
      </c>
      <c r="N969" t="s">
        <v>30</v>
      </c>
      <c r="O969">
        <v>37219</v>
      </c>
      <c r="P969" t="s">
        <v>3633</v>
      </c>
      <c r="Q969" s="2">
        <v>304.95999999999998</v>
      </c>
      <c r="R969" s="2">
        <v>0</v>
      </c>
      <c r="S969" s="2">
        <v>0</v>
      </c>
      <c r="T969" t="s">
        <v>3627</v>
      </c>
      <c r="U969" s="6">
        <v>24457</v>
      </c>
      <c r="V969" s="2">
        <v>47037015300</v>
      </c>
      <c r="W969" s="2" t="s">
        <v>68</v>
      </c>
      <c r="X969" s="1">
        <v>45658</v>
      </c>
      <c r="Y969" s="2">
        <v>3053000</v>
      </c>
      <c r="Z969" s="2">
        <v>0</v>
      </c>
      <c r="AA969" s="2">
        <v>3053000</v>
      </c>
    </row>
    <row r="970" spans="1:27" x14ac:dyDescent="0.3">
      <c r="A970" s="3">
        <v>15</v>
      </c>
      <c r="B970" s="2" t="str">
        <f>"08400002600"</f>
        <v>08400002600</v>
      </c>
      <c r="C970" s="2" t="s">
        <v>3625</v>
      </c>
      <c r="D970" t="s">
        <v>29</v>
      </c>
      <c r="E970" s="2" t="s">
        <v>30</v>
      </c>
      <c r="F970" s="2">
        <v>37214</v>
      </c>
      <c r="G970" s="2" t="s">
        <v>31</v>
      </c>
      <c r="H970" t="s">
        <v>1332</v>
      </c>
      <c r="I970" s="6">
        <v>21649</v>
      </c>
      <c r="J970" s="2" t="s">
        <v>3634</v>
      </c>
      <c r="K970" s="2" t="s">
        <v>34</v>
      </c>
      <c r="L970" t="s">
        <v>35</v>
      </c>
      <c r="M970" t="s">
        <v>29</v>
      </c>
      <c r="N970" t="s">
        <v>30</v>
      </c>
      <c r="O970">
        <v>37219</v>
      </c>
      <c r="P970" t="s">
        <v>3635</v>
      </c>
      <c r="Q970" s="2">
        <v>0.74</v>
      </c>
      <c r="R970" s="2">
        <v>70</v>
      </c>
      <c r="S970" s="2">
        <v>460</v>
      </c>
      <c r="T970" t="s">
        <v>278</v>
      </c>
      <c r="U970" s="6">
        <v>21650</v>
      </c>
      <c r="V970" s="2">
        <v>47037015300</v>
      </c>
      <c r="W970" s="2" t="s">
        <v>68</v>
      </c>
      <c r="X970" s="1">
        <v>45658</v>
      </c>
      <c r="Y970" s="2">
        <v>37500</v>
      </c>
      <c r="Z970" s="2">
        <v>0</v>
      </c>
      <c r="AA970" s="2">
        <v>37500</v>
      </c>
    </row>
    <row r="971" spans="1:27" x14ac:dyDescent="0.3">
      <c r="A971" s="3">
        <v>15</v>
      </c>
      <c r="B971" s="2" t="str">
        <f>"10700015400"</f>
        <v>10700015400</v>
      </c>
      <c r="C971" s="2" t="s">
        <v>2627</v>
      </c>
      <c r="D971" t="s">
        <v>29</v>
      </c>
      <c r="E971" s="2" t="s">
        <v>30</v>
      </c>
      <c r="F971" s="2">
        <v>37214</v>
      </c>
      <c r="G971" s="2" t="s">
        <v>152</v>
      </c>
      <c r="H971" t="s">
        <v>1332</v>
      </c>
      <c r="I971" s="6">
        <v>34633</v>
      </c>
      <c r="J971" s="2" t="s">
        <v>3499</v>
      </c>
      <c r="K971" s="2" t="s">
        <v>34</v>
      </c>
      <c r="L971" t="s">
        <v>35</v>
      </c>
      <c r="M971" t="s">
        <v>29</v>
      </c>
      <c r="N971" t="s">
        <v>30</v>
      </c>
      <c r="O971">
        <v>37219</v>
      </c>
      <c r="P971" t="s">
        <v>3636</v>
      </c>
      <c r="Q971" s="2">
        <v>1.35</v>
      </c>
      <c r="R971" s="2">
        <v>0</v>
      </c>
      <c r="S971" s="2">
        <v>0</v>
      </c>
      <c r="T971" t="s">
        <v>3499</v>
      </c>
      <c r="U971" s="6">
        <v>34633</v>
      </c>
      <c r="V971" s="2">
        <v>47037015100</v>
      </c>
      <c r="W971" s="2" t="s">
        <v>68</v>
      </c>
      <c r="X971" s="1">
        <v>45658</v>
      </c>
      <c r="Y971" s="2">
        <v>41800</v>
      </c>
      <c r="Z971" s="2">
        <v>0</v>
      </c>
      <c r="AA971" s="2">
        <v>41800</v>
      </c>
    </row>
    <row r="972" spans="1:27" x14ac:dyDescent="0.3">
      <c r="A972" s="3">
        <v>15</v>
      </c>
      <c r="B972" s="2" t="str">
        <f>"09613019300"</f>
        <v>09613019300</v>
      </c>
      <c r="C972" s="2" t="s">
        <v>3637</v>
      </c>
      <c r="D972" t="s">
        <v>29</v>
      </c>
      <c r="E972" s="2" t="s">
        <v>30</v>
      </c>
      <c r="F972" s="2">
        <v>37214</v>
      </c>
      <c r="G972" s="2" t="s">
        <v>64</v>
      </c>
      <c r="H972" t="s">
        <v>237</v>
      </c>
      <c r="I972" s="6">
        <v>28962</v>
      </c>
      <c r="J972" s="2" t="s">
        <v>3638</v>
      </c>
      <c r="K972" s="2" t="s">
        <v>34</v>
      </c>
      <c r="L972" t="s">
        <v>35</v>
      </c>
      <c r="M972" t="s">
        <v>29</v>
      </c>
      <c r="N972" t="s">
        <v>30</v>
      </c>
      <c r="O972">
        <v>37219</v>
      </c>
      <c r="P972" t="s">
        <v>3639</v>
      </c>
      <c r="Q972" s="2">
        <v>0.05</v>
      </c>
      <c r="R972" s="2">
        <v>70</v>
      </c>
      <c r="S972" s="2">
        <v>30</v>
      </c>
      <c r="T972" t="s">
        <v>3640</v>
      </c>
      <c r="U972" s="6">
        <v>29476</v>
      </c>
      <c r="V972" s="2">
        <v>47037015100</v>
      </c>
      <c r="W972" s="2" t="s">
        <v>68</v>
      </c>
      <c r="X972" s="1">
        <v>45658</v>
      </c>
      <c r="Y972" s="2">
        <v>800</v>
      </c>
      <c r="Z972" s="2">
        <v>0</v>
      </c>
      <c r="AA972" s="2">
        <v>800</v>
      </c>
    </row>
    <row r="973" spans="1:27" x14ac:dyDescent="0.3">
      <c r="A973" s="3">
        <v>15</v>
      </c>
      <c r="B973" s="2" t="str">
        <f>"09600005800"</f>
        <v>09600005800</v>
      </c>
      <c r="C973" s="2" t="s">
        <v>3409</v>
      </c>
      <c r="D973" t="s">
        <v>29</v>
      </c>
      <c r="E973" s="2" t="s">
        <v>30</v>
      </c>
      <c r="F973" s="2">
        <v>37214</v>
      </c>
      <c r="G973" s="2" t="s">
        <v>3641</v>
      </c>
      <c r="H973" t="s">
        <v>249</v>
      </c>
      <c r="I973" s="6">
        <v>731</v>
      </c>
      <c r="J973" s="2" t="s">
        <v>3642</v>
      </c>
      <c r="K973" s="2">
        <v>0</v>
      </c>
      <c r="L973" t="s">
        <v>35</v>
      </c>
      <c r="M973" t="s">
        <v>29</v>
      </c>
      <c r="N973" t="s">
        <v>30</v>
      </c>
      <c r="O973">
        <v>37219</v>
      </c>
      <c r="P973" t="s">
        <v>3643</v>
      </c>
      <c r="Q973" s="2">
        <v>0.67</v>
      </c>
      <c r="R973" s="2">
        <v>180</v>
      </c>
      <c r="S973" s="2">
        <v>60</v>
      </c>
      <c r="T973" t="s">
        <v>3644</v>
      </c>
      <c r="U973" s="6">
        <v>35797</v>
      </c>
      <c r="V973" s="2">
        <v>47037015501</v>
      </c>
      <c r="W973" s="2" t="s">
        <v>68</v>
      </c>
      <c r="X973" s="1">
        <v>45658</v>
      </c>
      <c r="Y973" s="2">
        <v>67500</v>
      </c>
      <c r="Z973" s="2">
        <v>0</v>
      </c>
      <c r="AA973" s="2">
        <v>67500</v>
      </c>
    </row>
    <row r="974" spans="1:27" x14ac:dyDescent="0.3">
      <c r="A974" s="3">
        <v>15</v>
      </c>
      <c r="B974" s="2" t="str">
        <f>"09602004000"</f>
        <v>09602004000</v>
      </c>
      <c r="C974" s="2" t="s">
        <v>3645</v>
      </c>
      <c r="D974" t="s">
        <v>29</v>
      </c>
      <c r="E974" s="2" t="s">
        <v>30</v>
      </c>
      <c r="F974" s="2">
        <v>37214</v>
      </c>
      <c r="G974" s="2" t="s">
        <v>524</v>
      </c>
      <c r="H974" t="s">
        <v>3646</v>
      </c>
      <c r="I974" s="6">
        <v>20262</v>
      </c>
      <c r="J974" s="2" t="s">
        <v>3647</v>
      </c>
      <c r="K974" s="2" t="s">
        <v>34</v>
      </c>
      <c r="L974" t="s">
        <v>35</v>
      </c>
      <c r="M974" t="s">
        <v>29</v>
      </c>
      <c r="N974" t="s">
        <v>30</v>
      </c>
      <c r="O974">
        <v>37219</v>
      </c>
      <c r="P974" t="s">
        <v>3648</v>
      </c>
      <c r="Q974" s="2">
        <v>20.100000000000001</v>
      </c>
      <c r="R974" s="2">
        <v>0</v>
      </c>
      <c r="S974" s="2">
        <v>0</v>
      </c>
      <c r="T974" t="s">
        <v>3649</v>
      </c>
      <c r="U974" s="6">
        <v>36175</v>
      </c>
      <c r="V974" s="2">
        <v>47037015501</v>
      </c>
      <c r="W974" s="2" t="s">
        <v>68</v>
      </c>
      <c r="X974" s="1">
        <v>45658</v>
      </c>
      <c r="Y974" s="2">
        <v>474600</v>
      </c>
      <c r="Z974" s="2">
        <v>409300</v>
      </c>
      <c r="AA974" s="2">
        <v>65300</v>
      </c>
    </row>
    <row r="975" spans="1:27" x14ac:dyDescent="0.3">
      <c r="A975" s="3">
        <v>15</v>
      </c>
      <c r="B975" s="2" t="str">
        <f>"10600001200"</f>
        <v>10600001200</v>
      </c>
      <c r="C975" s="2" t="s">
        <v>3650</v>
      </c>
      <c r="D975" t="s">
        <v>29</v>
      </c>
      <c r="E975" s="2" t="s">
        <v>30</v>
      </c>
      <c r="F975" s="2">
        <v>37210</v>
      </c>
      <c r="G975" s="2" t="s">
        <v>253</v>
      </c>
      <c r="H975" t="s">
        <v>3651</v>
      </c>
      <c r="I975" s="6">
        <v>23354</v>
      </c>
      <c r="J975" s="2" t="s">
        <v>3652</v>
      </c>
      <c r="K975" s="2" t="s">
        <v>34</v>
      </c>
      <c r="L975" t="s">
        <v>35</v>
      </c>
      <c r="M975" t="s">
        <v>29</v>
      </c>
      <c r="N975" t="s">
        <v>30</v>
      </c>
      <c r="O975">
        <v>37219</v>
      </c>
      <c r="P975" t="s">
        <v>3653</v>
      </c>
      <c r="Q975" s="2">
        <v>11.62</v>
      </c>
      <c r="R975" s="2">
        <v>0</v>
      </c>
      <c r="S975" s="2">
        <v>0</v>
      </c>
      <c r="T975" t="s">
        <v>3654</v>
      </c>
      <c r="U975" s="6">
        <v>36985</v>
      </c>
      <c r="V975" s="2">
        <v>47037019600</v>
      </c>
      <c r="W975" s="2" t="s">
        <v>68</v>
      </c>
      <c r="X975" s="1">
        <v>45658</v>
      </c>
      <c r="Y975" s="2">
        <v>791700</v>
      </c>
      <c r="Z975" s="2">
        <v>0</v>
      </c>
      <c r="AA975" s="2">
        <v>791700</v>
      </c>
    </row>
    <row r="976" spans="1:27" x14ac:dyDescent="0.3">
      <c r="A976" s="3">
        <v>15</v>
      </c>
      <c r="B976" s="2" t="str">
        <f>"09508008400"</f>
        <v>09508008400</v>
      </c>
      <c r="C976" s="2" t="s">
        <v>3655</v>
      </c>
      <c r="D976" t="s">
        <v>29</v>
      </c>
      <c r="E976" s="2" t="s">
        <v>30</v>
      </c>
      <c r="F976" s="2">
        <v>37214</v>
      </c>
      <c r="G976" s="2" t="s">
        <v>253</v>
      </c>
      <c r="H976" t="s">
        <v>3656</v>
      </c>
      <c r="I976" s="6">
        <v>20044</v>
      </c>
      <c r="J976" s="2" t="s">
        <v>3657</v>
      </c>
      <c r="K976" s="2" t="s">
        <v>34</v>
      </c>
      <c r="L976" t="s">
        <v>35</v>
      </c>
      <c r="M976" t="s">
        <v>29</v>
      </c>
      <c r="N976" t="s">
        <v>30</v>
      </c>
      <c r="O976">
        <v>37219</v>
      </c>
      <c r="P976" t="s">
        <v>3658</v>
      </c>
      <c r="Q976" s="2">
        <v>11.6</v>
      </c>
      <c r="R976" s="2">
        <v>0</v>
      </c>
      <c r="S976" s="2">
        <v>0</v>
      </c>
      <c r="T976" t="s">
        <v>3657</v>
      </c>
      <c r="U976" s="6">
        <v>20044</v>
      </c>
      <c r="V976" s="2">
        <v>47037015100</v>
      </c>
      <c r="W976" s="2" t="s">
        <v>68</v>
      </c>
      <c r="X976" s="1">
        <v>45658</v>
      </c>
      <c r="Y976" s="2">
        <v>442200</v>
      </c>
      <c r="Z976" s="2">
        <v>0</v>
      </c>
      <c r="AA976" s="2">
        <v>442200</v>
      </c>
    </row>
    <row r="977" spans="1:27" x14ac:dyDescent="0.3">
      <c r="A977" s="3">
        <v>15</v>
      </c>
      <c r="B977" s="2" t="str">
        <f>"08400001800"</f>
        <v>08400001800</v>
      </c>
      <c r="C977" s="2" t="s">
        <v>3659</v>
      </c>
      <c r="D977" t="s">
        <v>29</v>
      </c>
      <c r="E977" s="2" t="s">
        <v>30</v>
      </c>
      <c r="F977" s="2">
        <v>37214</v>
      </c>
      <c r="G977" s="2" t="s">
        <v>253</v>
      </c>
      <c r="H977" t="s">
        <v>3660</v>
      </c>
      <c r="I977" s="6">
        <v>24457</v>
      </c>
      <c r="J977" s="2" t="s">
        <v>3627</v>
      </c>
      <c r="K977" s="2" t="s">
        <v>34</v>
      </c>
      <c r="L977" t="s">
        <v>35</v>
      </c>
      <c r="M977" t="s">
        <v>29</v>
      </c>
      <c r="N977" t="s">
        <v>30</v>
      </c>
      <c r="O977">
        <v>37219</v>
      </c>
      <c r="P977" t="s">
        <v>3631</v>
      </c>
      <c r="Q977" s="2">
        <v>30</v>
      </c>
      <c r="R977" s="2">
        <v>0</v>
      </c>
      <c r="S977" s="2">
        <v>0</v>
      </c>
      <c r="T977" t="s">
        <v>3627</v>
      </c>
      <c r="U977" s="6">
        <v>24457</v>
      </c>
      <c r="V977" s="2">
        <v>47037015300</v>
      </c>
      <c r="W977" s="2" t="s">
        <v>68</v>
      </c>
      <c r="X977" s="1">
        <v>45658</v>
      </c>
      <c r="Y977" s="2">
        <v>877400</v>
      </c>
      <c r="Z977" s="2">
        <v>0</v>
      </c>
      <c r="AA977" s="2">
        <v>877400</v>
      </c>
    </row>
    <row r="978" spans="1:27" x14ac:dyDescent="0.3">
      <c r="A978" s="3">
        <v>15</v>
      </c>
      <c r="B978" s="2" t="str">
        <f>"10602001700"</f>
        <v>10602001700</v>
      </c>
      <c r="C978" s="2" t="s">
        <v>3661</v>
      </c>
      <c r="D978" t="s">
        <v>29</v>
      </c>
      <c r="E978" s="2" t="s">
        <v>30</v>
      </c>
      <c r="F978" s="2">
        <v>37210</v>
      </c>
      <c r="G978" s="2" t="s">
        <v>152</v>
      </c>
      <c r="H978" t="s">
        <v>3662</v>
      </c>
      <c r="I978" s="6">
        <v>18237</v>
      </c>
      <c r="J978" s="2" t="s">
        <v>3663</v>
      </c>
      <c r="K978" s="2" t="s">
        <v>34</v>
      </c>
      <c r="L978" t="s">
        <v>35</v>
      </c>
      <c r="M978" t="s">
        <v>29</v>
      </c>
      <c r="N978" t="s">
        <v>30</v>
      </c>
      <c r="O978">
        <v>37219</v>
      </c>
      <c r="P978" t="s">
        <v>3664</v>
      </c>
      <c r="Q978" s="2">
        <v>2.06</v>
      </c>
      <c r="R978" s="2">
        <v>155</v>
      </c>
      <c r="S978" s="2">
        <v>456</v>
      </c>
      <c r="T978" t="s">
        <v>3663</v>
      </c>
      <c r="U978" s="6">
        <v>18237</v>
      </c>
      <c r="V978" s="2">
        <v>47037019600</v>
      </c>
      <c r="W978" s="2" t="s">
        <v>68</v>
      </c>
      <c r="X978" s="1">
        <v>45658</v>
      </c>
      <c r="Y978" s="2">
        <v>2266000</v>
      </c>
      <c r="Z978" s="2">
        <v>0</v>
      </c>
      <c r="AA978" s="2">
        <v>2266000</v>
      </c>
    </row>
    <row r="979" spans="1:27" x14ac:dyDescent="0.3">
      <c r="A979" s="3">
        <v>15</v>
      </c>
      <c r="B979" s="2" t="str">
        <f>"07308001900"</f>
        <v>07308001900</v>
      </c>
      <c r="C979" s="2" t="s">
        <v>3665</v>
      </c>
      <c r="D979" t="s">
        <v>29</v>
      </c>
      <c r="E979" s="2" t="s">
        <v>30</v>
      </c>
      <c r="F979" s="2">
        <v>37214</v>
      </c>
      <c r="G979" s="2" t="s">
        <v>253</v>
      </c>
      <c r="H979" t="s">
        <v>3666</v>
      </c>
      <c r="I979" s="6">
        <v>20877</v>
      </c>
      <c r="J979" s="2" t="s">
        <v>3667</v>
      </c>
      <c r="K979" s="2" t="s">
        <v>34</v>
      </c>
      <c r="L979" t="s">
        <v>35</v>
      </c>
      <c r="M979" t="s">
        <v>29</v>
      </c>
      <c r="N979" t="s">
        <v>30</v>
      </c>
      <c r="O979">
        <v>37219</v>
      </c>
      <c r="P979" t="s">
        <v>3668</v>
      </c>
      <c r="Q979" s="2">
        <v>10.68</v>
      </c>
      <c r="R979" s="2">
        <v>0</v>
      </c>
      <c r="S979" s="2">
        <v>0</v>
      </c>
      <c r="T979" t="s">
        <v>3667</v>
      </c>
      <c r="U979" s="6">
        <v>20877</v>
      </c>
      <c r="V979" s="2">
        <v>47037015300</v>
      </c>
      <c r="W979" s="2" t="s">
        <v>68</v>
      </c>
      <c r="X979" s="1">
        <v>45658</v>
      </c>
      <c r="Y979" s="2">
        <v>405100</v>
      </c>
      <c r="Z979" s="2">
        <v>0</v>
      </c>
      <c r="AA979" s="2">
        <v>405100</v>
      </c>
    </row>
    <row r="980" spans="1:27" x14ac:dyDescent="0.3">
      <c r="A980" s="3">
        <v>15</v>
      </c>
      <c r="B980" s="2" t="str">
        <f>"08411024700"</f>
        <v>08411024700</v>
      </c>
      <c r="C980" s="2" t="s">
        <v>3669</v>
      </c>
      <c r="D980" t="s">
        <v>29</v>
      </c>
      <c r="E980" s="2" t="s">
        <v>30</v>
      </c>
      <c r="F980" s="2">
        <v>37214</v>
      </c>
      <c r="G980" s="2" t="s">
        <v>253</v>
      </c>
      <c r="H980" t="s">
        <v>3670</v>
      </c>
      <c r="I980" s="6">
        <v>19099</v>
      </c>
      <c r="J980" s="2" t="s">
        <v>3671</v>
      </c>
      <c r="K980" s="2" t="s">
        <v>34</v>
      </c>
      <c r="L980" t="s">
        <v>35</v>
      </c>
      <c r="M980" t="s">
        <v>29</v>
      </c>
      <c r="N980" t="s">
        <v>30</v>
      </c>
      <c r="O980">
        <v>37219</v>
      </c>
      <c r="P980" t="s">
        <v>3672</v>
      </c>
      <c r="Q980" s="2">
        <v>16.63</v>
      </c>
      <c r="R980" s="2">
        <v>0</v>
      </c>
      <c r="S980" s="2">
        <v>0</v>
      </c>
      <c r="T980" t="s">
        <v>278</v>
      </c>
      <c r="U980" s="6">
        <v>36587</v>
      </c>
      <c r="V980" s="2">
        <v>47037015200</v>
      </c>
      <c r="W980" s="2" t="s">
        <v>68</v>
      </c>
      <c r="X980" s="1">
        <v>45658</v>
      </c>
      <c r="Y980" s="2">
        <v>363100</v>
      </c>
      <c r="Z980" s="2">
        <v>0</v>
      </c>
      <c r="AA980" s="2">
        <v>363100</v>
      </c>
    </row>
    <row r="981" spans="1:27" x14ac:dyDescent="0.3">
      <c r="A981" s="3">
        <v>15</v>
      </c>
      <c r="B981" s="2" t="str">
        <f>"07300002000"</f>
        <v>07300002000</v>
      </c>
      <c r="C981" s="2" t="s">
        <v>3673</v>
      </c>
      <c r="D981" t="s">
        <v>29</v>
      </c>
      <c r="E981" s="2" t="s">
        <v>30</v>
      </c>
      <c r="F981" s="2">
        <v>37214</v>
      </c>
      <c r="G981" s="2" t="s">
        <v>253</v>
      </c>
      <c r="H981" t="s">
        <v>3674</v>
      </c>
      <c r="I981" s="6">
        <v>21536</v>
      </c>
      <c r="J981" s="2" t="s">
        <v>3675</v>
      </c>
      <c r="K981" s="2" t="s">
        <v>34</v>
      </c>
      <c r="L981" t="s">
        <v>35</v>
      </c>
      <c r="M981" t="s">
        <v>29</v>
      </c>
      <c r="N981" t="s">
        <v>30</v>
      </c>
      <c r="O981">
        <v>37219</v>
      </c>
      <c r="P981" t="s">
        <v>3676</v>
      </c>
      <c r="Q981" s="2">
        <v>26.04</v>
      </c>
      <c r="R981" s="2">
        <v>0</v>
      </c>
      <c r="S981" s="2">
        <v>0</v>
      </c>
      <c r="T981" t="s">
        <v>278</v>
      </c>
      <c r="U981" s="6">
        <v>36588</v>
      </c>
      <c r="V981" s="2">
        <v>47037015300</v>
      </c>
      <c r="W981" s="2" t="s">
        <v>68</v>
      </c>
      <c r="X981" s="1">
        <v>45658</v>
      </c>
      <c r="Y981" s="2">
        <v>757800</v>
      </c>
      <c r="Z981" s="2">
        <v>0</v>
      </c>
      <c r="AA981" s="2">
        <v>757800</v>
      </c>
    </row>
    <row r="982" spans="1:27" x14ac:dyDescent="0.3">
      <c r="A982" s="3">
        <v>15</v>
      </c>
      <c r="B982" s="2" t="str">
        <f>"06205005800"</f>
        <v>06205005800</v>
      </c>
      <c r="C982" s="2" t="s">
        <v>3677</v>
      </c>
      <c r="D982" t="s">
        <v>29</v>
      </c>
      <c r="E982" s="2" t="s">
        <v>30</v>
      </c>
      <c r="F982" s="2">
        <v>37214</v>
      </c>
      <c r="G982" s="2" t="s">
        <v>64</v>
      </c>
      <c r="H982" t="s">
        <v>280</v>
      </c>
      <c r="I982" s="6">
        <v>40926</v>
      </c>
      <c r="J982" s="2" t="s">
        <v>3678</v>
      </c>
      <c r="K982" s="2">
        <v>0</v>
      </c>
      <c r="L982" t="s">
        <v>35</v>
      </c>
      <c r="M982" t="s">
        <v>29</v>
      </c>
      <c r="N982" t="s">
        <v>30</v>
      </c>
      <c r="O982">
        <v>37219</v>
      </c>
      <c r="P982" t="s">
        <v>3679</v>
      </c>
      <c r="Q982" s="2">
        <v>0.15</v>
      </c>
      <c r="R982" s="2">
        <v>50</v>
      </c>
      <c r="S982" s="2">
        <v>130</v>
      </c>
      <c r="T982" t="s">
        <v>3680</v>
      </c>
      <c r="U982" s="6">
        <v>29060</v>
      </c>
      <c r="V982" s="2">
        <v>47037015300</v>
      </c>
      <c r="W982" s="2" t="s">
        <v>68</v>
      </c>
      <c r="X982" s="1">
        <v>45658</v>
      </c>
      <c r="Y982" s="2">
        <v>2300</v>
      </c>
      <c r="Z982" s="2">
        <v>0</v>
      </c>
      <c r="AA982" s="2">
        <v>2300</v>
      </c>
    </row>
    <row r="983" spans="1:27" x14ac:dyDescent="0.3">
      <c r="A983" s="3">
        <v>15</v>
      </c>
      <c r="B983" s="2" t="str">
        <f>"06205002500"</f>
        <v>06205002500</v>
      </c>
      <c r="C983" s="2" t="s">
        <v>3681</v>
      </c>
      <c r="D983" t="s">
        <v>29</v>
      </c>
      <c r="E983" s="2" t="s">
        <v>30</v>
      </c>
      <c r="F983" s="2">
        <v>37214</v>
      </c>
      <c r="G983" s="2" t="s">
        <v>64</v>
      </c>
      <c r="H983" t="s">
        <v>280</v>
      </c>
      <c r="I983" s="6">
        <v>40948</v>
      </c>
      <c r="J983" s="2" t="s">
        <v>3682</v>
      </c>
      <c r="K983" s="2">
        <v>0</v>
      </c>
      <c r="L983" t="s">
        <v>35</v>
      </c>
      <c r="M983" t="s">
        <v>29</v>
      </c>
      <c r="N983" t="s">
        <v>30</v>
      </c>
      <c r="O983">
        <v>37219</v>
      </c>
      <c r="P983" t="s">
        <v>3683</v>
      </c>
      <c r="Q983" s="2">
        <v>0.5</v>
      </c>
      <c r="R983" s="2">
        <v>100</v>
      </c>
      <c r="S983" s="2">
        <v>222</v>
      </c>
      <c r="T983" t="s">
        <v>3684</v>
      </c>
      <c r="U983" s="6">
        <v>40134</v>
      </c>
      <c r="V983" s="2">
        <v>47037015300</v>
      </c>
      <c r="W983" s="2" t="s">
        <v>68</v>
      </c>
      <c r="X983" s="1">
        <v>45658</v>
      </c>
      <c r="Y983" s="2">
        <v>2300</v>
      </c>
      <c r="Z983" s="2">
        <v>0</v>
      </c>
      <c r="AA983" s="2">
        <v>2300</v>
      </c>
    </row>
    <row r="984" spans="1:27" x14ac:dyDescent="0.3">
      <c r="A984" s="3">
        <v>15</v>
      </c>
      <c r="B984" s="2" t="str">
        <f>"08513001400"</f>
        <v>08513001400</v>
      </c>
      <c r="C984" s="2" t="s">
        <v>3685</v>
      </c>
      <c r="D984" t="s">
        <v>29</v>
      </c>
      <c r="E984" s="2" t="s">
        <v>30</v>
      </c>
      <c r="F984" s="2">
        <v>37214</v>
      </c>
      <c r="G984" s="2" t="s">
        <v>152</v>
      </c>
      <c r="H984" t="s">
        <v>280</v>
      </c>
      <c r="I984" s="6">
        <v>21094</v>
      </c>
      <c r="J984" s="2" t="s">
        <v>3686</v>
      </c>
      <c r="K984" s="2" t="s">
        <v>34</v>
      </c>
      <c r="L984" t="s">
        <v>35</v>
      </c>
      <c r="M984" t="s">
        <v>29</v>
      </c>
      <c r="N984" t="s">
        <v>30</v>
      </c>
      <c r="O984">
        <v>37219</v>
      </c>
      <c r="P984" t="s">
        <v>3687</v>
      </c>
      <c r="Q984" s="2">
        <v>0.83</v>
      </c>
      <c r="R984" s="2">
        <v>100</v>
      </c>
      <c r="S984" s="2">
        <v>96</v>
      </c>
      <c r="T984" t="s">
        <v>3686</v>
      </c>
      <c r="U984" s="6">
        <v>21094</v>
      </c>
      <c r="V984" s="2">
        <v>47037015300</v>
      </c>
      <c r="W984" s="2" t="s">
        <v>68</v>
      </c>
      <c r="X984" s="1">
        <v>45658</v>
      </c>
      <c r="Y984" s="2">
        <v>135000</v>
      </c>
      <c r="Z984" s="2">
        <v>0</v>
      </c>
      <c r="AA984" s="2">
        <v>135000</v>
      </c>
    </row>
    <row r="985" spans="1:27" x14ac:dyDescent="0.3">
      <c r="A985" s="3">
        <v>15</v>
      </c>
      <c r="B985" s="2" t="str">
        <f>"09409009300"</f>
        <v>09409009300</v>
      </c>
      <c r="C985" s="2" t="s">
        <v>3688</v>
      </c>
      <c r="D985" t="s">
        <v>29</v>
      </c>
      <c r="E985" s="2" t="s">
        <v>30</v>
      </c>
      <c r="F985" s="2">
        <v>37210</v>
      </c>
      <c r="G985" s="2" t="s">
        <v>152</v>
      </c>
      <c r="H985" t="s">
        <v>280</v>
      </c>
      <c r="I985" s="6">
        <v>28891</v>
      </c>
      <c r="J985" s="2" t="s">
        <v>3689</v>
      </c>
      <c r="K985" s="2">
        <v>33600</v>
      </c>
      <c r="L985" t="s">
        <v>35</v>
      </c>
      <c r="M985" t="s">
        <v>29</v>
      </c>
      <c r="N985" t="s">
        <v>30</v>
      </c>
      <c r="O985">
        <v>37219</v>
      </c>
      <c r="P985" t="s">
        <v>3690</v>
      </c>
      <c r="Q985" s="2">
        <v>1.1200000000000001</v>
      </c>
      <c r="R985" s="2">
        <v>210</v>
      </c>
      <c r="S985" s="2">
        <v>235</v>
      </c>
      <c r="T985" t="s">
        <v>3689</v>
      </c>
      <c r="U985" s="6">
        <v>28891</v>
      </c>
      <c r="V985" s="2">
        <v>47037019600</v>
      </c>
      <c r="W985" s="2" t="s">
        <v>68</v>
      </c>
      <c r="X985" s="1">
        <v>45658</v>
      </c>
      <c r="Y985" s="2">
        <v>1008000</v>
      </c>
      <c r="Z985" s="2">
        <v>0</v>
      </c>
      <c r="AA985" s="2">
        <v>1008000</v>
      </c>
    </row>
    <row r="986" spans="1:27" x14ac:dyDescent="0.3">
      <c r="A986" s="3">
        <v>15</v>
      </c>
      <c r="B986" s="2" t="str">
        <f>"09312000901"</f>
        <v>09312000901</v>
      </c>
      <c r="C986" s="2" t="s">
        <v>3691</v>
      </c>
      <c r="D986" t="s">
        <v>29</v>
      </c>
      <c r="E986" s="2" t="s">
        <v>30</v>
      </c>
      <c r="F986" s="2">
        <v>37210</v>
      </c>
      <c r="G986" s="2" t="s">
        <v>398</v>
      </c>
      <c r="H986" t="s">
        <v>280</v>
      </c>
      <c r="I986" s="6">
        <v>34191</v>
      </c>
      <c r="J986" s="2" t="s">
        <v>3692</v>
      </c>
      <c r="K986" s="2">
        <v>378000</v>
      </c>
      <c r="L986" t="s">
        <v>35</v>
      </c>
      <c r="M986" t="s">
        <v>29</v>
      </c>
      <c r="N986" t="s">
        <v>30</v>
      </c>
      <c r="O986">
        <v>37219</v>
      </c>
      <c r="P986" t="s">
        <v>3693</v>
      </c>
      <c r="Q986" s="2">
        <v>2.64</v>
      </c>
      <c r="R986" s="2">
        <v>481</v>
      </c>
      <c r="S986" s="2">
        <v>213</v>
      </c>
      <c r="T986" t="s">
        <v>3694</v>
      </c>
      <c r="U986" s="6">
        <v>34598</v>
      </c>
      <c r="V986" s="2">
        <v>47037019600</v>
      </c>
      <c r="W986" s="2" t="s">
        <v>68</v>
      </c>
      <c r="X986" s="1">
        <v>45658</v>
      </c>
      <c r="Y986" s="2">
        <v>2888200</v>
      </c>
      <c r="Z986" s="2">
        <v>512200</v>
      </c>
      <c r="AA986" s="2">
        <v>2376000</v>
      </c>
    </row>
    <row r="987" spans="1:27" x14ac:dyDescent="0.3">
      <c r="A987" s="3">
        <v>15</v>
      </c>
      <c r="B987" s="2" t="str">
        <f>"08500004200"</f>
        <v>08500004200</v>
      </c>
      <c r="C987" s="2" t="s">
        <v>3695</v>
      </c>
      <c r="D987" t="s">
        <v>29</v>
      </c>
      <c r="E987" s="2" t="s">
        <v>30</v>
      </c>
      <c r="F987" s="2">
        <v>37214</v>
      </c>
      <c r="G987" s="2" t="s">
        <v>152</v>
      </c>
      <c r="H987" t="s">
        <v>280</v>
      </c>
      <c r="I987" s="6">
        <v>25526</v>
      </c>
      <c r="J987" s="2" t="s">
        <v>3696</v>
      </c>
      <c r="K987" s="2" t="s">
        <v>34</v>
      </c>
      <c r="L987" t="s">
        <v>35</v>
      </c>
      <c r="M987" t="s">
        <v>29</v>
      </c>
      <c r="N987" t="s">
        <v>30</v>
      </c>
      <c r="O987">
        <v>37219</v>
      </c>
      <c r="P987" t="s">
        <v>3697</v>
      </c>
      <c r="Q987" s="2">
        <v>38.619999999999997</v>
      </c>
      <c r="R987" s="2">
        <v>0</v>
      </c>
      <c r="S987" s="2">
        <v>0</v>
      </c>
      <c r="T987" t="s">
        <v>3698</v>
      </c>
      <c r="U987" s="6">
        <v>25863</v>
      </c>
      <c r="V987" s="2">
        <v>47037015300</v>
      </c>
      <c r="W987" s="2" t="s">
        <v>68</v>
      </c>
      <c r="X987" s="1">
        <v>45658</v>
      </c>
      <c r="Y987" s="2">
        <v>733300</v>
      </c>
      <c r="Z987" s="2">
        <v>0</v>
      </c>
      <c r="AA987" s="2">
        <v>733300</v>
      </c>
    </row>
    <row r="988" spans="1:27" x14ac:dyDescent="0.3">
      <c r="A988" s="3">
        <v>15</v>
      </c>
      <c r="B988" s="2" t="str">
        <f>"09410005900"</f>
        <v>09410005900</v>
      </c>
      <c r="C988" s="2" t="s">
        <v>3699</v>
      </c>
      <c r="D988" t="s">
        <v>29</v>
      </c>
      <c r="E988" s="2" t="s">
        <v>30</v>
      </c>
      <c r="F988" s="2">
        <v>37210</v>
      </c>
      <c r="G988" s="2" t="s">
        <v>152</v>
      </c>
      <c r="H988" t="s">
        <v>280</v>
      </c>
      <c r="I988" s="6">
        <v>39079</v>
      </c>
      <c r="J988" s="2" t="s">
        <v>3700</v>
      </c>
      <c r="K988" s="2" t="s">
        <v>34</v>
      </c>
      <c r="L988" t="s">
        <v>35</v>
      </c>
      <c r="M988" t="s">
        <v>29</v>
      </c>
      <c r="N988" t="s">
        <v>30</v>
      </c>
      <c r="O988">
        <v>37219</v>
      </c>
      <c r="P988" t="s">
        <v>3701</v>
      </c>
      <c r="Q988" s="2">
        <v>2.8</v>
      </c>
      <c r="R988" s="2">
        <v>78</v>
      </c>
      <c r="S988" s="2">
        <v>590</v>
      </c>
      <c r="T988" t="s">
        <v>3702</v>
      </c>
      <c r="U988" s="6">
        <v>39002</v>
      </c>
      <c r="V988" s="2">
        <v>47037019600</v>
      </c>
      <c r="W988" s="2" t="s">
        <v>68</v>
      </c>
      <c r="X988" s="1">
        <v>45658</v>
      </c>
      <c r="Y988" s="2">
        <v>924000</v>
      </c>
      <c r="Z988" s="2">
        <v>0</v>
      </c>
      <c r="AA988" s="2">
        <v>924000</v>
      </c>
    </row>
    <row r="989" spans="1:27" x14ac:dyDescent="0.3">
      <c r="A989" s="3">
        <v>15</v>
      </c>
      <c r="B989" s="2" t="str">
        <f>"05209015600"</f>
        <v>05209015600</v>
      </c>
      <c r="C989" s="2" t="s">
        <v>3703</v>
      </c>
      <c r="D989" t="s">
        <v>29</v>
      </c>
      <c r="E989" s="2" t="s">
        <v>30</v>
      </c>
      <c r="F989" s="2">
        <v>37214</v>
      </c>
      <c r="G989" s="2" t="s">
        <v>64</v>
      </c>
      <c r="H989" t="s">
        <v>280</v>
      </c>
      <c r="I989" s="6">
        <v>40912</v>
      </c>
      <c r="J989" s="2" t="s">
        <v>3704</v>
      </c>
      <c r="K989" s="2">
        <v>0</v>
      </c>
      <c r="L989" t="s">
        <v>35</v>
      </c>
      <c r="M989" t="s">
        <v>29</v>
      </c>
      <c r="N989" t="s">
        <v>30</v>
      </c>
      <c r="O989">
        <v>37219</v>
      </c>
      <c r="P989" t="s">
        <v>3705</v>
      </c>
      <c r="Q989" s="2">
        <v>0.11</v>
      </c>
      <c r="R989" s="2">
        <v>50</v>
      </c>
      <c r="S989" s="2">
        <v>100</v>
      </c>
      <c r="T989" t="s">
        <v>3706</v>
      </c>
      <c r="U989" s="6">
        <v>18086</v>
      </c>
      <c r="V989" s="2">
        <v>47037015300</v>
      </c>
      <c r="W989" s="2" t="s">
        <v>68</v>
      </c>
      <c r="X989" s="1">
        <v>45658</v>
      </c>
      <c r="Y989" s="2">
        <v>2300</v>
      </c>
      <c r="Z989" s="2">
        <v>0</v>
      </c>
      <c r="AA989" s="2">
        <v>2300</v>
      </c>
    </row>
    <row r="990" spans="1:27" x14ac:dyDescent="0.3">
      <c r="A990" s="3">
        <v>15</v>
      </c>
      <c r="B990" s="2" t="str">
        <f>"05209015500"</f>
        <v>05209015500</v>
      </c>
      <c r="C990" s="2" t="s">
        <v>3707</v>
      </c>
      <c r="D990" t="s">
        <v>29</v>
      </c>
      <c r="E990" s="2" t="s">
        <v>30</v>
      </c>
      <c r="F990" s="2">
        <v>37214</v>
      </c>
      <c r="G990" s="2" t="s">
        <v>64</v>
      </c>
      <c r="H990" t="s">
        <v>280</v>
      </c>
      <c r="I990" s="6">
        <v>40912</v>
      </c>
      <c r="J990" s="2" t="s">
        <v>3708</v>
      </c>
      <c r="K990" s="2">
        <v>0</v>
      </c>
      <c r="L990" t="s">
        <v>35</v>
      </c>
      <c r="M990" t="s">
        <v>29</v>
      </c>
      <c r="N990" t="s">
        <v>30</v>
      </c>
      <c r="O990">
        <v>37219</v>
      </c>
      <c r="P990" t="s">
        <v>3709</v>
      </c>
      <c r="Q990" s="2">
        <v>0.11</v>
      </c>
      <c r="R990" s="2">
        <v>50</v>
      </c>
      <c r="S990" s="2">
        <v>100</v>
      </c>
      <c r="T990" t="s">
        <v>3710</v>
      </c>
      <c r="U990" s="6">
        <v>19224</v>
      </c>
      <c r="V990" s="2">
        <v>47037015300</v>
      </c>
      <c r="W990" s="2" t="s">
        <v>68</v>
      </c>
      <c r="X990" s="1">
        <v>45658</v>
      </c>
      <c r="Y990" s="2">
        <v>2300</v>
      </c>
      <c r="Z990" s="2">
        <v>0</v>
      </c>
      <c r="AA990" s="2">
        <v>2300</v>
      </c>
    </row>
    <row r="991" spans="1:27" x14ac:dyDescent="0.3">
      <c r="A991" s="3">
        <v>15</v>
      </c>
      <c r="B991" s="2" t="str">
        <f>"05209015200"</f>
        <v>05209015200</v>
      </c>
      <c r="C991" s="2" t="s">
        <v>3711</v>
      </c>
      <c r="D991" t="s">
        <v>29</v>
      </c>
      <c r="E991" s="2" t="s">
        <v>30</v>
      </c>
      <c r="F991" s="2">
        <v>37214</v>
      </c>
      <c r="G991" s="2" t="s">
        <v>64</v>
      </c>
      <c r="H991" t="s">
        <v>280</v>
      </c>
      <c r="I991" s="6">
        <v>40911</v>
      </c>
      <c r="J991" s="2" t="s">
        <v>3712</v>
      </c>
      <c r="K991" s="2">
        <v>0</v>
      </c>
      <c r="L991" t="s">
        <v>35</v>
      </c>
      <c r="M991" t="s">
        <v>29</v>
      </c>
      <c r="N991" t="s">
        <v>30</v>
      </c>
      <c r="O991">
        <v>37219</v>
      </c>
      <c r="P991" t="s">
        <v>3713</v>
      </c>
      <c r="Q991" s="2">
        <v>0.13</v>
      </c>
      <c r="R991" s="2">
        <v>50</v>
      </c>
      <c r="S991" s="2">
        <v>98</v>
      </c>
      <c r="T991" t="s">
        <v>3714</v>
      </c>
      <c r="U991" s="6">
        <v>17909</v>
      </c>
      <c r="V991" s="2">
        <v>47037015300</v>
      </c>
      <c r="W991" s="2" t="s">
        <v>68</v>
      </c>
      <c r="X991" s="1">
        <v>45658</v>
      </c>
      <c r="Y991" s="2">
        <v>2300</v>
      </c>
      <c r="Z991" s="2">
        <v>0</v>
      </c>
      <c r="AA991" s="2">
        <v>2300</v>
      </c>
    </row>
    <row r="992" spans="1:27" x14ac:dyDescent="0.3">
      <c r="A992" s="3">
        <v>15</v>
      </c>
      <c r="B992" s="2" t="str">
        <f>"05209014400"</f>
        <v>05209014400</v>
      </c>
      <c r="C992" s="2" t="s">
        <v>3715</v>
      </c>
      <c r="D992" t="s">
        <v>29</v>
      </c>
      <c r="E992" s="2" t="s">
        <v>30</v>
      </c>
      <c r="F992" s="2">
        <v>37214</v>
      </c>
      <c r="G992" s="2" t="s">
        <v>64</v>
      </c>
      <c r="H992" t="s">
        <v>280</v>
      </c>
      <c r="I992" s="6">
        <v>40919</v>
      </c>
      <c r="J992" s="2" t="s">
        <v>3716</v>
      </c>
      <c r="K992" s="2">
        <v>0</v>
      </c>
      <c r="L992" t="s">
        <v>35</v>
      </c>
      <c r="M992" t="s">
        <v>29</v>
      </c>
      <c r="N992" t="s">
        <v>30</v>
      </c>
      <c r="O992">
        <v>37219</v>
      </c>
      <c r="P992" t="s">
        <v>3717</v>
      </c>
      <c r="Q992" s="2">
        <v>0.24</v>
      </c>
      <c r="R992" s="2">
        <v>100</v>
      </c>
      <c r="S992" s="2">
        <v>110</v>
      </c>
      <c r="T992" t="s">
        <v>3718</v>
      </c>
      <c r="U992" s="6">
        <v>40437</v>
      </c>
      <c r="V992" s="2">
        <v>47037015300</v>
      </c>
      <c r="W992" s="2" t="s">
        <v>68</v>
      </c>
      <c r="X992" s="1">
        <v>45658</v>
      </c>
      <c r="Y992" s="2">
        <v>2300</v>
      </c>
      <c r="Z992" s="2">
        <v>0</v>
      </c>
      <c r="AA992" s="2">
        <v>2300</v>
      </c>
    </row>
    <row r="993" spans="1:27" x14ac:dyDescent="0.3">
      <c r="A993" s="3">
        <v>15</v>
      </c>
      <c r="B993" s="2" t="str">
        <f>"05213001000"</f>
        <v>05213001000</v>
      </c>
      <c r="C993" s="2" t="s">
        <v>3719</v>
      </c>
      <c r="D993" t="s">
        <v>29</v>
      </c>
      <c r="E993" s="2" t="s">
        <v>30</v>
      </c>
      <c r="F993" s="2">
        <v>37214</v>
      </c>
      <c r="G993" s="2" t="s">
        <v>64</v>
      </c>
      <c r="H993" t="s">
        <v>280</v>
      </c>
      <c r="I993" s="6">
        <v>40907</v>
      </c>
      <c r="J993" s="2" t="s">
        <v>3720</v>
      </c>
      <c r="K993" s="2">
        <v>0</v>
      </c>
      <c r="L993" t="s">
        <v>35</v>
      </c>
      <c r="M993" t="s">
        <v>29</v>
      </c>
      <c r="N993" t="s">
        <v>30</v>
      </c>
      <c r="O993">
        <v>37219</v>
      </c>
      <c r="P993" t="s">
        <v>3721</v>
      </c>
      <c r="Q993" s="2">
        <v>0.3</v>
      </c>
      <c r="R993" s="2">
        <v>100</v>
      </c>
      <c r="S993" s="2">
        <v>155</v>
      </c>
      <c r="T993" t="s">
        <v>3722</v>
      </c>
      <c r="U993" s="6">
        <v>31034</v>
      </c>
      <c r="V993" s="2">
        <v>47037015300</v>
      </c>
      <c r="W993" s="2" t="s">
        <v>68</v>
      </c>
      <c r="X993" s="1">
        <v>45658</v>
      </c>
      <c r="Y993" s="2">
        <v>2300</v>
      </c>
      <c r="Z993" s="2">
        <v>0</v>
      </c>
      <c r="AA993" s="2">
        <v>2300</v>
      </c>
    </row>
    <row r="994" spans="1:27" x14ac:dyDescent="0.3">
      <c r="A994" s="3">
        <v>15</v>
      </c>
      <c r="B994" s="2" t="str">
        <f>"05213001100"</f>
        <v>05213001100</v>
      </c>
      <c r="C994" s="2" t="s">
        <v>3723</v>
      </c>
      <c r="D994" t="s">
        <v>29</v>
      </c>
      <c r="E994" s="2" t="s">
        <v>30</v>
      </c>
      <c r="F994" s="2">
        <v>37214</v>
      </c>
      <c r="G994" s="2" t="s">
        <v>64</v>
      </c>
      <c r="H994" t="s">
        <v>280</v>
      </c>
      <c r="I994" s="6">
        <v>40934</v>
      </c>
      <c r="J994" s="2" t="s">
        <v>3724</v>
      </c>
      <c r="K994" s="2">
        <v>11000</v>
      </c>
      <c r="L994" t="s">
        <v>35</v>
      </c>
      <c r="M994" t="s">
        <v>29</v>
      </c>
      <c r="N994" t="s">
        <v>30</v>
      </c>
      <c r="O994">
        <v>37219</v>
      </c>
      <c r="P994" t="s">
        <v>3725</v>
      </c>
      <c r="Q994" s="2">
        <v>0.22</v>
      </c>
      <c r="R994" s="2">
        <v>75</v>
      </c>
      <c r="S994" s="2">
        <v>128</v>
      </c>
      <c r="T994" t="s">
        <v>3726</v>
      </c>
      <c r="U994" s="6">
        <v>19442</v>
      </c>
      <c r="V994" s="2">
        <v>47037015300</v>
      </c>
      <c r="W994" s="2" t="s">
        <v>68</v>
      </c>
      <c r="X994" s="1">
        <v>45658</v>
      </c>
      <c r="Y994" s="2">
        <v>2300</v>
      </c>
      <c r="Z994" s="2">
        <v>0</v>
      </c>
      <c r="AA994" s="2">
        <v>2300</v>
      </c>
    </row>
    <row r="995" spans="1:27" x14ac:dyDescent="0.3">
      <c r="A995" s="3">
        <v>15</v>
      </c>
      <c r="B995" s="2" t="str">
        <f>"05209015900"</f>
        <v>05209015900</v>
      </c>
      <c r="C995" s="2" t="s">
        <v>3727</v>
      </c>
      <c r="D995" t="s">
        <v>29</v>
      </c>
      <c r="E995" s="2" t="s">
        <v>30</v>
      </c>
      <c r="F995" s="2">
        <v>37214</v>
      </c>
      <c r="G995" s="2" t="s">
        <v>64</v>
      </c>
      <c r="H995" t="s">
        <v>280</v>
      </c>
      <c r="I995" s="6">
        <v>40938</v>
      </c>
      <c r="J995" s="2" t="s">
        <v>3728</v>
      </c>
      <c r="K995" s="2">
        <v>0</v>
      </c>
      <c r="L995" t="s">
        <v>35</v>
      </c>
      <c r="M995" t="s">
        <v>29</v>
      </c>
      <c r="N995" t="s">
        <v>30</v>
      </c>
      <c r="O995">
        <v>37219</v>
      </c>
      <c r="P995" t="s">
        <v>3729</v>
      </c>
      <c r="Q995" s="2">
        <v>0.11</v>
      </c>
      <c r="R995" s="2">
        <v>50</v>
      </c>
      <c r="S995" s="2">
        <v>100</v>
      </c>
      <c r="T995" t="s">
        <v>3730</v>
      </c>
      <c r="U995" s="6">
        <v>27218</v>
      </c>
      <c r="V995" s="2">
        <v>47037015300</v>
      </c>
      <c r="W995" s="2" t="s">
        <v>68</v>
      </c>
      <c r="X995" s="1">
        <v>45658</v>
      </c>
      <c r="Y995" s="2">
        <v>2300</v>
      </c>
      <c r="Z995" s="2">
        <v>0</v>
      </c>
      <c r="AA995" s="2">
        <v>2300</v>
      </c>
    </row>
    <row r="996" spans="1:27" x14ac:dyDescent="0.3">
      <c r="A996" s="3">
        <v>15</v>
      </c>
      <c r="B996" s="2" t="str">
        <f>"05209016000"</f>
        <v>05209016000</v>
      </c>
      <c r="C996" s="2" t="s">
        <v>3731</v>
      </c>
      <c r="D996" t="s">
        <v>29</v>
      </c>
      <c r="E996" s="2" t="s">
        <v>30</v>
      </c>
      <c r="F996" s="2">
        <v>37214</v>
      </c>
      <c r="G996" s="2" t="s">
        <v>64</v>
      </c>
      <c r="H996" t="s">
        <v>280</v>
      </c>
      <c r="I996" s="6">
        <v>40938</v>
      </c>
      <c r="J996" s="2" t="s">
        <v>3732</v>
      </c>
      <c r="K996" s="2">
        <v>0</v>
      </c>
      <c r="L996" t="s">
        <v>35</v>
      </c>
      <c r="M996" t="s">
        <v>29</v>
      </c>
      <c r="N996" t="s">
        <v>30</v>
      </c>
      <c r="O996">
        <v>37219</v>
      </c>
      <c r="P996" t="s">
        <v>3733</v>
      </c>
      <c r="Q996" s="2">
        <v>0.13</v>
      </c>
      <c r="R996" s="2">
        <v>50</v>
      </c>
      <c r="S996" s="2">
        <v>102</v>
      </c>
      <c r="T996" t="s">
        <v>3730</v>
      </c>
      <c r="U996" s="6">
        <v>27218</v>
      </c>
      <c r="V996" s="2">
        <v>47037015300</v>
      </c>
      <c r="W996" s="2" t="s">
        <v>68</v>
      </c>
      <c r="X996" s="1">
        <v>45658</v>
      </c>
      <c r="Y996" s="2">
        <v>2300</v>
      </c>
      <c r="Z996" s="2">
        <v>0</v>
      </c>
      <c r="AA996" s="2">
        <v>2300</v>
      </c>
    </row>
    <row r="997" spans="1:27" x14ac:dyDescent="0.3">
      <c r="A997" s="3">
        <v>15</v>
      </c>
      <c r="B997" s="2" t="str">
        <f>"05209016200"</f>
        <v>05209016200</v>
      </c>
      <c r="C997" s="2" t="s">
        <v>3734</v>
      </c>
      <c r="D997" t="s">
        <v>29</v>
      </c>
      <c r="E997" s="2" t="s">
        <v>30</v>
      </c>
      <c r="F997" s="2">
        <v>37214</v>
      </c>
      <c r="G997" s="2" t="s">
        <v>64</v>
      </c>
      <c r="H997" t="s">
        <v>280</v>
      </c>
      <c r="I997" s="6">
        <v>43264</v>
      </c>
      <c r="J997" s="2" t="s">
        <v>3735</v>
      </c>
      <c r="K997" s="2" t="s">
        <v>34</v>
      </c>
      <c r="L997" t="s">
        <v>343</v>
      </c>
      <c r="M997" t="s">
        <v>29</v>
      </c>
      <c r="N997" t="s">
        <v>30</v>
      </c>
      <c r="O997">
        <v>37201</v>
      </c>
      <c r="P997" t="s">
        <v>3736</v>
      </c>
      <c r="Q997" s="2">
        <v>0.25</v>
      </c>
      <c r="R997" s="2">
        <v>100</v>
      </c>
      <c r="S997" s="2">
        <v>112</v>
      </c>
      <c r="T997" t="s">
        <v>3737</v>
      </c>
      <c r="U997" s="6">
        <v>26172</v>
      </c>
      <c r="V997" s="2">
        <v>47037015300</v>
      </c>
      <c r="W997" s="2" t="s">
        <v>68</v>
      </c>
      <c r="X997" s="1">
        <v>45658</v>
      </c>
      <c r="Y997" s="2">
        <v>2300</v>
      </c>
      <c r="Z997" s="2">
        <v>0</v>
      </c>
      <c r="AA997" s="2">
        <v>2300</v>
      </c>
    </row>
    <row r="998" spans="1:27" x14ac:dyDescent="0.3">
      <c r="A998" s="3">
        <v>15</v>
      </c>
      <c r="B998" s="2" t="str">
        <f>"05209016300"</f>
        <v>05209016300</v>
      </c>
      <c r="C998" s="2" t="s">
        <v>3738</v>
      </c>
      <c r="D998" t="s">
        <v>29</v>
      </c>
      <c r="E998" s="2" t="s">
        <v>30</v>
      </c>
      <c r="F998" s="2">
        <v>37214</v>
      </c>
      <c r="G998" s="2" t="s">
        <v>64</v>
      </c>
      <c r="H998" t="s">
        <v>280</v>
      </c>
      <c r="I998" s="6">
        <v>40938</v>
      </c>
      <c r="J998" s="2" t="s">
        <v>3739</v>
      </c>
      <c r="K998" s="2">
        <v>0</v>
      </c>
      <c r="L998" t="s">
        <v>35</v>
      </c>
      <c r="M998" t="s">
        <v>29</v>
      </c>
      <c r="N998" t="s">
        <v>30</v>
      </c>
      <c r="O998">
        <v>37219</v>
      </c>
      <c r="P998" t="s">
        <v>3736</v>
      </c>
      <c r="Q998" s="2">
        <v>0.28999999999999998</v>
      </c>
      <c r="R998" s="2">
        <v>100</v>
      </c>
      <c r="S998" s="2">
        <v>112</v>
      </c>
      <c r="T998" t="s">
        <v>3740</v>
      </c>
      <c r="U998" s="6">
        <v>19239</v>
      </c>
      <c r="V998" s="2">
        <v>47037015300</v>
      </c>
      <c r="W998" s="2" t="s">
        <v>68</v>
      </c>
      <c r="X998" s="1">
        <v>45658</v>
      </c>
      <c r="Y998" s="2">
        <v>2300</v>
      </c>
      <c r="Z998" s="2">
        <v>0</v>
      </c>
      <c r="AA998" s="2">
        <v>2300</v>
      </c>
    </row>
    <row r="999" spans="1:27" x14ac:dyDescent="0.3">
      <c r="A999" s="3">
        <v>15</v>
      </c>
      <c r="B999" s="2" t="str">
        <f>"05209016400"</f>
        <v>05209016400</v>
      </c>
      <c r="C999" s="2" t="s">
        <v>3741</v>
      </c>
      <c r="D999" t="s">
        <v>29</v>
      </c>
      <c r="E999" s="2" t="s">
        <v>30</v>
      </c>
      <c r="F999" s="2">
        <v>37214</v>
      </c>
      <c r="G999" s="2" t="s">
        <v>64</v>
      </c>
      <c r="H999" t="s">
        <v>280</v>
      </c>
      <c r="I999" s="6">
        <v>40961</v>
      </c>
      <c r="J999" s="2" t="s">
        <v>3742</v>
      </c>
      <c r="K999" s="2">
        <v>0</v>
      </c>
      <c r="L999" t="s">
        <v>35</v>
      </c>
      <c r="M999" t="s">
        <v>29</v>
      </c>
      <c r="N999" t="s">
        <v>30</v>
      </c>
      <c r="O999">
        <v>37219</v>
      </c>
      <c r="P999" t="s">
        <v>3736</v>
      </c>
      <c r="Q999" s="2">
        <v>0.28999999999999998</v>
      </c>
      <c r="R999" s="2">
        <v>127</v>
      </c>
      <c r="S999" s="2">
        <v>110</v>
      </c>
      <c r="T999" t="s">
        <v>3743</v>
      </c>
      <c r="U999" s="6">
        <v>25386</v>
      </c>
      <c r="V999" s="2">
        <v>47037015300</v>
      </c>
      <c r="W999" s="2" t="s">
        <v>68</v>
      </c>
      <c r="X999" s="1">
        <v>45658</v>
      </c>
      <c r="Y999" s="2">
        <v>2300</v>
      </c>
      <c r="Z999" s="2">
        <v>0</v>
      </c>
      <c r="AA999" s="2">
        <v>2300</v>
      </c>
    </row>
    <row r="1000" spans="1:27" x14ac:dyDescent="0.3">
      <c r="A1000" s="3">
        <v>15</v>
      </c>
      <c r="B1000" s="2" t="str">
        <f>"05209016100"</f>
        <v>05209016100</v>
      </c>
      <c r="C1000" s="2" t="s">
        <v>3744</v>
      </c>
      <c r="D1000" t="s">
        <v>29</v>
      </c>
      <c r="E1000" s="2" t="s">
        <v>30</v>
      </c>
      <c r="F1000" s="2">
        <v>37214</v>
      </c>
      <c r="G1000" s="2" t="s">
        <v>64</v>
      </c>
      <c r="H1000" t="s">
        <v>280</v>
      </c>
      <c r="I1000" s="6">
        <v>40933</v>
      </c>
      <c r="J1000" s="2" t="s">
        <v>3745</v>
      </c>
      <c r="K1000" s="2">
        <v>0</v>
      </c>
      <c r="L1000" t="s">
        <v>35</v>
      </c>
      <c r="M1000" t="s">
        <v>29</v>
      </c>
      <c r="N1000" t="s">
        <v>30</v>
      </c>
      <c r="O1000">
        <v>37219</v>
      </c>
      <c r="P1000" t="s">
        <v>3746</v>
      </c>
      <c r="Q1000" s="2">
        <v>0.36</v>
      </c>
      <c r="R1000" s="2">
        <v>150</v>
      </c>
      <c r="S1000" s="2">
        <v>110</v>
      </c>
      <c r="T1000" t="s">
        <v>3747</v>
      </c>
      <c r="U1000" s="6">
        <v>24778</v>
      </c>
      <c r="V1000" s="2">
        <v>47037015300</v>
      </c>
      <c r="W1000" s="2" t="s">
        <v>68</v>
      </c>
      <c r="X1000" s="1">
        <v>45658</v>
      </c>
      <c r="Y1000" s="2">
        <v>2300</v>
      </c>
      <c r="Z1000" s="2">
        <v>0</v>
      </c>
      <c r="AA1000" s="2">
        <v>2300</v>
      </c>
    </row>
    <row r="1001" spans="1:27" x14ac:dyDescent="0.3">
      <c r="A1001" s="3">
        <v>15</v>
      </c>
      <c r="B1001" s="2" t="str">
        <f>"06205004400"</f>
        <v>06205004400</v>
      </c>
      <c r="C1001" s="2" t="s">
        <v>3748</v>
      </c>
      <c r="D1001" t="s">
        <v>29</v>
      </c>
      <c r="E1001" s="2" t="s">
        <v>30</v>
      </c>
      <c r="F1001" s="2">
        <v>37214</v>
      </c>
      <c r="G1001" s="2" t="s">
        <v>64</v>
      </c>
      <c r="H1001" t="s">
        <v>280</v>
      </c>
      <c r="I1001" s="6">
        <v>41087</v>
      </c>
      <c r="J1001" s="2" t="s">
        <v>3749</v>
      </c>
      <c r="K1001" s="2">
        <v>0</v>
      </c>
      <c r="L1001" t="s">
        <v>35</v>
      </c>
      <c r="M1001" t="s">
        <v>29</v>
      </c>
      <c r="N1001" t="s">
        <v>30</v>
      </c>
      <c r="O1001">
        <v>37219</v>
      </c>
      <c r="P1001" t="s">
        <v>3750</v>
      </c>
      <c r="Q1001" s="2">
        <v>0.16</v>
      </c>
      <c r="R1001" s="2">
        <v>50</v>
      </c>
      <c r="S1001" s="2">
        <v>130</v>
      </c>
      <c r="T1001" t="s">
        <v>3751</v>
      </c>
      <c r="U1001" s="6">
        <v>26952</v>
      </c>
      <c r="V1001" s="2">
        <v>47037015300</v>
      </c>
      <c r="W1001" s="2" t="s">
        <v>68</v>
      </c>
      <c r="X1001" s="1">
        <v>45658</v>
      </c>
      <c r="Y1001" s="2">
        <v>2300</v>
      </c>
      <c r="Z1001" s="2">
        <v>0</v>
      </c>
      <c r="AA1001" s="2">
        <v>2300</v>
      </c>
    </row>
    <row r="1002" spans="1:27" x14ac:dyDescent="0.3">
      <c r="A1002" s="3">
        <v>15</v>
      </c>
      <c r="B1002" s="2" t="str">
        <f>"06205004500"</f>
        <v>06205004500</v>
      </c>
      <c r="C1002" s="2" t="s">
        <v>3752</v>
      </c>
      <c r="D1002" t="s">
        <v>29</v>
      </c>
      <c r="E1002" s="2" t="s">
        <v>30</v>
      </c>
      <c r="F1002" s="2">
        <v>37214</v>
      </c>
      <c r="G1002" s="2" t="s">
        <v>64</v>
      </c>
      <c r="H1002" t="s">
        <v>280</v>
      </c>
      <c r="I1002" s="6">
        <v>41087</v>
      </c>
      <c r="J1002" s="2" t="s">
        <v>3749</v>
      </c>
      <c r="K1002" s="2">
        <v>0</v>
      </c>
      <c r="L1002" t="s">
        <v>35</v>
      </c>
      <c r="M1002" t="s">
        <v>29</v>
      </c>
      <c r="N1002" t="s">
        <v>30</v>
      </c>
      <c r="O1002">
        <v>37219</v>
      </c>
      <c r="P1002" t="s">
        <v>3753</v>
      </c>
      <c r="Q1002" s="2">
        <v>0.16</v>
      </c>
      <c r="R1002" s="2">
        <v>50</v>
      </c>
      <c r="S1002" s="2">
        <v>154</v>
      </c>
      <c r="T1002" t="s">
        <v>3751</v>
      </c>
      <c r="U1002" s="6">
        <v>26952</v>
      </c>
      <c r="V1002" s="2">
        <v>47037015300</v>
      </c>
      <c r="W1002" s="2" t="s">
        <v>68</v>
      </c>
      <c r="X1002" s="1">
        <v>45658</v>
      </c>
      <c r="Y1002" s="2">
        <v>2300</v>
      </c>
      <c r="Z1002" s="2">
        <v>0</v>
      </c>
      <c r="AA1002" s="2">
        <v>2300</v>
      </c>
    </row>
    <row r="1003" spans="1:27" x14ac:dyDescent="0.3">
      <c r="A1003" s="3">
        <v>15</v>
      </c>
      <c r="B1003" s="2" t="str">
        <f>"06209004800"</f>
        <v>06209004800</v>
      </c>
      <c r="C1003" s="2" t="s">
        <v>3754</v>
      </c>
      <c r="D1003" t="s">
        <v>29</v>
      </c>
      <c r="E1003" s="2" t="s">
        <v>30</v>
      </c>
      <c r="F1003" s="2">
        <v>37214</v>
      </c>
      <c r="G1003" s="2" t="s">
        <v>64</v>
      </c>
      <c r="H1003" t="s">
        <v>280</v>
      </c>
      <c r="I1003" s="6">
        <v>41344</v>
      </c>
      <c r="J1003" s="2" t="s">
        <v>3755</v>
      </c>
      <c r="K1003" s="2">
        <v>0</v>
      </c>
      <c r="L1003" t="s">
        <v>35</v>
      </c>
      <c r="M1003" t="s">
        <v>29</v>
      </c>
      <c r="N1003" t="s">
        <v>30</v>
      </c>
      <c r="O1003">
        <v>37219</v>
      </c>
      <c r="P1003" t="s">
        <v>3756</v>
      </c>
      <c r="Q1003" s="2">
        <v>0.33</v>
      </c>
      <c r="R1003" s="2">
        <v>100</v>
      </c>
      <c r="S1003" s="2">
        <v>141</v>
      </c>
      <c r="T1003" t="s">
        <v>3757</v>
      </c>
      <c r="U1003" s="6">
        <v>25042</v>
      </c>
      <c r="V1003" s="2">
        <v>47037015300</v>
      </c>
      <c r="W1003" s="2" t="s">
        <v>68</v>
      </c>
      <c r="X1003" s="1">
        <v>45658</v>
      </c>
      <c r="Y1003" s="2">
        <v>170000</v>
      </c>
      <c r="Z1003" s="2">
        <v>0</v>
      </c>
      <c r="AA1003" s="2">
        <v>170000</v>
      </c>
    </row>
    <row r="1004" spans="1:27" x14ac:dyDescent="0.3">
      <c r="A1004" s="3">
        <v>15</v>
      </c>
      <c r="B1004" s="2" t="str">
        <f>"06209005000"</f>
        <v>06209005000</v>
      </c>
      <c r="C1004" s="2" t="s">
        <v>3758</v>
      </c>
      <c r="D1004" t="s">
        <v>29</v>
      </c>
      <c r="E1004" s="2" t="s">
        <v>30</v>
      </c>
      <c r="F1004" s="2">
        <v>37214</v>
      </c>
      <c r="G1004" s="2" t="s">
        <v>64</v>
      </c>
      <c r="H1004" t="s">
        <v>280</v>
      </c>
      <c r="I1004" s="6">
        <v>41136</v>
      </c>
      <c r="J1004" s="2" t="s">
        <v>3759</v>
      </c>
      <c r="K1004" s="2">
        <v>0</v>
      </c>
      <c r="L1004" t="s">
        <v>35</v>
      </c>
      <c r="M1004" t="s">
        <v>29</v>
      </c>
      <c r="N1004" t="s">
        <v>30</v>
      </c>
      <c r="O1004">
        <v>37219</v>
      </c>
      <c r="P1004" t="s">
        <v>3760</v>
      </c>
      <c r="Q1004" s="2">
        <v>0.45</v>
      </c>
      <c r="R1004" s="2">
        <v>150</v>
      </c>
      <c r="S1004" s="2">
        <v>139</v>
      </c>
      <c r="T1004" t="s">
        <v>278</v>
      </c>
      <c r="U1004" s="6">
        <v>29033</v>
      </c>
      <c r="V1004" s="2">
        <v>47037015300</v>
      </c>
      <c r="W1004" s="2" t="s">
        <v>68</v>
      </c>
      <c r="X1004" s="1">
        <v>45658</v>
      </c>
      <c r="Y1004" s="2">
        <v>2300</v>
      </c>
      <c r="Z1004" s="2">
        <v>0</v>
      </c>
      <c r="AA1004" s="2">
        <v>2300</v>
      </c>
    </row>
    <row r="1005" spans="1:27" x14ac:dyDescent="0.3">
      <c r="A1005" s="3">
        <v>15</v>
      </c>
      <c r="B1005" s="2" t="str">
        <f>"06209005400"</f>
        <v>06209005400</v>
      </c>
      <c r="C1005" s="2" t="s">
        <v>3761</v>
      </c>
      <c r="D1005" t="s">
        <v>29</v>
      </c>
      <c r="E1005" s="2" t="s">
        <v>30</v>
      </c>
      <c r="F1005" s="2">
        <v>37214</v>
      </c>
      <c r="G1005" s="2" t="s">
        <v>64</v>
      </c>
      <c r="H1005" t="s">
        <v>280</v>
      </c>
      <c r="I1005" s="6">
        <v>41033</v>
      </c>
      <c r="J1005" s="2" t="s">
        <v>3762</v>
      </c>
      <c r="K1005" s="2">
        <v>0</v>
      </c>
      <c r="L1005" t="s">
        <v>35</v>
      </c>
      <c r="M1005" t="s">
        <v>29</v>
      </c>
      <c r="N1005" t="s">
        <v>30</v>
      </c>
      <c r="O1005">
        <v>37219</v>
      </c>
      <c r="P1005" t="s">
        <v>3763</v>
      </c>
      <c r="Q1005" s="2">
        <v>0.15</v>
      </c>
      <c r="R1005" s="2">
        <v>50</v>
      </c>
      <c r="S1005" s="2">
        <v>136</v>
      </c>
      <c r="T1005" t="s">
        <v>3764</v>
      </c>
      <c r="U1005" s="6">
        <v>25998</v>
      </c>
      <c r="V1005" s="2">
        <v>47037015300</v>
      </c>
      <c r="W1005" s="2" t="s">
        <v>68</v>
      </c>
      <c r="X1005" s="1">
        <v>45658</v>
      </c>
      <c r="Y1005" s="2">
        <v>2300</v>
      </c>
      <c r="Z1005" s="2">
        <v>0</v>
      </c>
      <c r="AA1005" s="2">
        <v>2300</v>
      </c>
    </row>
    <row r="1006" spans="1:27" x14ac:dyDescent="0.3">
      <c r="A1006" s="3">
        <v>15</v>
      </c>
      <c r="B1006" s="2" t="str">
        <f>"06209005500"</f>
        <v>06209005500</v>
      </c>
      <c r="C1006" s="2" t="s">
        <v>3765</v>
      </c>
      <c r="D1006" t="s">
        <v>29</v>
      </c>
      <c r="E1006" s="2" t="s">
        <v>30</v>
      </c>
      <c r="F1006" s="2">
        <v>37214</v>
      </c>
      <c r="G1006" s="2" t="s">
        <v>64</v>
      </c>
      <c r="H1006" t="s">
        <v>280</v>
      </c>
      <c r="I1006" s="6">
        <v>41033</v>
      </c>
      <c r="J1006" s="2" t="s">
        <v>3762</v>
      </c>
      <c r="K1006" s="2">
        <v>0</v>
      </c>
      <c r="L1006" t="s">
        <v>35</v>
      </c>
      <c r="M1006" t="s">
        <v>29</v>
      </c>
      <c r="N1006" t="s">
        <v>30</v>
      </c>
      <c r="O1006">
        <v>37219</v>
      </c>
      <c r="P1006" t="s">
        <v>3766</v>
      </c>
      <c r="Q1006" s="2">
        <v>0.15</v>
      </c>
      <c r="R1006" s="2">
        <v>50</v>
      </c>
      <c r="S1006" s="2">
        <v>136</v>
      </c>
      <c r="T1006" t="s">
        <v>3764</v>
      </c>
      <c r="U1006" s="6">
        <v>25998</v>
      </c>
      <c r="V1006" s="2">
        <v>47037015300</v>
      </c>
      <c r="W1006" s="2" t="s">
        <v>68</v>
      </c>
      <c r="X1006" s="1">
        <v>45658</v>
      </c>
      <c r="Y1006" s="2">
        <v>2300</v>
      </c>
      <c r="Z1006" s="2">
        <v>0</v>
      </c>
      <c r="AA1006" s="2">
        <v>2300</v>
      </c>
    </row>
    <row r="1007" spans="1:27" x14ac:dyDescent="0.3">
      <c r="A1007" s="3">
        <v>15</v>
      </c>
      <c r="B1007" s="2" t="str">
        <f>"06209007000"</f>
        <v>06209007000</v>
      </c>
      <c r="C1007" s="2" t="s">
        <v>3767</v>
      </c>
      <c r="D1007" t="s">
        <v>29</v>
      </c>
      <c r="E1007" s="2" t="s">
        <v>30</v>
      </c>
      <c r="F1007" s="2">
        <v>37214</v>
      </c>
      <c r="G1007" s="2" t="s">
        <v>64</v>
      </c>
      <c r="H1007" t="s">
        <v>280</v>
      </c>
      <c r="I1007" s="6">
        <v>41078</v>
      </c>
      <c r="J1007" s="2" t="s">
        <v>3768</v>
      </c>
      <c r="K1007" s="2">
        <v>0</v>
      </c>
      <c r="L1007" t="s">
        <v>35</v>
      </c>
      <c r="M1007" t="s">
        <v>29</v>
      </c>
      <c r="N1007" t="s">
        <v>30</v>
      </c>
      <c r="O1007">
        <v>37219</v>
      </c>
      <c r="P1007" t="s">
        <v>3769</v>
      </c>
      <c r="Q1007" s="2">
        <v>0.41</v>
      </c>
      <c r="R1007" s="2">
        <v>130</v>
      </c>
      <c r="S1007" s="2">
        <v>175</v>
      </c>
      <c r="T1007" t="s">
        <v>3770</v>
      </c>
      <c r="U1007" s="6">
        <v>16732</v>
      </c>
      <c r="V1007" s="2">
        <v>47037015300</v>
      </c>
      <c r="W1007" s="2" t="s">
        <v>68</v>
      </c>
      <c r="X1007" s="1">
        <v>45658</v>
      </c>
      <c r="Y1007" s="2">
        <v>2300</v>
      </c>
      <c r="Z1007" s="2">
        <v>0</v>
      </c>
      <c r="AA1007" s="2">
        <v>2300</v>
      </c>
    </row>
    <row r="1008" spans="1:27" x14ac:dyDescent="0.3">
      <c r="A1008" s="3">
        <v>15</v>
      </c>
      <c r="B1008" s="2" t="str">
        <f>"06209005700"</f>
        <v>06209005700</v>
      </c>
      <c r="C1008" s="2" t="s">
        <v>3771</v>
      </c>
      <c r="D1008" t="s">
        <v>29</v>
      </c>
      <c r="E1008" s="2" t="s">
        <v>30</v>
      </c>
      <c r="F1008" s="2">
        <v>37214</v>
      </c>
      <c r="G1008" s="2" t="s">
        <v>64</v>
      </c>
      <c r="H1008" t="s">
        <v>280</v>
      </c>
      <c r="I1008" s="6">
        <v>41080</v>
      </c>
      <c r="J1008" s="2" t="s">
        <v>3772</v>
      </c>
      <c r="K1008" s="2">
        <v>0</v>
      </c>
      <c r="L1008" t="s">
        <v>35</v>
      </c>
      <c r="M1008" t="s">
        <v>29</v>
      </c>
      <c r="N1008" t="s">
        <v>30</v>
      </c>
      <c r="O1008">
        <v>37219</v>
      </c>
      <c r="P1008" t="s">
        <v>3773</v>
      </c>
      <c r="Q1008" s="2">
        <v>0.43</v>
      </c>
      <c r="R1008" s="2">
        <v>150</v>
      </c>
      <c r="S1008" s="2">
        <v>135</v>
      </c>
      <c r="T1008" t="s">
        <v>278</v>
      </c>
      <c r="U1008" s="6">
        <v>34073</v>
      </c>
      <c r="V1008" s="2">
        <v>47037015300</v>
      </c>
      <c r="W1008" s="2" t="s">
        <v>68</v>
      </c>
      <c r="X1008" s="1">
        <v>45658</v>
      </c>
      <c r="Y1008" s="2">
        <v>2300</v>
      </c>
      <c r="Z1008" s="2">
        <v>0</v>
      </c>
      <c r="AA1008" s="2">
        <v>2300</v>
      </c>
    </row>
    <row r="1009" spans="1:27" x14ac:dyDescent="0.3">
      <c r="A1009" s="3">
        <v>15</v>
      </c>
      <c r="B1009" s="2" t="str">
        <f>"06205003200"</f>
        <v>06205003200</v>
      </c>
      <c r="C1009" s="2" t="s">
        <v>3774</v>
      </c>
      <c r="D1009" t="s">
        <v>29</v>
      </c>
      <c r="E1009" s="2" t="s">
        <v>30</v>
      </c>
      <c r="F1009" s="2">
        <v>37214</v>
      </c>
      <c r="G1009" s="2" t="s">
        <v>64</v>
      </c>
      <c r="H1009" t="s">
        <v>280</v>
      </c>
      <c r="I1009" s="6">
        <v>40905</v>
      </c>
      <c r="J1009" s="2" t="s">
        <v>3775</v>
      </c>
      <c r="K1009" s="2">
        <v>0</v>
      </c>
      <c r="L1009" t="s">
        <v>35</v>
      </c>
      <c r="M1009" t="s">
        <v>29</v>
      </c>
      <c r="N1009" t="s">
        <v>30</v>
      </c>
      <c r="O1009">
        <v>37219</v>
      </c>
      <c r="P1009" t="s">
        <v>3776</v>
      </c>
      <c r="Q1009" s="2">
        <v>0.36</v>
      </c>
      <c r="R1009" s="2">
        <v>100</v>
      </c>
      <c r="S1009" s="2">
        <v>158</v>
      </c>
      <c r="T1009" t="s">
        <v>278</v>
      </c>
      <c r="U1009" s="6">
        <v>31777</v>
      </c>
      <c r="V1009" s="2">
        <v>47037015300</v>
      </c>
      <c r="W1009" s="2" t="s">
        <v>68</v>
      </c>
      <c r="X1009" s="1">
        <v>45658</v>
      </c>
      <c r="Y1009" s="2">
        <v>2300</v>
      </c>
      <c r="Z1009" s="2">
        <v>0</v>
      </c>
      <c r="AA1009" s="2">
        <v>2300</v>
      </c>
    </row>
    <row r="1010" spans="1:27" x14ac:dyDescent="0.3">
      <c r="A1010" s="3">
        <v>15</v>
      </c>
      <c r="B1010" s="2" t="str">
        <f>"06205003900"</f>
        <v>06205003900</v>
      </c>
      <c r="C1010" s="2" t="s">
        <v>3777</v>
      </c>
      <c r="D1010" t="s">
        <v>29</v>
      </c>
      <c r="E1010" s="2" t="s">
        <v>30</v>
      </c>
      <c r="F1010" s="2">
        <v>37214</v>
      </c>
      <c r="G1010" s="2" t="s">
        <v>64</v>
      </c>
      <c r="H1010" t="s">
        <v>280</v>
      </c>
      <c r="I1010" s="6">
        <v>41075</v>
      </c>
      <c r="J1010" s="2" t="s">
        <v>3778</v>
      </c>
      <c r="K1010" s="2">
        <v>0</v>
      </c>
      <c r="L1010" t="s">
        <v>35</v>
      </c>
      <c r="M1010" t="s">
        <v>29</v>
      </c>
      <c r="N1010" t="s">
        <v>30</v>
      </c>
      <c r="O1010">
        <v>37219</v>
      </c>
      <c r="P1010" t="s">
        <v>3779</v>
      </c>
      <c r="Q1010" s="2">
        <v>0.17</v>
      </c>
      <c r="R1010" s="2">
        <v>48</v>
      </c>
      <c r="S1010" s="2">
        <v>145</v>
      </c>
      <c r="T1010" t="s">
        <v>3780</v>
      </c>
      <c r="U1010" s="6">
        <v>27085</v>
      </c>
      <c r="V1010" s="2">
        <v>47037015300</v>
      </c>
      <c r="W1010" s="2" t="s">
        <v>68</v>
      </c>
      <c r="X1010" s="1">
        <v>45658</v>
      </c>
      <c r="Y1010" s="2">
        <v>2300</v>
      </c>
      <c r="Z1010" s="2">
        <v>0</v>
      </c>
      <c r="AA1010" s="2">
        <v>2300</v>
      </c>
    </row>
    <row r="1011" spans="1:27" x14ac:dyDescent="0.3">
      <c r="A1011" s="3">
        <v>15</v>
      </c>
      <c r="B1011" s="2" t="str">
        <f>"05213002600"</f>
        <v>05213002600</v>
      </c>
      <c r="C1011" s="2" t="s">
        <v>3781</v>
      </c>
      <c r="D1011" t="s">
        <v>29</v>
      </c>
      <c r="E1011" s="2" t="s">
        <v>30</v>
      </c>
      <c r="F1011" s="2">
        <v>37214</v>
      </c>
      <c r="G1011" s="2" t="s">
        <v>64</v>
      </c>
      <c r="H1011" t="s">
        <v>280</v>
      </c>
      <c r="I1011" s="6">
        <v>40962</v>
      </c>
      <c r="J1011" s="2" t="s">
        <v>3782</v>
      </c>
      <c r="K1011" s="2">
        <v>0</v>
      </c>
      <c r="L1011" t="s">
        <v>35</v>
      </c>
      <c r="M1011" t="s">
        <v>29</v>
      </c>
      <c r="N1011" t="s">
        <v>30</v>
      </c>
      <c r="O1011">
        <v>37219</v>
      </c>
      <c r="P1011" t="s">
        <v>3783</v>
      </c>
      <c r="Q1011" s="2">
        <v>0.56000000000000005</v>
      </c>
      <c r="R1011" s="2">
        <v>150</v>
      </c>
      <c r="S1011" s="2">
        <v>158</v>
      </c>
      <c r="T1011" t="s">
        <v>278</v>
      </c>
      <c r="U1011" s="6">
        <v>29363</v>
      </c>
      <c r="V1011" s="2">
        <v>47037015300</v>
      </c>
      <c r="W1011" s="2" t="s">
        <v>68</v>
      </c>
      <c r="X1011" s="1">
        <v>45658</v>
      </c>
      <c r="Y1011" s="2">
        <v>2300</v>
      </c>
      <c r="Z1011" s="2">
        <v>0</v>
      </c>
      <c r="AA1011" s="2">
        <v>2300</v>
      </c>
    </row>
    <row r="1012" spans="1:27" x14ac:dyDescent="0.3">
      <c r="A1012" s="3">
        <v>15</v>
      </c>
      <c r="B1012" s="2" t="str">
        <f>"06205002100"</f>
        <v>06205002100</v>
      </c>
      <c r="C1012" s="2" t="s">
        <v>3784</v>
      </c>
      <c r="D1012" t="s">
        <v>29</v>
      </c>
      <c r="E1012" s="2" t="s">
        <v>30</v>
      </c>
      <c r="F1012" s="2">
        <v>37214</v>
      </c>
      <c r="G1012" s="2" t="s">
        <v>64</v>
      </c>
      <c r="H1012" t="s">
        <v>280</v>
      </c>
      <c r="I1012" s="6">
        <v>40926</v>
      </c>
      <c r="J1012" s="2" t="s">
        <v>3785</v>
      </c>
      <c r="K1012" s="2">
        <v>0</v>
      </c>
      <c r="L1012" t="s">
        <v>35</v>
      </c>
      <c r="M1012" t="s">
        <v>29</v>
      </c>
      <c r="N1012" t="s">
        <v>30</v>
      </c>
      <c r="O1012">
        <v>37219</v>
      </c>
      <c r="P1012" t="s">
        <v>3786</v>
      </c>
      <c r="Q1012" s="2">
        <v>0.15</v>
      </c>
      <c r="R1012" s="2">
        <v>50</v>
      </c>
      <c r="S1012" s="2">
        <v>130</v>
      </c>
      <c r="T1012" t="s">
        <v>3680</v>
      </c>
      <c r="U1012" s="6">
        <v>29060</v>
      </c>
      <c r="V1012" s="2">
        <v>47037015300</v>
      </c>
      <c r="W1012" s="2" t="s">
        <v>68</v>
      </c>
      <c r="X1012" s="1">
        <v>45658</v>
      </c>
      <c r="Y1012" s="2">
        <v>2300</v>
      </c>
      <c r="Z1012" s="2">
        <v>0</v>
      </c>
      <c r="AA1012" s="2">
        <v>2300</v>
      </c>
    </row>
    <row r="1013" spans="1:27" x14ac:dyDescent="0.3">
      <c r="A1013" s="3">
        <v>15</v>
      </c>
      <c r="B1013" s="2" t="str">
        <f>"06201000100"</f>
        <v>06201000100</v>
      </c>
      <c r="C1013" s="2" t="s">
        <v>3787</v>
      </c>
      <c r="D1013" t="s">
        <v>29</v>
      </c>
      <c r="E1013" s="2" t="s">
        <v>30</v>
      </c>
      <c r="F1013" s="2">
        <v>37214</v>
      </c>
      <c r="G1013" s="2" t="s">
        <v>64</v>
      </c>
      <c r="H1013" t="s">
        <v>280</v>
      </c>
      <c r="I1013" s="6">
        <v>40933</v>
      </c>
      <c r="J1013" s="2" t="s">
        <v>3788</v>
      </c>
      <c r="K1013" s="2">
        <v>0</v>
      </c>
      <c r="L1013" t="s">
        <v>35</v>
      </c>
      <c r="M1013" t="s">
        <v>29</v>
      </c>
      <c r="N1013" t="s">
        <v>30</v>
      </c>
      <c r="O1013">
        <v>37219</v>
      </c>
      <c r="P1013" t="s">
        <v>3789</v>
      </c>
      <c r="Q1013" s="2">
        <v>0.41</v>
      </c>
      <c r="R1013" s="2">
        <v>120</v>
      </c>
      <c r="S1013" s="2">
        <v>151</v>
      </c>
      <c r="T1013" t="s">
        <v>198</v>
      </c>
      <c r="U1013" s="6">
        <v>36803</v>
      </c>
      <c r="V1013" s="2">
        <v>47037015300</v>
      </c>
      <c r="W1013" s="2" t="s">
        <v>68</v>
      </c>
      <c r="X1013" s="1">
        <v>45658</v>
      </c>
      <c r="Y1013" s="2">
        <v>2300</v>
      </c>
      <c r="Z1013" s="2">
        <v>0</v>
      </c>
      <c r="AA1013" s="2">
        <v>2300</v>
      </c>
    </row>
    <row r="1014" spans="1:27" x14ac:dyDescent="0.3">
      <c r="A1014" s="3">
        <v>15</v>
      </c>
      <c r="B1014" s="2" t="str">
        <f>"06201000200"</f>
        <v>06201000200</v>
      </c>
      <c r="C1014" s="2" t="s">
        <v>3790</v>
      </c>
      <c r="D1014" t="s">
        <v>29</v>
      </c>
      <c r="E1014" s="2" t="s">
        <v>30</v>
      </c>
      <c r="F1014" s="2">
        <v>37214</v>
      </c>
      <c r="G1014" s="2" t="s">
        <v>64</v>
      </c>
      <c r="H1014" t="s">
        <v>280</v>
      </c>
      <c r="I1014" s="6">
        <v>40933</v>
      </c>
      <c r="J1014" s="2" t="s">
        <v>3791</v>
      </c>
      <c r="K1014" s="2">
        <v>0</v>
      </c>
      <c r="L1014" t="s">
        <v>35</v>
      </c>
      <c r="M1014" t="s">
        <v>29</v>
      </c>
      <c r="N1014" t="s">
        <v>30</v>
      </c>
      <c r="O1014">
        <v>37219</v>
      </c>
      <c r="P1014" t="s">
        <v>3792</v>
      </c>
      <c r="Q1014" s="2">
        <v>0.18</v>
      </c>
      <c r="R1014" s="2">
        <v>120</v>
      </c>
      <c r="S1014" s="2">
        <v>120</v>
      </c>
      <c r="T1014" t="s">
        <v>3793</v>
      </c>
      <c r="U1014" s="6">
        <v>36769</v>
      </c>
      <c r="V1014" s="2">
        <v>47037015300</v>
      </c>
      <c r="W1014" s="2" t="s">
        <v>68</v>
      </c>
      <c r="X1014" s="1">
        <v>45658</v>
      </c>
      <c r="Y1014" s="2">
        <v>2300</v>
      </c>
      <c r="Z1014" s="2">
        <v>0</v>
      </c>
      <c r="AA1014" s="2">
        <v>2300</v>
      </c>
    </row>
    <row r="1015" spans="1:27" x14ac:dyDescent="0.3">
      <c r="A1015" s="3">
        <v>15</v>
      </c>
      <c r="B1015" s="2" t="str">
        <f>"06201002400"</f>
        <v>06201002400</v>
      </c>
      <c r="C1015" s="2" t="s">
        <v>3794</v>
      </c>
      <c r="D1015" t="s">
        <v>29</v>
      </c>
      <c r="E1015" s="2" t="s">
        <v>30</v>
      </c>
      <c r="F1015" s="2">
        <v>37214</v>
      </c>
      <c r="G1015" s="2" t="s">
        <v>64</v>
      </c>
      <c r="H1015" t="s">
        <v>280</v>
      </c>
      <c r="I1015" s="6">
        <v>43266</v>
      </c>
      <c r="J1015" s="2" t="s">
        <v>3795</v>
      </c>
      <c r="K1015" s="2">
        <v>0</v>
      </c>
      <c r="L1015" t="s">
        <v>1041</v>
      </c>
      <c r="M1015" t="s">
        <v>29</v>
      </c>
      <c r="N1015" t="s">
        <v>30</v>
      </c>
      <c r="O1015">
        <v>37201</v>
      </c>
      <c r="P1015" t="s">
        <v>3796</v>
      </c>
      <c r="Q1015" s="2">
        <v>0.21</v>
      </c>
      <c r="R1015" s="2">
        <v>50</v>
      </c>
      <c r="S1015" s="2">
        <v>184</v>
      </c>
      <c r="T1015" t="s">
        <v>3797</v>
      </c>
      <c r="U1015" s="6">
        <v>23141</v>
      </c>
      <c r="V1015" s="2">
        <v>47037015300</v>
      </c>
      <c r="W1015" s="2" t="s">
        <v>68</v>
      </c>
      <c r="X1015" s="1">
        <v>45658</v>
      </c>
      <c r="Y1015" s="2">
        <v>2300</v>
      </c>
      <c r="Z1015" s="2">
        <v>0</v>
      </c>
      <c r="AA1015" s="2">
        <v>2300</v>
      </c>
    </row>
    <row r="1016" spans="1:27" x14ac:dyDescent="0.3">
      <c r="A1016" s="3">
        <v>15</v>
      </c>
      <c r="B1016" s="2" t="str">
        <f>"06201002500"</f>
        <v>06201002500</v>
      </c>
      <c r="C1016" s="2" t="s">
        <v>3798</v>
      </c>
      <c r="D1016" t="s">
        <v>29</v>
      </c>
      <c r="E1016" s="2" t="s">
        <v>30</v>
      </c>
      <c r="F1016" s="2">
        <v>37214</v>
      </c>
      <c r="G1016" s="2" t="s">
        <v>64</v>
      </c>
      <c r="H1016" t="s">
        <v>280</v>
      </c>
      <c r="I1016" s="6">
        <v>43266</v>
      </c>
      <c r="J1016" s="2" t="s">
        <v>3799</v>
      </c>
      <c r="K1016" s="2">
        <v>0</v>
      </c>
      <c r="L1016" t="s">
        <v>1041</v>
      </c>
      <c r="M1016" t="s">
        <v>29</v>
      </c>
      <c r="N1016" t="s">
        <v>30</v>
      </c>
      <c r="O1016">
        <v>37201</v>
      </c>
      <c r="P1016" t="s">
        <v>3800</v>
      </c>
      <c r="Q1016" s="2">
        <v>0.38</v>
      </c>
      <c r="R1016" s="2">
        <v>100</v>
      </c>
      <c r="S1016" s="2">
        <v>170</v>
      </c>
      <c r="T1016" t="s">
        <v>3801</v>
      </c>
      <c r="U1016" s="6">
        <v>22886</v>
      </c>
      <c r="V1016" s="2">
        <v>47037015300</v>
      </c>
      <c r="W1016" s="2" t="s">
        <v>68</v>
      </c>
      <c r="X1016" s="1">
        <v>45658</v>
      </c>
      <c r="Y1016" s="2">
        <v>2300</v>
      </c>
      <c r="Z1016" s="2">
        <v>0</v>
      </c>
      <c r="AA1016" s="2">
        <v>2300</v>
      </c>
    </row>
    <row r="1017" spans="1:27" x14ac:dyDescent="0.3">
      <c r="A1017" s="3">
        <v>15</v>
      </c>
      <c r="B1017" s="2" t="str">
        <f>"06201003100"</f>
        <v>06201003100</v>
      </c>
      <c r="C1017" s="2" t="s">
        <v>3802</v>
      </c>
      <c r="D1017" t="s">
        <v>29</v>
      </c>
      <c r="E1017" s="2" t="s">
        <v>30</v>
      </c>
      <c r="F1017" s="2">
        <v>37214</v>
      </c>
      <c r="G1017" s="2" t="s">
        <v>64</v>
      </c>
      <c r="H1017" t="s">
        <v>280</v>
      </c>
      <c r="I1017" s="6">
        <v>40920</v>
      </c>
      <c r="J1017" s="2" t="s">
        <v>3803</v>
      </c>
      <c r="K1017" s="2">
        <v>0</v>
      </c>
      <c r="L1017" t="s">
        <v>35</v>
      </c>
      <c r="M1017" t="s">
        <v>29</v>
      </c>
      <c r="N1017" t="s">
        <v>30</v>
      </c>
      <c r="O1017">
        <v>37219</v>
      </c>
      <c r="P1017" t="s">
        <v>3804</v>
      </c>
      <c r="Q1017" s="2">
        <v>0.48</v>
      </c>
      <c r="R1017" s="2">
        <v>150</v>
      </c>
      <c r="S1017" s="2">
        <v>123</v>
      </c>
      <c r="T1017" t="s">
        <v>278</v>
      </c>
      <c r="U1017" s="6">
        <v>34641</v>
      </c>
      <c r="V1017" s="2">
        <v>47037015300</v>
      </c>
      <c r="W1017" s="2" t="s">
        <v>68</v>
      </c>
      <c r="X1017" s="1">
        <v>45658</v>
      </c>
      <c r="Y1017" s="2">
        <v>2300</v>
      </c>
      <c r="Z1017" s="2">
        <v>0</v>
      </c>
      <c r="AA1017" s="2">
        <v>2300</v>
      </c>
    </row>
    <row r="1018" spans="1:27" x14ac:dyDescent="0.3">
      <c r="A1018" s="3">
        <v>15</v>
      </c>
      <c r="B1018" s="2" t="str">
        <f>"06205001800"</f>
        <v>06205001800</v>
      </c>
      <c r="C1018" s="2" t="s">
        <v>3805</v>
      </c>
      <c r="D1018" t="s">
        <v>29</v>
      </c>
      <c r="E1018" s="2" t="s">
        <v>30</v>
      </c>
      <c r="F1018" s="2">
        <v>37214</v>
      </c>
      <c r="G1018" s="2" t="s">
        <v>64</v>
      </c>
      <c r="H1018" t="s">
        <v>280</v>
      </c>
      <c r="I1018" s="6">
        <v>40907</v>
      </c>
      <c r="J1018" s="2" t="s">
        <v>3806</v>
      </c>
      <c r="K1018" s="2">
        <v>0</v>
      </c>
      <c r="L1018" t="s">
        <v>35</v>
      </c>
      <c r="M1018" t="s">
        <v>29</v>
      </c>
      <c r="N1018" t="s">
        <v>30</v>
      </c>
      <c r="O1018">
        <v>37219</v>
      </c>
      <c r="P1018" t="s">
        <v>3807</v>
      </c>
      <c r="Q1018" s="2">
        <v>0.41</v>
      </c>
      <c r="R1018" s="2">
        <v>150</v>
      </c>
      <c r="S1018" s="2">
        <v>131</v>
      </c>
      <c r="T1018" t="s">
        <v>3808</v>
      </c>
      <c r="U1018" s="6">
        <v>23630</v>
      </c>
      <c r="V1018" s="2">
        <v>47037015300</v>
      </c>
      <c r="W1018" s="2" t="s">
        <v>68</v>
      </c>
      <c r="X1018" s="1">
        <v>45658</v>
      </c>
      <c r="Y1018" s="2">
        <v>2300</v>
      </c>
      <c r="Z1018" s="2">
        <v>0</v>
      </c>
      <c r="AA1018" s="2">
        <v>2300</v>
      </c>
    </row>
    <row r="1019" spans="1:27" x14ac:dyDescent="0.3">
      <c r="A1019" s="3">
        <v>15</v>
      </c>
      <c r="B1019" s="2" t="str">
        <f>"09400014000"</f>
        <v>09400014000</v>
      </c>
      <c r="C1019" s="2" t="s">
        <v>3809</v>
      </c>
      <c r="D1019" t="s">
        <v>29</v>
      </c>
      <c r="E1019" s="2" t="s">
        <v>30</v>
      </c>
      <c r="F1019" s="2">
        <v>37210</v>
      </c>
      <c r="G1019" s="2" t="s">
        <v>1485</v>
      </c>
      <c r="H1019" t="s">
        <v>280</v>
      </c>
      <c r="I1019" s="6">
        <v>29924</v>
      </c>
      <c r="J1019" s="2" t="s">
        <v>3810</v>
      </c>
      <c r="K1019" s="2" t="s">
        <v>34</v>
      </c>
      <c r="L1019" t="s">
        <v>35</v>
      </c>
      <c r="M1019" t="s">
        <v>29</v>
      </c>
      <c r="N1019" t="s">
        <v>30</v>
      </c>
      <c r="O1019">
        <v>37219</v>
      </c>
      <c r="P1019" t="s">
        <v>3811</v>
      </c>
      <c r="Q1019" s="2">
        <v>2.74</v>
      </c>
      <c r="R1019" s="2">
        <v>0</v>
      </c>
      <c r="S1019" s="2">
        <v>406</v>
      </c>
      <c r="T1019" t="s">
        <v>3812</v>
      </c>
      <c r="U1019" s="6">
        <v>29671</v>
      </c>
      <c r="V1019" s="2">
        <v>47037019600</v>
      </c>
      <c r="W1019" s="2" t="s">
        <v>68</v>
      </c>
      <c r="X1019" s="1">
        <v>45658</v>
      </c>
      <c r="Y1019" s="2">
        <v>1781000</v>
      </c>
      <c r="Z1019" s="2">
        <v>0</v>
      </c>
      <c r="AA1019" s="2">
        <v>1781000</v>
      </c>
    </row>
    <row r="1020" spans="1:27" x14ac:dyDescent="0.3">
      <c r="A1020" s="3">
        <v>15</v>
      </c>
      <c r="B1020" s="2" t="str">
        <f>"09400000800"</f>
        <v>09400000800</v>
      </c>
      <c r="C1020" s="2" t="s">
        <v>3813</v>
      </c>
      <c r="D1020" t="s">
        <v>29</v>
      </c>
      <c r="E1020" s="2" t="s">
        <v>30</v>
      </c>
      <c r="F1020" s="2">
        <v>37210</v>
      </c>
      <c r="G1020" s="2" t="s">
        <v>1485</v>
      </c>
      <c r="H1020" t="s">
        <v>280</v>
      </c>
      <c r="I1020" s="6">
        <v>27395</v>
      </c>
      <c r="J1020" s="2" t="s">
        <v>3814</v>
      </c>
      <c r="K1020" s="2" t="s">
        <v>34</v>
      </c>
      <c r="L1020" t="s">
        <v>35</v>
      </c>
      <c r="M1020" t="s">
        <v>29</v>
      </c>
      <c r="N1020" t="s">
        <v>30</v>
      </c>
      <c r="O1020">
        <v>37219</v>
      </c>
      <c r="P1020" t="s">
        <v>3815</v>
      </c>
      <c r="Q1020" s="2">
        <v>0.36</v>
      </c>
      <c r="R1020" s="2">
        <v>60</v>
      </c>
      <c r="S1020" s="2">
        <v>300</v>
      </c>
      <c r="T1020" t="s">
        <v>3816</v>
      </c>
      <c r="U1020" s="6">
        <v>33403</v>
      </c>
      <c r="V1020" s="2">
        <v>47037019600</v>
      </c>
      <c r="W1020" s="2" t="s">
        <v>68</v>
      </c>
      <c r="X1020" s="1">
        <v>45658</v>
      </c>
      <c r="Y1020" s="2">
        <v>49400</v>
      </c>
      <c r="Z1020" s="2">
        <v>0</v>
      </c>
      <c r="AA1020" s="2">
        <v>49400</v>
      </c>
    </row>
    <row r="1021" spans="1:27" x14ac:dyDescent="0.3">
      <c r="A1021" s="3">
        <v>15</v>
      </c>
      <c r="B1021" s="2" t="str">
        <f>"09400002300"</f>
        <v>09400002300</v>
      </c>
      <c r="C1021" s="2" t="s">
        <v>3817</v>
      </c>
      <c r="D1021" t="s">
        <v>29</v>
      </c>
      <c r="E1021" s="2" t="s">
        <v>30</v>
      </c>
      <c r="F1021" s="2">
        <v>37210</v>
      </c>
      <c r="G1021" s="2" t="s">
        <v>152</v>
      </c>
      <c r="H1021" t="s">
        <v>280</v>
      </c>
      <c r="I1021" s="6">
        <v>132</v>
      </c>
      <c r="J1021" s="2" t="s">
        <v>3818</v>
      </c>
      <c r="K1021" s="2" t="s">
        <v>34</v>
      </c>
      <c r="L1021" t="s">
        <v>35</v>
      </c>
      <c r="M1021" t="s">
        <v>29</v>
      </c>
      <c r="N1021" t="s">
        <v>30</v>
      </c>
      <c r="O1021">
        <v>37219</v>
      </c>
      <c r="P1021" t="s">
        <v>3819</v>
      </c>
      <c r="Q1021" s="2">
        <v>9.91</v>
      </c>
      <c r="R1021" s="2">
        <v>0</v>
      </c>
      <c r="S1021" s="2">
        <v>0</v>
      </c>
      <c r="T1021" t="s">
        <v>3816</v>
      </c>
      <c r="U1021" s="6">
        <v>33403</v>
      </c>
      <c r="V1021" s="2">
        <v>47037019600</v>
      </c>
      <c r="W1021" s="2" t="s">
        <v>68</v>
      </c>
      <c r="X1021" s="1">
        <v>45658</v>
      </c>
      <c r="Y1021" s="2">
        <v>5450500</v>
      </c>
      <c r="Z1021" s="2">
        <v>0</v>
      </c>
      <c r="AA1021" s="2">
        <v>5450500</v>
      </c>
    </row>
    <row r="1022" spans="1:27" x14ac:dyDescent="0.3">
      <c r="A1022" s="3">
        <v>15</v>
      </c>
      <c r="B1022" s="2" t="str">
        <f>"09400000600"</f>
        <v>09400000600</v>
      </c>
      <c r="C1022" s="2" t="s">
        <v>3817</v>
      </c>
      <c r="D1022" t="s">
        <v>29</v>
      </c>
      <c r="E1022" s="2" t="s">
        <v>30</v>
      </c>
      <c r="F1022" s="2">
        <v>37210</v>
      </c>
      <c r="G1022" s="2" t="s">
        <v>152</v>
      </c>
      <c r="H1022" t="s">
        <v>280</v>
      </c>
      <c r="I1022" s="6">
        <v>132</v>
      </c>
      <c r="J1022" s="2" t="s">
        <v>3820</v>
      </c>
      <c r="K1022" s="2" t="s">
        <v>34</v>
      </c>
      <c r="L1022" t="s">
        <v>35</v>
      </c>
      <c r="M1022" t="s">
        <v>29</v>
      </c>
      <c r="N1022" t="s">
        <v>30</v>
      </c>
      <c r="O1022">
        <v>37219</v>
      </c>
      <c r="P1022" t="s">
        <v>3821</v>
      </c>
      <c r="Q1022" s="2">
        <v>4.41</v>
      </c>
      <c r="R1022" s="2">
        <v>0</v>
      </c>
      <c r="S1022" s="2">
        <v>0</v>
      </c>
      <c r="T1022" t="s">
        <v>3822</v>
      </c>
      <c r="U1022" s="6">
        <v>33403</v>
      </c>
      <c r="V1022" s="2">
        <v>47037019600</v>
      </c>
      <c r="W1022" s="2" t="s">
        <v>68</v>
      </c>
      <c r="X1022" s="1">
        <v>45658</v>
      </c>
      <c r="Y1022" s="2">
        <v>1190700</v>
      </c>
      <c r="Z1022" s="2">
        <v>0</v>
      </c>
      <c r="AA1022" s="2">
        <v>1190700</v>
      </c>
    </row>
    <row r="1023" spans="1:27" x14ac:dyDescent="0.3">
      <c r="A1023" s="3">
        <v>15</v>
      </c>
      <c r="B1023" s="2" t="str">
        <f>"09400003900"</f>
        <v>09400003900</v>
      </c>
      <c r="C1023" s="2" t="s">
        <v>3823</v>
      </c>
      <c r="D1023" t="s">
        <v>29</v>
      </c>
      <c r="E1023" s="2" t="s">
        <v>30</v>
      </c>
      <c r="F1023" s="2">
        <v>37210</v>
      </c>
      <c r="G1023" s="2" t="s">
        <v>330</v>
      </c>
      <c r="H1023" t="s">
        <v>280</v>
      </c>
      <c r="I1023" s="6">
        <v>41143</v>
      </c>
      <c r="J1023" s="2" t="s">
        <v>3824</v>
      </c>
      <c r="K1023" s="2">
        <v>0</v>
      </c>
      <c r="L1023" t="s">
        <v>35</v>
      </c>
      <c r="M1023" t="s">
        <v>29</v>
      </c>
      <c r="N1023" t="s">
        <v>30</v>
      </c>
      <c r="O1023">
        <v>37219</v>
      </c>
      <c r="P1023" t="s">
        <v>3825</v>
      </c>
      <c r="Q1023" s="2">
        <v>127.25</v>
      </c>
      <c r="R1023" s="2">
        <v>817</v>
      </c>
      <c r="S1023" s="2">
        <v>0</v>
      </c>
      <c r="T1023" t="s">
        <v>198</v>
      </c>
      <c r="U1023" s="6">
        <v>42370</v>
      </c>
      <c r="V1023" s="2">
        <v>47037019600</v>
      </c>
      <c r="W1023" s="2" t="s">
        <v>68</v>
      </c>
      <c r="X1023" s="1">
        <v>45658</v>
      </c>
      <c r="Y1023" s="2">
        <v>49270300</v>
      </c>
      <c r="Z1023" s="2">
        <v>279000</v>
      </c>
      <c r="AA1023" s="2">
        <v>48991300</v>
      </c>
    </row>
    <row r="1024" spans="1:27" x14ac:dyDescent="0.3">
      <c r="A1024" s="3">
        <v>15</v>
      </c>
      <c r="B1024" s="2" t="str">
        <f>"09400000400"</f>
        <v>09400000400</v>
      </c>
      <c r="C1024" s="2" t="s">
        <v>3826</v>
      </c>
      <c r="D1024" t="s">
        <v>29</v>
      </c>
      <c r="E1024" s="2" t="s">
        <v>30</v>
      </c>
      <c r="F1024" s="2">
        <v>37210</v>
      </c>
      <c r="G1024" s="2" t="s">
        <v>152</v>
      </c>
      <c r="H1024" t="s">
        <v>280</v>
      </c>
      <c r="I1024" s="6">
        <v>27395</v>
      </c>
      <c r="J1024" s="2" t="s">
        <v>3827</v>
      </c>
      <c r="K1024" s="2" t="s">
        <v>34</v>
      </c>
      <c r="L1024" t="s">
        <v>35</v>
      </c>
      <c r="M1024" t="s">
        <v>29</v>
      </c>
      <c r="N1024" t="s">
        <v>30</v>
      </c>
      <c r="O1024">
        <v>37219</v>
      </c>
      <c r="P1024" t="s">
        <v>3828</v>
      </c>
      <c r="Q1024" s="2">
        <v>25.8</v>
      </c>
      <c r="R1024" s="2">
        <v>0</v>
      </c>
      <c r="S1024" s="2">
        <v>0</v>
      </c>
      <c r="T1024" t="s">
        <v>3829</v>
      </c>
      <c r="U1024" s="6">
        <v>39843</v>
      </c>
      <c r="V1024" s="2">
        <v>47037019600</v>
      </c>
      <c r="W1024" s="2" t="s">
        <v>68</v>
      </c>
      <c r="X1024" s="1">
        <v>45658</v>
      </c>
      <c r="Y1024" s="2">
        <v>17442000</v>
      </c>
      <c r="Z1024" s="2">
        <v>27000</v>
      </c>
      <c r="AA1024" s="2">
        <v>17415000</v>
      </c>
    </row>
    <row r="1025" spans="1:27" x14ac:dyDescent="0.3">
      <c r="A1025" s="3">
        <v>15</v>
      </c>
      <c r="B1025" s="2" t="str">
        <f>"09400000500"</f>
        <v>09400000500</v>
      </c>
      <c r="C1025" s="2" t="s">
        <v>3699</v>
      </c>
      <c r="D1025" t="s">
        <v>29</v>
      </c>
      <c r="E1025" s="2" t="s">
        <v>30</v>
      </c>
      <c r="F1025" s="2">
        <v>37210</v>
      </c>
      <c r="G1025" s="2" t="s">
        <v>1485</v>
      </c>
      <c r="H1025" t="s">
        <v>280</v>
      </c>
      <c r="I1025" s="6">
        <v>132</v>
      </c>
      <c r="J1025" s="2" t="s">
        <v>3818</v>
      </c>
      <c r="K1025" s="2" t="s">
        <v>34</v>
      </c>
      <c r="L1025" t="s">
        <v>35</v>
      </c>
      <c r="M1025" t="s">
        <v>29</v>
      </c>
      <c r="N1025" t="s">
        <v>30</v>
      </c>
      <c r="O1025">
        <v>37219</v>
      </c>
      <c r="P1025" t="s">
        <v>3830</v>
      </c>
      <c r="Q1025" s="2">
        <v>1.98</v>
      </c>
      <c r="R1025" s="2">
        <v>0</v>
      </c>
      <c r="S1025" s="2">
        <v>0</v>
      </c>
      <c r="T1025" t="s">
        <v>3831</v>
      </c>
      <c r="U1025" s="6">
        <v>33437</v>
      </c>
      <c r="V1025" s="2">
        <v>47037019600</v>
      </c>
      <c r="W1025" s="2" t="s">
        <v>68</v>
      </c>
      <c r="X1025" s="1">
        <v>45658</v>
      </c>
      <c r="Y1025" s="2">
        <v>544500</v>
      </c>
      <c r="Z1025" s="2">
        <v>0</v>
      </c>
      <c r="AA1025" s="2">
        <v>544500</v>
      </c>
    </row>
    <row r="1026" spans="1:27" x14ac:dyDescent="0.3">
      <c r="A1026" s="3">
        <v>15</v>
      </c>
      <c r="B1026" s="2" t="str">
        <f>"09400001700"</f>
        <v>09400001700</v>
      </c>
      <c r="C1026" s="2" t="s">
        <v>3832</v>
      </c>
      <c r="D1026" t="s">
        <v>29</v>
      </c>
      <c r="E1026" s="2" t="s">
        <v>30</v>
      </c>
      <c r="F1026" s="2">
        <v>37210</v>
      </c>
      <c r="G1026" s="2" t="s">
        <v>1485</v>
      </c>
      <c r="H1026" t="s">
        <v>3833</v>
      </c>
      <c r="I1026" s="6">
        <v>30890</v>
      </c>
      <c r="J1026" s="2" t="s">
        <v>3834</v>
      </c>
      <c r="K1026" s="2">
        <v>90000</v>
      </c>
      <c r="L1026" t="s">
        <v>35</v>
      </c>
      <c r="M1026" t="s">
        <v>29</v>
      </c>
      <c r="N1026" t="s">
        <v>30</v>
      </c>
      <c r="O1026">
        <v>37219</v>
      </c>
      <c r="P1026" t="s">
        <v>3835</v>
      </c>
      <c r="Q1026" s="2">
        <v>11.51</v>
      </c>
      <c r="R1026" s="2">
        <v>0</v>
      </c>
      <c r="S1026" s="2">
        <v>0</v>
      </c>
      <c r="T1026" t="s">
        <v>3836</v>
      </c>
      <c r="U1026" s="6">
        <v>33433</v>
      </c>
      <c r="V1026" s="2">
        <v>47037019600</v>
      </c>
      <c r="W1026" s="2" t="s">
        <v>68</v>
      </c>
      <c r="X1026" s="1">
        <v>45658</v>
      </c>
      <c r="Y1026" s="2">
        <v>9350000</v>
      </c>
      <c r="Z1026" s="2">
        <v>0</v>
      </c>
      <c r="AA1026" s="2">
        <v>9350000</v>
      </c>
    </row>
    <row r="1027" spans="1:27" x14ac:dyDescent="0.3">
      <c r="A1027" s="3">
        <v>15</v>
      </c>
      <c r="B1027" s="2" t="str">
        <f>"09615003200"</f>
        <v>09615003200</v>
      </c>
      <c r="C1027" s="2" t="s">
        <v>3837</v>
      </c>
      <c r="D1027" t="s">
        <v>29</v>
      </c>
      <c r="E1027" s="2" t="s">
        <v>30</v>
      </c>
      <c r="F1027" s="2">
        <v>37214</v>
      </c>
      <c r="G1027" s="2" t="s">
        <v>64</v>
      </c>
      <c r="H1027" t="s">
        <v>379</v>
      </c>
      <c r="I1027" s="6">
        <v>44517</v>
      </c>
      <c r="J1027" s="2" t="s">
        <v>3838</v>
      </c>
      <c r="K1027" s="2" t="s">
        <v>34</v>
      </c>
      <c r="L1027" t="s">
        <v>315</v>
      </c>
      <c r="M1027" t="s">
        <v>29</v>
      </c>
      <c r="N1027" t="s">
        <v>30</v>
      </c>
      <c r="O1027">
        <v>37208</v>
      </c>
      <c r="P1027" t="s">
        <v>3839</v>
      </c>
      <c r="Q1027" s="2">
        <v>0.32</v>
      </c>
      <c r="R1027" s="2">
        <v>71</v>
      </c>
      <c r="S1027" s="2">
        <v>145</v>
      </c>
      <c r="T1027" t="s">
        <v>3840</v>
      </c>
      <c r="U1027" s="6">
        <v>26464</v>
      </c>
      <c r="V1027" s="2">
        <v>47037015502</v>
      </c>
      <c r="W1027" s="2" t="s">
        <v>68</v>
      </c>
      <c r="X1027" s="1">
        <v>45658</v>
      </c>
      <c r="Y1027" s="2">
        <v>82000</v>
      </c>
      <c r="Z1027" s="2">
        <v>0</v>
      </c>
      <c r="AA1027" s="2">
        <v>82000</v>
      </c>
    </row>
    <row r="1028" spans="1:27" x14ac:dyDescent="0.3">
      <c r="A1028" s="3">
        <v>15</v>
      </c>
      <c r="B1028" s="2" t="str">
        <f>"09614021500"</f>
        <v>09614021500</v>
      </c>
      <c r="C1028" s="2" t="s">
        <v>3841</v>
      </c>
      <c r="D1028" t="s">
        <v>29</v>
      </c>
      <c r="E1028" s="2" t="s">
        <v>30</v>
      </c>
      <c r="F1028" s="2">
        <v>37214</v>
      </c>
      <c r="G1028" s="2" t="s">
        <v>64</v>
      </c>
      <c r="H1028" t="s">
        <v>379</v>
      </c>
      <c r="I1028" s="6">
        <v>44505</v>
      </c>
      <c r="J1028" s="2" t="s">
        <v>3842</v>
      </c>
      <c r="K1028" s="2" t="s">
        <v>34</v>
      </c>
      <c r="L1028" t="s">
        <v>315</v>
      </c>
      <c r="M1028" t="s">
        <v>29</v>
      </c>
      <c r="N1028" t="s">
        <v>30</v>
      </c>
      <c r="O1028">
        <v>37208</v>
      </c>
      <c r="P1028" t="s">
        <v>3843</v>
      </c>
      <c r="Q1028" s="2">
        <v>0.34</v>
      </c>
      <c r="R1028" s="2">
        <v>75</v>
      </c>
      <c r="S1028" s="2">
        <v>200</v>
      </c>
      <c r="T1028" t="s">
        <v>3844</v>
      </c>
      <c r="U1028" s="6">
        <v>27269</v>
      </c>
      <c r="V1028" s="2">
        <v>47037015502</v>
      </c>
      <c r="W1028" s="2" t="s">
        <v>68</v>
      </c>
      <c r="X1028" s="1">
        <v>45658</v>
      </c>
      <c r="Y1028" s="2">
        <v>82000</v>
      </c>
      <c r="Z1028" s="2">
        <v>0</v>
      </c>
      <c r="AA1028" s="2">
        <v>82000</v>
      </c>
    </row>
    <row r="1029" spans="1:27" x14ac:dyDescent="0.3">
      <c r="A1029" s="3">
        <v>15</v>
      </c>
      <c r="B1029" s="2" t="str">
        <f>"06213014300"</f>
        <v>06213014300</v>
      </c>
      <c r="C1029" s="2" t="s">
        <v>3845</v>
      </c>
      <c r="D1029" t="s">
        <v>29</v>
      </c>
      <c r="E1029" s="2" t="s">
        <v>30</v>
      </c>
      <c r="F1029" s="2">
        <v>37214</v>
      </c>
      <c r="G1029" s="2" t="s">
        <v>64</v>
      </c>
      <c r="H1029" t="s">
        <v>379</v>
      </c>
      <c r="I1029" s="6">
        <v>41061</v>
      </c>
      <c r="J1029" s="2" t="s">
        <v>3846</v>
      </c>
      <c r="K1029" s="2">
        <v>0</v>
      </c>
      <c r="L1029" t="s">
        <v>651</v>
      </c>
      <c r="M1029" t="s">
        <v>29</v>
      </c>
      <c r="N1029" t="s">
        <v>30</v>
      </c>
      <c r="O1029">
        <v>37208</v>
      </c>
      <c r="P1029" t="s">
        <v>3847</v>
      </c>
      <c r="Q1029" s="2">
        <v>0.32</v>
      </c>
      <c r="R1029" s="2">
        <v>100</v>
      </c>
      <c r="S1029" s="2">
        <v>210</v>
      </c>
      <c r="T1029" t="s">
        <v>3848</v>
      </c>
      <c r="U1029" s="6">
        <v>41061</v>
      </c>
      <c r="V1029" s="2">
        <v>47037015300</v>
      </c>
      <c r="W1029" s="2" t="s">
        <v>68</v>
      </c>
      <c r="X1029" s="1">
        <v>45658</v>
      </c>
      <c r="Y1029" s="2">
        <v>2300</v>
      </c>
      <c r="Z1029" s="2">
        <v>0</v>
      </c>
      <c r="AA1029" s="2">
        <v>2300</v>
      </c>
    </row>
    <row r="1030" spans="1:27" x14ac:dyDescent="0.3">
      <c r="A1030" s="3">
        <v>15</v>
      </c>
      <c r="B1030" s="2" t="str">
        <f>"06205003800"</f>
        <v>06205003800</v>
      </c>
      <c r="C1030" s="2" t="s">
        <v>3849</v>
      </c>
      <c r="D1030" t="s">
        <v>29</v>
      </c>
      <c r="E1030" s="2" t="s">
        <v>30</v>
      </c>
      <c r="F1030" s="2">
        <v>37214</v>
      </c>
      <c r="G1030" s="2" t="s">
        <v>64</v>
      </c>
      <c r="H1030" t="s">
        <v>379</v>
      </c>
      <c r="I1030" s="6">
        <v>43256</v>
      </c>
      <c r="J1030" s="2" t="s">
        <v>3850</v>
      </c>
      <c r="K1030" s="2">
        <v>0</v>
      </c>
      <c r="L1030" t="s">
        <v>651</v>
      </c>
      <c r="M1030" t="s">
        <v>29</v>
      </c>
      <c r="N1030" t="s">
        <v>30</v>
      </c>
      <c r="O1030">
        <v>37208</v>
      </c>
      <c r="P1030" t="s">
        <v>3851</v>
      </c>
      <c r="Q1030" s="2">
        <v>0.34</v>
      </c>
      <c r="R1030" s="2">
        <v>100</v>
      </c>
      <c r="S1030" s="2">
        <v>142</v>
      </c>
      <c r="T1030" t="s">
        <v>3852</v>
      </c>
      <c r="U1030" s="6">
        <v>26450</v>
      </c>
      <c r="V1030" s="2">
        <v>47037015300</v>
      </c>
      <c r="W1030" s="2" t="s">
        <v>68</v>
      </c>
      <c r="X1030" s="1">
        <v>45658</v>
      </c>
      <c r="Y1030" s="2">
        <v>2300</v>
      </c>
      <c r="Z1030" s="2">
        <v>0</v>
      </c>
      <c r="AA1030" s="2">
        <v>2300</v>
      </c>
    </row>
    <row r="1031" spans="1:27" x14ac:dyDescent="0.3">
      <c r="A1031" s="3">
        <v>15</v>
      </c>
      <c r="B1031" s="2" t="str">
        <f>"06213012200"</f>
        <v>06213012200</v>
      </c>
      <c r="C1031" s="2" t="s">
        <v>3853</v>
      </c>
      <c r="D1031" t="s">
        <v>29</v>
      </c>
      <c r="E1031" s="2" t="s">
        <v>30</v>
      </c>
      <c r="F1031" s="2">
        <v>37214</v>
      </c>
      <c r="G1031" s="2" t="s">
        <v>64</v>
      </c>
      <c r="H1031" t="s">
        <v>379</v>
      </c>
      <c r="I1031" s="6">
        <v>41061</v>
      </c>
      <c r="J1031" s="2" t="s">
        <v>3846</v>
      </c>
      <c r="K1031" s="2">
        <v>0</v>
      </c>
      <c r="L1031" t="s">
        <v>651</v>
      </c>
      <c r="M1031" t="s">
        <v>29</v>
      </c>
      <c r="N1031" t="s">
        <v>30</v>
      </c>
      <c r="O1031">
        <v>37208</v>
      </c>
      <c r="P1031" t="s">
        <v>3854</v>
      </c>
      <c r="Q1031" s="2">
        <v>0.32</v>
      </c>
      <c r="R1031" s="2">
        <v>89</v>
      </c>
      <c r="S1031" s="2">
        <v>207</v>
      </c>
      <c r="T1031" t="s">
        <v>3848</v>
      </c>
      <c r="U1031" s="6">
        <v>41061</v>
      </c>
      <c r="V1031" s="2">
        <v>47037015300</v>
      </c>
      <c r="W1031" s="2" t="s">
        <v>68</v>
      </c>
      <c r="X1031" s="1">
        <v>45658</v>
      </c>
      <c r="Y1031" s="2">
        <v>170000</v>
      </c>
      <c r="Z1031" s="2">
        <v>0</v>
      </c>
      <c r="AA1031" s="2">
        <v>170000</v>
      </c>
    </row>
    <row r="1032" spans="1:27" x14ac:dyDescent="0.3">
      <c r="A1032" s="3">
        <v>15</v>
      </c>
      <c r="B1032" s="2" t="str">
        <f>"10802011200"</f>
        <v>10802011200</v>
      </c>
      <c r="C1032" s="2" t="s">
        <v>3855</v>
      </c>
      <c r="D1032" t="s">
        <v>29</v>
      </c>
      <c r="E1032" s="2" t="s">
        <v>30</v>
      </c>
      <c r="F1032" s="2">
        <v>37214</v>
      </c>
      <c r="G1032" s="2" t="s">
        <v>64</v>
      </c>
      <c r="H1032" t="s">
        <v>2687</v>
      </c>
      <c r="I1032" s="6">
        <v>33798</v>
      </c>
      <c r="J1032" s="2" t="s">
        <v>3856</v>
      </c>
      <c r="K1032" s="2">
        <v>0</v>
      </c>
      <c r="L1032" t="s">
        <v>2689</v>
      </c>
      <c r="M1032" t="s">
        <v>29</v>
      </c>
      <c r="N1032" t="s">
        <v>30</v>
      </c>
      <c r="O1032">
        <v>37214</v>
      </c>
      <c r="P1032" t="s">
        <v>3857</v>
      </c>
      <c r="Q1032" s="2">
        <v>45.76</v>
      </c>
      <c r="R1032" s="2">
        <v>0</v>
      </c>
      <c r="S1032" s="2">
        <v>0</v>
      </c>
      <c r="T1032" t="s">
        <v>3858</v>
      </c>
      <c r="U1032" s="6">
        <v>35156</v>
      </c>
      <c r="V1032" s="2">
        <v>47037015502</v>
      </c>
      <c r="W1032" s="2" t="s">
        <v>68</v>
      </c>
      <c r="X1032" s="1">
        <v>45658</v>
      </c>
      <c r="Y1032" s="2">
        <v>148700</v>
      </c>
      <c r="Z1032" s="2">
        <v>0</v>
      </c>
      <c r="AA1032" s="2">
        <v>148700</v>
      </c>
    </row>
    <row r="1033" spans="1:27" x14ac:dyDescent="0.3">
      <c r="A1033" s="3">
        <v>15</v>
      </c>
      <c r="B1033" s="2" t="str">
        <f>"09614014600"</f>
        <v>09614014600</v>
      </c>
      <c r="C1033" s="2" t="s">
        <v>3859</v>
      </c>
      <c r="D1033" t="s">
        <v>29</v>
      </c>
      <c r="E1033" s="2" t="s">
        <v>30</v>
      </c>
      <c r="F1033" s="2">
        <v>37214</v>
      </c>
      <c r="G1033" s="2" t="s">
        <v>64</v>
      </c>
      <c r="H1033" t="s">
        <v>2687</v>
      </c>
      <c r="I1033" s="6">
        <v>32934</v>
      </c>
      <c r="J1033" s="2" t="s">
        <v>3860</v>
      </c>
      <c r="K1033" s="2">
        <v>96000</v>
      </c>
      <c r="L1033" t="s">
        <v>2689</v>
      </c>
      <c r="M1033" t="s">
        <v>29</v>
      </c>
      <c r="N1033" t="s">
        <v>30</v>
      </c>
      <c r="O1033">
        <v>37214</v>
      </c>
      <c r="P1033" t="s">
        <v>3861</v>
      </c>
      <c r="Q1033" s="2">
        <v>0.72</v>
      </c>
      <c r="R1033" s="2">
        <v>185</v>
      </c>
      <c r="S1033" s="2">
        <v>209</v>
      </c>
      <c r="T1033" t="s">
        <v>278</v>
      </c>
      <c r="U1033" s="6">
        <v>33871</v>
      </c>
      <c r="V1033" s="2">
        <v>47037015502</v>
      </c>
      <c r="W1033" s="2" t="s">
        <v>68</v>
      </c>
      <c r="X1033" s="1">
        <v>45658</v>
      </c>
      <c r="Y1033" s="2">
        <v>3300</v>
      </c>
      <c r="Z1033" s="2">
        <v>0</v>
      </c>
      <c r="AA1033" s="2">
        <v>3300</v>
      </c>
    </row>
    <row r="1034" spans="1:27" x14ac:dyDescent="0.3">
      <c r="A1034" s="3">
        <v>15</v>
      </c>
      <c r="B1034" s="2" t="str">
        <f>"09614014800"</f>
        <v>09614014800</v>
      </c>
      <c r="C1034" s="2" t="s">
        <v>3862</v>
      </c>
      <c r="D1034" t="s">
        <v>29</v>
      </c>
      <c r="E1034" s="2" t="s">
        <v>30</v>
      </c>
      <c r="F1034" s="2">
        <v>37214</v>
      </c>
      <c r="G1034" s="2" t="s">
        <v>64</v>
      </c>
      <c r="H1034" t="s">
        <v>2687</v>
      </c>
      <c r="I1034" s="6">
        <v>33431</v>
      </c>
      <c r="J1034" s="2" t="s">
        <v>3863</v>
      </c>
      <c r="K1034" s="2">
        <v>71000</v>
      </c>
      <c r="L1034" t="s">
        <v>2689</v>
      </c>
      <c r="M1034" t="s">
        <v>29</v>
      </c>
      <c r="N1034" t="s">
        <v>30</v>
      </c>
      <c r="O1034">
        <v>37214</v>
      </c>
      <c r="P1034" t="s">
        <v>3864</v>
      </c>
      <c r="Q1034" s="2">
        <v>0.25</v>
      </c>
      <c r="R1034" s="2">
        <v>100</v>
      </c>
      <c r="S1034" s="2">
        <v>164</v>
      </c>
      <c r="T1034" t="s">
        <v>3865</v>
      </c>
      <c r="U1034" s="6">
        <v>21906</v>
      </c>
      <c r="V1034" s="2">
        <v>47037015502</v>
      </c>
      <c r="W1034" s="2" t="s">
        <v>68</v>
      </c>
      <c r="X1034" s="1">
        <v>45658</v>
      </c>
      <c r="Y1034" s="2">
        <v>82000</v>
      </c>
      <c r="Z1034" s="2">
        <v>0</v>
      </c>
      <c r="AA1034" s="2">
        <v>82000</v>
      </c>
    </row>
    <row r="1035" spans="1:27" x14ac:dyDescent="0.3">
      <c r="A1035" s="3">
        <v>15</v>
      </c>
      <c r="B1035" s="2" t="str">
        <f>"09614014100"</f>
        <v>09614014100</v>
      </c>
      <c r="C1035" s="2" t="s">
        <v>3866</v>
      </c>
      <c r="D1035" t="s">
        <v>29</v>
      </c>
      <c r="E1035" s="2" t="s">
        <v>30</v>
      </c>
      <c r="F1035" s="2">
        <v>37214</v>
      </c>
      <c r="G1035" s="2" t="s">
        <v>64</v>
      </c>
      <c r="H1035" t="s">
        <v>2687</v>
      </c>
      <c r="I1035" s="6">
        <v>33959</v>
      </c>
      <c r="J1035" s="2" t="s">
        <v>3867</v>
      </c>
      <c r="K1035" s="2" t="s">
        <v>34</v>
      </c>
      <c r="L1035" t="s">
        <v>2689</v>
      </c>
      <c r="M1035" t="s">
        <v>29</v>
      </c>
      <c r="N1035" t="s">
        <v>30</v>
      </c>
      <c r="O1035">
        <v>37214</v>
      </c>
      <c r="P1035" t="s">
        <v>3868</v>
      </c>
      <c r="Q1035" s="2">
        <v>0.35</v>
      </c>
      <c r="R1035" s="2">
        <v>93</v>
      </c>
      <c r="S1035" s="2">
        <v>130</v>
      </c>
      <c r="T1035" t="s">
        <v>3869</v>
      </c>
      <c r="U1035" s="6">
        <v>20719</v>
      </c>
      <c r="V1035" s="2">
        <v>47037015502</v>
      </c>
      <c r="W1035" s="2" t="s">
        <v>68</v>
      </c>
      <c r="X1035" s="1">
        <v>45658</v>
      </c>
      <c r="Y1035" s="2">
        <v>3300</v>
      </c>
      <c r="Z1035" s="2">
        <v>0</v>
      </c>
      <c r="AA1035" s="2">
        <v>3300</v>
      </c>
    </row>
    <row r="1036" spans="1:27" x14ac:dyDescent="0.3">
      <c r="A1036" s="3">
        <v>15</v>
      </c>
      <c r="B1036" s="2" t="str">
        <f>"09614014500"</f>
        <v>09614014500</v>
      </c>
      <c r="C1036" s="2" t="s">
        <v>3870</v>
      </c>
      <c r="D1036" t="s">
        <v>29</v>
      </c>
      <c r="E1036" s="2" t="s">
        <v>30</v>
      </c>
      <c r="F1036" s="2">
        <v>37214</v>
      </c>
      <c r="G1036" s="2" t="s">
        <v>64</v>
      </c>
      <c r="H1036" t="s">
        <v>2687</v>
      </c>
      <c r="I1036" s="6">
        <v>33534</v>
      </c>
      <c r="J1036" s="2" t="s">
        <v>3871</v>
      </c>
      <c r="K1036" s="2">
        <v>81000</v>
      </c>
      <c r="L1036" t="s">
        <v>2689</v>
      </c>
      <c r="M1036" t="s">
        <v>29</v>
      </c>
      <c r="N1036" t="s">
        <v>30</v>
      </c>
      <c r="O1036">
        <v>37214</v>
      </c>
      <c r="P1036" t="s">
        <v>3872</v>
      </c>
      <c r="Q1036" s="2">
        <v>0.48</v>
      </c>
      <c r="R1036" s="2">
        <v>97</v>
      </c>
      <c r="S1036" s="2">
        <v>225</v>
      </c>
      <c r="T1036" t="s">
        <v>3873</v>
      </c>
      <c r="U1036" s="6">
        <v>20624</v>
      </c>
      <c r="V1036" s="2">
        <v>47037015502</v>
      </c>
      <c r="W1036" s="2" t="s">
        <v>68</v>
      </c>
      <c r="X1036" s="1">
        <v>45658</v>
      </c>
      <c r="Y1036" s="2">
        <v>3300</v>
      </c>
      <c r="Z1036" s="2">
        <v>0</v>
      </c>
      <c r="AA1036" s="2">
        <v>3300</v>
      </c>
    </row>
    <row r="1037" spans="1:27" x14ac:dyDescent="0.3">
      <c r="A1037" s="3">
        <v>15</v>
      </c>
      <c r="B1037" s="2" t="str">
        <f>"09614014400"</f>
        <v>09614014400</v>
      </c>
      <c r="C1037" s="2" t="s">
        <v>3874</v>
      </c>
      <c r="D1037" t="s">
        <v>29</v>
      </c>
      <c r="E1037" s="2" t="s">
        <v>30</v>
      </c>
      <c r="F1037" s="2">
        <v>37214</v>
      </c>
      <c r="G1037" s="2" t="s">
        <v>64</v>
      </c>
      <c r="H1037" t="s">
        <v>2687</v>
      </c>
      <c r="I1037" s="6">
        <v>33857</v>
      </c>
      <c r="J1037" s="2" t="s">
        <v>3875</v>
      </c>
      <c r="K1037" s="2" t="s">
        <v>34</v>
      </c>
      <c r="L1037" t="s">
        <v>2689</v>
      </c>
      <c r="M1037" t="s">
        <v>29</v>
      </c>
      <c r="N1037" t="s">
        <v>30</v>
      </c>
      <c r="O1037">
        <v>37214</v>
      </c>
      <c r="P1037" t="s">
        <v>3876</v>
      </c>
      <c r="Q1037" s="2">
        <v>0.34</v>
      </c>
      <c r="R1037" s="2">
        <v>70</v>
      </c>
      <c r="S1037" s="2">
        <v>225</v>
      </c>
      <c r="T1037" t="s">
        <v>3877</v>
      </c>
      <c r="U1037" s="6">
        <v>20327</v>
      </c>
      <c r="V1037" s="2">
        <v>47037015502</v>
      </c>
      <c r="W1037" s="2" t="s">
        <v>68</v>
      </c>
      <c r="X1037" s="1">
        <v>45658</v>
      </c>
      <c r="Y1037" s="2">
        <v>3300</v>
      </c>
      <c r="Z1037" s="2">
        <v>0</v>
      </c>
      <c r="AA1037" s="2">
        <v>3300</v>
      </c>
    </row>
    <row r="1038" spans="1:27" x14ac:dyDescent="0.3">
      <c r="A1038" s="3">
        <v>15</v>
      </c>
      <c r="B1038" s="2" t="str">
        <f>"09614014200"</f>
        <v>09614014200</v>
      </c>
      <c r="C1038" s="2" t="s">
        <v>3878</v>
      </c>
      <c r="D1038" t="s">
        <v>29</v>
      </c>
      <c r="E1038" s="2" t="s">
        <v>30</v>
      </c>
      <c r="F1038" s="2">
        <v>37214</v>
      </c>
      <c r="G1038" s="2" t="s">
        <v>64</v>
      </c>
      <c r="H1038" t="s">
        <v>2687</v>
      </c>
      <c r="I1038" s="6">
        <v>33976</v>
      </c>
      <c r="J1038" s="2" t="s">
        <v>3879</v>
      </c>
      <c r="K1038" s="2" t="s">
        <v>34</v>
      </c>
      <c r="L1038" t="s">
        <v>2689</v>
      </c>
      <c r="M1038" t="s">
        <v>29</v>
      </c>
      <c r="N1038" t="s">
        <v>30</v>
      </c>
      <c r="O1038">
        <v>37214</v>
      </c>
      <c r="P1038" t="s">
        <v>3880</v>
      </c>
      <c r="Q1038" s="2">
        <v>0.66</v>
      </c>
      <c r="R1038" s="2">
        <v>141</v>
      </c>
      <c r="S1038" s="2">
        <v>193</v>
      </c>
      <c r="T1038" t="s">
        <v>3881</v>
      </c>
      <c r="U1038" s="6">
        <v>20332</v>
      </c>
      <c r="V1038" s="2">
        <v>47037015502</v>
      </c>
      <c r="W1038" s="2" t="s">
        <v>68</v>
      </c>
      <c r="X1038" s="1">
        <v>45658</v>
      </c>
      <c r="Y1038" s="2">
        <v>3300</v>
      </c>
      <c r="Z1038" s="2">
        <v>0</v>
      </c>
      <c r="AA1038" s="2">
        <v>3300</v>
      </c>
    </row>
    <row r="1039" spans="1:27" x14ac:dyDescent="0.3">
      <c r="A1039" s="3">
        <v>15</v>
      </c>
      <c r="B1039" s="2" t="str">
        <f>"09614014900"</f>
        <v>09614014900</v>
      </c>
      <c r="C1039" s="2" t="s">
        <v>3882</v>
      </c>
      <c r="D1039" t="s">
        <v>29</v>
      </c>
      <c r="E1039" s="2" t="s">
        <v>30</v>
      </c>
      <c r="F1039" s="2">
        <v>37214</v>
      </c>
      <c r="G1039" s="2" t="s">
        <v>64</v>
      </c>
      <c r="H1039" t="s">
        <v>2687</v>
      </c>
      <c r="I1039" s="6">
        <v>33518</v>
      </c>
      <c r="J1039" s="2" t="s">
        <v>3883</v>
      </c>
      <c r="K1039" s="2">
        <v>66000</v>
      </c>
      <c r="L1039" t="s">
        <v>2689</v>
      </c>
      <c r="M1039" t="s">
        <v>29</v>
      </c>
      <c r="N1039" t="s">
        <v>30</v>
      </c>
      <c r="O1039">
        <v>37214</v>
      </c>
      <c r="P1039" t="s">
        <v>3884</v>
      </c>
      <c r="Q1039" s="2">
        <v>0.53</v>
      </c>
      <c r="R1039" s="2">
        <v>144</v>
      </c>
      <c r="S1039" s="2">
        <v>120</v>
      </c>
      <c r="T1039" t="s">
        <v>3885</v>
      </c>
      <c r="U1039" s="6">
        <v>21695</v>
      </c>
      <c r="V1039" s="2">
        <v>47037015502</v>
      </c>
      <c r="W1039" s="2" t="s">
        <v>68</v>
      </c>
      <c r="X1039" s="1">
        <v>45658</v>
      </c>
      <c r="Y1039" s="2">
        <v>3300</v>
      </c>
      <c r="Z1039" s="2">
        <v>0</v>
      </c>
      <c r="AA1039" s="2">
        <v>3300</v>
      </c>
    </row>
    <row r="1040" spans="1:27" x14ac:dyDescent="0.3">
      <c r="A1040" s="3">
        <v>15</v>
      </c>
      <c r="B1040" s="2" t="str">
        <f>"09614014300"</f>
        <v>09614014300</v>
      </c>
      <c r="C1040" s="2" t="s">
        <v>3886</v>
      </c>
      <c r="D1040" t="s">
        <v>29</v>
      </c>
      <c r="E1040" s="2" t="s">
        <v>30</v>
      </c>
      <c r="F1040" s="2">
        <v>37214</v>
      </c>
      <c r="G1040" s="2" t="s">
        <v>64</v>
      </c>
      <c r="H1040" t="s">
        <v>2687</v>
      </c>
      <c r="I1040" s="6">
        <v>33857</v>
      </c>
      <c r="J1040" s="2" t="s">
        <v>3887</v>
      </c>
      <c r="K1040" s="2" t="s">
        <v>34</v>
      </c>
      <c r="L1040" t="s">
        <v>2689</v>
      </c>
      <c r="M1040" t="s">
        <v>29</v>
      </c>
      <c r="N1040" t="s">
        <v>30</v>
      </c>
      <c r="O1040">
        <v>37214</v>
      </c>
      <c r="P1040" t="s">
        <v>3888</v>
      </c>
      <c r="Q1040" s="2">
        <v>0.34</v>
      </c>
      <c r="R1040" s="2">
        <v>70</v>
      </c>
      <c r="S1040" s="2">
        <v>209</v>
      </c>
      <c r="T1040" t="s">
        <v>3889</v>
      </c>
      <c r="U1040" s="6">
        <v>23667</v>
      </c>
      <c r="V1040" s="2">
        <v>47037015502</v>
      </c>
      <c r="W1040" s="2" t="s">
        <v>68</v>
      </c>
      <c r="X1040" s="1">
        <v>45658</v>
      </c>
      <c r="Y1040" s="2">
        <v>3300</v>
      </c>
      <c r="Z1040" s="2">
        <v>0</v>
      </c>
      <c r="AA1040" s="2">
        <v>3300</v>
      </c>
    </row>
    <row r="1041" spans="1:27" x14ac:dyDescent="0.3">
      <c r="A1041" s="3">
        <v>15</v>
      </c>
      <c r="B1041" s="2" t="str">
        <f>"09614014000"</f>
        <v>09614014000</v>
      </c>
      <c r="C1041" s="2" t="s">
        <v>3890</v>
      </c>
      <c r="D1041" t="s">
        <v>29</v>
      </c>
      <c r="E1041" s="2" t="s">
        <v>30</v>
      </c>
      <c r="F1041" s="2">
        <v>37214</v>
      </c>
      <c r="G1041" s="2" t="s">
        <v>2543</v>
      </c>
      <c r="H1041" t="s">
        <v>2687</v>
      </c>
      <c r="I1041" s="6">
        <v>33795</v>
      </c>
      <c r="J1041" s="2" t="s">
        <v>3891</v>
      </c>
      <c r="K1041" s="2" t="s">
        <v>34</v>
      </c>
      <c r="L1041" t="s">
        <v>2689</v>
      </c>
      <c r="M1041" t="s">
        <v>29</v>
      </c>
      <c r="N1041" t="s">
        <v>30</v>
      </c>
      <c r="O1041">
        <v>37214</v>
      </c>
      <c r="P1041" t="s">
        <v>3892</v>
      </c>
      <c r="Q1041" s="2">
        <v>0.32</v>
      </c>
      <c r="R1041" s="2">
        <v>110</v>
      </c>
      <c r="S1041" s="2">
        <v>120</v>
      </c>
      <c r="T1041" t="s">
        <v>3893</v>
      </c>
      <c r="U1041" s="6">
        <v>26347</v>
      </c>
      <c r="V1041" s="2">
        <v>47037015502</v>
      </c>
      <c r="W1041" s="2" t="s">
        <v>68</v>
      </c>
      <c r="X1041" s="1">
        <v>45658</v>
      </c>
      <c r="Y1041" s="2">
        <v>3300</v>
      </c>
      <c r="Z1041" s="2">
        <v>0</v>
      </c>
      <c r="AA1041" s="2">
        <v>3300</v>
      </c>
    </row>
    <row r="1042" spans="1:27" x14ac:dyDescent="0.3">
      <c r="A1042" s="3">
        <v>15</v>
      </c>
      <c r="B1042" s="2" t="str">
        <f>"09614015000"</f>
        <v>09614015000</v>
      </c>
      <c r="C1042" s="2" t="s">
        <v>3894</v>
      </c>
      <c r="D1042" t="s">
        <v>29</v>
      </c>
      <c r="E1042" s="2" t="s">
        <v>30</v>
      </c>
      <c r="F1042" s="2">
        <v>37214</v>
      </c>
      <c r="G1042" s="2" t="s">
        <v>64</v>
      </c>
      <c r="H1042" t="s">
        <v>2687</v>
      </c>
      <c r="I1042" s="6">
        <v>33560</v>
      </c>
      <c r="J1042" s="2" t="s">
        <v>3895</v>
      </c>
      <c r="K1042" s="2" t="s">
        <v>34</v>
      </c>
      <c r="L1042" t="s">
        <v>2689</v>
      </c>
      <c r="M1042" t="s">
        <v>29</v>
      </c>
      <c r="N1042" t="s">
        <v>30</v>
      </c>
      <c r="O1042">
        <v>37214</v>
      </c>
      <c r="P1042" t="s">
        <v>3896</v>
      </c>
      <c r="Q1042" s="2">
        <v>0.28999999999999998</v>
      </c>
      <c r="R1042" s="2">
        <v>90</v>
      </c>
      <c r="S1042" s="2">
        <v>169</v>
      </c>
      <c r="T1042" t="s">
        <v>3897</v>
      </c>
      <c r="U1042" s="6">
        <v>27080</v>
      </c>
      <c r="V1042" s="2">
        <v>47037015502</v>
      </c>
      <c r="W1042" s="2" t="s">
        <v>68</v>
      </c>
      <c r="X1042" s="1">
        <v>45658</v>
      </c>
      <c r="Y1042" s="2">
        <v>3300</v>
      </c>
      <c r="Z1042" s="2">
        <v>0</v>
      </c>
      <c r="AA1042" s="2">
        <v>3300</v>
      </c>
    </row>
    <row r="1043" spans="1:27" x14ac:dyDescent="0.3">
      <c r="A1043" s="3">
        <v>15</v>
      </c>
      <c r="B1043" s="2" t="str">
        <f>"09614015100"</f>
        <v>09614015100</v>
      </c>
      <c r="C1043" s="2" t="s">
        <v>3898</v>
      </c>
      <c r="D1043" t="s">
        <v>29</v>
      </c>
      <c r="E1043" s="2" t="s">
        <v>30</v>
      </c>
      <c r="F1043" s="2">
        <v>37214</v>
      </c>
      <c r="G1043" s="2" t="s">
        <v>64</v>
      </c>
      <c r="H1043" t="s">
        <v>2687</v>
      </c>
      <c r="I1043" s="6">
        <v>33926</v>
      </c>
      <c r="J1043" s="2" t="s">
        <v>3899</v>
      </c>
      <c r="K1043" s="2" t="s">
        <v>34</v>
      </c>
      <c r="L1043" t="s">
        <v>2689</v>
      </c>
      <c r="M1043" t="s">
        <v>29</v>
      </c>
      <c r="N1043" t="s">
        <v>30</v>
      </c>
      <c r="O1043">
        <v>37214</v>
      </c>
      <c r="P1043" t="s">
        <v>3900</v>
      </c>
      <c r="Q1043" s="2">
        <v>0.27</v>
      </c>
      <c r="R1043" s="2">
        <v>80</v>
      </c>
      <c r="S1043" s="2">
        <v>179</v>
      </c>
      <c r="T1043" t="s">
        <v>3901</v>
      </c>
      <c r="U1043" s="6">
        <v>20353</v>
      </c>
      <c r="V1043" s="2">
        <v>47037015502</v>
      </c>
      <c r="W1043" s="2" t="s">
        <v>68</v>
      </c>
      <c r="X1043" s="1">
        <v>45658</v>
      </c>
      <c r="Y1043" s="2">
        <v>3300</v>
      </c>
      <c r="Z1043" s="2">
        <v>0</v>
      </c>
      <c r="AA1043" s="2">
        <v>3300</v>
      </c>
    </row>
    <row r="1044" spans="1:27" x14ac:dyDescent="0.3">
      <c r="A1044" s="3">
        <v>15</v>
      </c>
      <c r="B1044" s="2" t="str">
        <f>"09614015200"</f>
        <v>09614015200</v>
      </c>
      <c r="C1044" s="2" t="s">
        <v>3902</v>
      </c>
      <c r="D1044" t="s">
        <v>29</v>
      </c>
      <c r="E1044" s="2" t="s">
        <v>30</v>
      </c>
      <c r="F1044" s="2">
        <v>37214</v>
      </c>
      <c r="G1044" s="2" t="s">
        <v>64</v>
      </c>
      <c r="H1044" t="s">
        <v>2687</v>
      </c>
      <c r="I1044" s="6">
        <v>33367</v>
      </c>
      <c r="J1044" s="2" t="s">
        <v>3903</v>
      </c>
      <c r="K1044" s="2">
        <v>78500</v>
      </c>
      <c r="L1044" t="s">
        <v>2689</v>
      </c>
      <c r="M1044" t="s">
        <v>29</v>
      </c>
      <c r="N1044" t="s">
        <v>30</v>
      </c>
      <c r="O1044">
        <v>37214</v>
      </c>
      <c r="P1044" t="s">
        <v>3904</v>
      </c>
      <c r="Q1044" s="2">
        <v>0.28999999999999998</v>
      </c>
      <c r="R1044" s="2">
        <v>85</v>
      </c>
      <c r="S1044" s="2">
        <v>179</v>
      </c>
      <c r="T1044" t="s">
        <v>3905</v>
      </c>
      <c r="U1044" s="6">
        <v>26210</v>
      </c>
      <c r="V1044" s="2">
        <v>47037015502</v>
      </c>
      <c r="W1044" s="2" t="s">
        <v>68</v>
      </c>
      <c r="X1044" s="1">
        <v>45658</v>
      </c>
      <c r="Y1044" s="2">
        <v>3300</v>
      </c>
      <c r="Z1044" s="2">
        <v>0</v>
      </c>
      <c r="AA1044" s="2">
        <v>3300</v>
      </c>
    </row>
    <row r="1045" spans="1:27" x14ac:dyDescent="0.3">
      <c r="A1045" s="3">
        <v>15</v>
      </c>
      <c r="B1045" s="2" t="str">
        <f>"09614015800"</f>
        <v>09614015800</v>
      </c>
      <c r="C1045" s="2" t="s">
        <v>3906</v>
      </c>
      <c r="D1045" t="s">
        <v>29</v>
      </c>
      <c r="E1045" s="2" t="s">
        <v>30</v>
      </c>
      <c r="F1045" s="2">
        <v>37214</v>
      </c>
      <c r="G1045" s="2" t="s">
        <v>64</v>
      </c>
      <c r="H1045" t="s">
        <v>2687</v>
      </c>
      <c r="I1045" s="6">
        <v>33877</v>
      </c>
      <c r="J1045" s="2" t="s">
        <v>3907</v>
      </c>
      <c r="K1045" s="2" t="s">
        <v>34</v>
      </c>
      <c r="L1045" t="s">
        <v>2689</v>
      </c>
      <c r="M1045" t="s">
        <v>29</v>
      </c>
      <c r="N1045" t="s">
        <v>30</v>
      </c>
      <c r="O1045">
        <v>37214</v>
      </c>
      <c r="P1045" t="s">
        <v>3908</v>
      </c>
      <c r="Q1045" s="2">
        <v>0.4</v>
      </c>
      <c r="R1045" s="2">
        <v>100</v>
      </c>
      <c r="S1045" s="2">
        <v>184</v>
      </c>
      <c r="T1045" t="s">
        <v>3909</v>
      </c>
      <c r="U1045" s="6">
        <v>22054</v>
      </c>
      <c r="V1045" s="2">
        <v>47037015502</v>
      </c>
      <c r="W1045" s="2" t="s">
        <v>68</v>
      </c>
      <c r="X1045" s="1">
        <v>45658</v>
      </c>
      <c r="Y1045" s="2">
        <v>3300</v>
      </c>
      <c r="Z1045" s="2">
        <v>0</v>
      </c>
      <c r="AA1045" s="2">
        <v>3300</v>
      </c>
    </row>
    <row r="1046" spans="1:27" x14ac:dyDescent="0.3">
      <c r="A1046" s="3">
        <v>15</v>
      </c>
      <c r="B1046" s="2" t="str">
        <f>"09614015700"</f>
        <v>09614015700</v>
      </c>
      <c r="C1046" s="2" t="s">
        <v>3910</v>
      </c>
      <c r="D1046" t="s">
        <v>29</v>
      </c>
      <c r="E1046" s="2" t="s">
        <v>30</v>
      </c>
      <c r="F1046" s="2">
        <v>37214</v>
      </c>
      <c r="G1046" s="2" t="s">
        <v>64</v>
      </c>
      <c r="H1046" t="s">
        <v>2687</v>
      </c>
      <c r="I1046" s="6">
        <v>33787</v>
      </c>
      <c r="J1046" s="2" t="s">
        <v>3911</v>
      </c>
      <c r="K1046" s="2" t="s">
        <v>34</v>
      </c>
      <c r="L1046" t="s">
        <v>2689</v>
      </c>
      <c r="M1046" t="s">
        <v>29</v>
      </c>
      <c r="N1046" t="s">
        <v>30</v>
      </c>
      <c r="O1046">
        <v>37214</v>
      </c>
      <c r="P1046" t="s">
        <v>3912</v>
      </c>
      <c r="Q1046" s="2">
        <v>0.32</v>
      </c>
      <c r="R1046" s="2">
        <v>80</v>
      </c>
      <c r="S1046" s="2">
        <v>184</v>
      </c>
      <c r="T1046" t="s">
        <v>3913</v>
      </c>
      <c r="U1046" s="6">
        <v>21438</v>
      </c>
      <c r="V1046" s="2">
        <v>47037015502</v>
      </c>
      <c r="W1046" s="2" t="s">
        <v>68</v>
      </c>
      <c r="X1046" s="1">
        <v>45658</v>
      </c>
      <c r="Y1046" s="2">
        <v>3300</v>
      </c>
      <c r="Z1046" s="2">
        <v>0</v>
      </c>
      <c r="AA1046" s="2">
        <v>3300</v>
      </c>
    </row>
    <row r="1047" spans="1:27" x14ac:dyDescent="0.3">
      <c r="A1047" s="3">
        <v>15</v>
      </c>
      <c r="B1047" s="2" t="str">
        <f>"09614015300"</f>
        <v>09614015300</v>
      </c>
      <c r="C1047" s="2" t="s">
        <v>3914</v>
      </c>
      <c r="D1047" t="s">
        <v>29</v>
      </c>
      <c r="E1047" s="2" t="s">
        <v>30</v>
      </c>
      <c r="F1047" s="2">
        <v>37214</v>
      </c>
      <c r="G1047" s="2" t="s">
        <v>64</v>
      </c>
      <c r="H1047" t="s">
        <v>2687</v>
      </c>
      <c r="I1047" s="6">
        <v>33541</v>
      </c>
      <c r="J1047" s="2" t="s">
        <v>3915</v>
      </c>
      <c r="K1047" s="2" t="s">
        <v>34</v>
      </c>
      <c r="L1047" t="s">
        <v>2689</v>
      </c>
      <c r="M1047" t="s">
        <v>29</v>
      </c>
      <c r="N1047" t="s">
        <v>30</v>
      </c>
      <c r="O1047">
        <v>37214</v>
      </c>
      <c r="P1047" t="s">
        <v>3916</v>
      </c>
      <c r="Q1047" s="2">
        <v>0.27</v>
      </c>
      <c r="R1047" s="2">
        <v>85</v>
      </c>
      <c r="S1047" s="2">
        <v>178</v>
      </c>
      <c r="T1047" t="s">
        <v>3917</v>
      </c>
      <c r="U1047" s="6">
        <v>26574</v>
      </c>
      <c r="V1047" s="2">
        <v>47037015502</v>
      </c>
      <c r="W1047" s="2" t="s">
        <v>68</v>
      </c>
      <c r="X1047" s="1">
        <v>45658</v>
      </c>
      <c r="Y1047" s="2">
        <v>3300</v>
      </c>
      <c r="Z1047" s="2">
        <v>0</v>
      </c>
      <c r="AA1047" s="2">
        <v>3300</v>
      </c>
    </row>
    <row r="1048" spans="1:27" x14ac:dyDescent="0.3">
      <c r="A1048" s="3">
        <v>15</v>
      </c>
      <c r="B1048" s="2" t="str">
        <f>"09614015500"</f>
        <v>09614015500</v>
      </c>
      <c r="C1048" s="2" t="s">
        <v>3918</v>
      </c>
      <c r="D1048" t="s">
        <v>29</v>
      </c>
      <c r="E1048" s="2" t="s">
        <v>30</v>
      </c>
      <c r="F1048" s="2">
        <v>37214</v>
      </c>
      <c r="G1048" s="2" t="s">
        <v>64</v>
      </c>
      <c r="H1048" t="s">
        <v>2687</v>
      </c>
      <c r="I1048" s="6">
        <v>33113</v>
      </c>
      <c r="J1048" s="2" t="s">
        <v>3919</v>
      </c>
      <c r="K1048" s="2">
        <v>70000</v>
      </c>
      <c r="L1048" t="s">
        <v>2689</v>
      </c>
      <c r="M1048" t="s">
        <v>29</v>
      </c>
      <c r="N1048" t="s">
        <v>30</v>
      </c>
      <c r="O1048">
        <v>37214</v>
      </c>
      <c r="P1048" t="s">
        <v>3920</v>
      </c>
      <c r="Q1048" s="2">
        <v>0.28000000000000003</v>
      </c>
      <c r="R1048" s="2">
        <v>84</v>
      </c>
      <c r="S1048" s="2">
        <v>184</v>
      </c>
      <c r="T1048" t="s">
        <v>3921</v>
      </c>
      <c r="U1048" s="6">
        <v>23203</v>
      </c>
      <c r="V1048" s="2">
        <v>47037015502</v>
      </c>
      <c r="W1048" s="2" t="s">
        <v>68</v>
      </c>
      <c r="X1048" s="1">
        <v>45658</v>
      </c>
      <c r="Y1048" s="2">
        <v>3300</v>
      </c>
      <c r="Z1048" s="2">
        <v>0</v>
      </c>
      <c r="AA1048" s="2">
        <v>3300</v>
      </c>
    </row>
    <row r="1049" spans="1:27" x14ac:dyDescent="0.3">
      <c r="A1049" s="3">
        <v>15</v>
      </c>
      <c r="B1049" s="2" t="str">
        <f>"09614015400"</f>
        <v>09614015400</v>
      </c>
      <c r="C1049" s="2" t="s">
        <v>3922</v>
      </c>
      <c r="D1049" t="s">
        <v>29</v>
      </c>
      <c r="E1049" s="2" t="s">
        <v>30</v>
      </c>
      <c r="F1049" s="2">
        <v>37214</v>
      </c>
      <c r="G1049" s="2" t="s">
        <v>64</v>
      </c>
      <c r="H1049" t="s">
        <v>2687</v>
      </c>
      <c r="I1049" s="6">
        <v>33813</v>
      </c>
      <c r="J1049" s="2" t="s">
        <v>3923</v>
      </c>
      <c r="K1049" s="2" t="s">
        <v>34</v>
      </c>
      <c r="L1049" t="s">
        <v>2689</v>
      </c>
      <c r="M1049" t="s">
        <v>29</v>
      </c>
      <c r="N1049" t="s">
        <v>30</v>
      </c>
      <c r="O1049">
        <v>37214</v>
      </c>
      <c r="P1049" t="s">
        <v>3924</v>
      </c>
      <c r="Q1049" s="2">
        <v>0.27</v>
      </c>
      <c r="R1049" s="2">
        <v>85</v>
      </c>
      <c r="S1049" s="2">
        <v>180</v>
      </c>
      <c r="T1049" t="s">
        <v>3925</v>
      </c>
      <c r="U1049" s="6">
        <v>20666</v>
      </c>
      <c r="V1049" s="2">
        <v>47037015502</v>
      </c>
      <c r="W1049" s="2" t="s">
        <v>68</v>
      </c>
      <c r="X1049" s="1">
        <v>45658</v>
      </c>
      <c r="Y1049" s="2">
        <v>3300</v>
      </c>
      <c r="Z1049" s="2">
        <v>0</v>
      </c>
      <c r="AA1049" s="2">
        <v>3300</v>
      </c>
    </row>
    <row r="1050" spans="1:27" x14ac:dyDescent="0.3">
      <c r="A1050" s="3">
        <v>15</v>
      </c>
      <c r="B1050" s="2" t="str">
        <f>"09614013900"</f>
        <v>09614013900</v>
      </c>
      <c r="C1050" s="2" t="s">
        <v>3926</v>
      </c>
      <c r="D1050" t="s">
        <v>29</v>
      </c>
      <c r="E1050" s="2" t="s">
        <v>30</v>
      </c>
      <c r="F1050" s="2">
        <v>37214</v>
      </c>
      <c r="G1050" s="2" t="s">
        <v>64</v>
      </c>
      <c r="H1050" t="s">
        <v>2687</v>
      </c>
      <c r="I1050" s="6">
        <v>33784</v>
      </c>
      <c r="J1050" s="2" t="s">
        <v>3927</v>
      </c>
      <c r="K1050" s="2">
        <v>66000</v>
      </c>
      <c r="L1050" t="s">
        <v>2689</v>
      </c>
      <c r="M1050" t="s">
        <v>29</v>
      </c>
      <c r="N1050" t="s">
        <v>30</v>
      </c>
      <c r="O1050">
        <v>37214</v>
      </c>
      <c r="P1050" t="s">
        <v>3928</v>
      </c>
      <c r="Q1050" s="2">
        <v>0.34</v>
      </c>
      <c r="R1050" s="2">
        <v>100</v>
      </c>
      <c r="S1050" s="2">
        <v>120</v>
      </c>
      <c r="T1050" t="s">
        <v>3929</v>
      </c>
      <c r="U1050" s="6">
        <v>24058</v>
      </c>
      <c r="V1050" s="2">
        <v>47037015502</v>
      </c>
      <c r="W1050" s="2" t="s">
        <v>68</v>
      </c>
      <c r="X1050" s="1">
        <v>45658</v>
      </c>
      <c r="Y1050" s="2">
        <v>3300</v>
      </c>
      <c r="Z1050" s="2">
        <v>0</v>
      </c>
      <c r="AA1050" s="2">
        <v>3300</v>
      </c>
    </row>
    <row r="1051" spans="1:27" x14ac:dyDescent="0.3">
      <c r="A1051" s="3">
        <v>15</v>
      </c>
      <c r="B1051" s="2" t="str">
        <f>"09614024800"</f>
        <v>09614024800</v>
      </c>
      <c r="C1051" s="2" t="s">
        <v>3930</v>
      </c>
      <c r="D1051" t="s">
        <v>29</v>
      </c>
      <c r="E1051" s="2" t="s">
        <v>30</v>
      </c>
      <c r="F1051" s="2">
        <v>37214</v>
      </c>
      <c r="G1051" s="2" t="s">
        <v>64</v>
      </c>
      <c r="H1051" t="s">
        <v>2707</v>
      </c>
      <c r="I1051" s="6">
        <v>33149</v>
      </c>
      <c r="J1051" s="2" t="s">
        <v>3931</v>
      </c>
      <c r="K1051" s="2">
        <v>66000</v>
      </c>
      <c r="L1051" t="s">
        <v>2689</v>
      </c>
      <c r="M1051" t="s">
        <v>29</v>
      </c>
      <c r="N1051" t="s">
        <v>30</v>
      </c>
      <c r="O1051">
        <v>37214</v>
      </c>
      <c r="P1051" t="s">
        <v>3932</v>
      </c>
      <c r="Q1051" s="2">
        <v>0.21</v>
      </c>
      <c r="R1051" s="2">
        <v>70</v>
      </c>
      <c r="S1051" s="2">
        <v>137</v>
      </c>
      <c r="T1051" t="s">
        <v>3933</v>
      </c>
      <c r="U1051" s="6">
        <v>27235</v>
      </c>
      <c r="V1051" s="2">
        <v>47037015502</v>
      </c>
      <c r="W1051" s="2" t="s">
        <v>68</v>
      </c>
      <c r="X1051" s="1">
        <v>45658</v>
      </c>
      <c r="Y1051" s="2">
        <v>3300</v>
      </c>
      <c r="Z1051" s="2">
        <v>0</v>
      </c>
      <c r="AA1051" s="2">
        <v>3300</v>
      </c>
    </row>
    <row r="1052" spans="1:27" x14ac:dyDescent="0.3">
      <c r="A1052" s="3">
        <v>15</v>
      </c>
      <c r="B1052" s="2" t="str">
        <f>"09614024900"</f>
        <v>09614024900</v>
      </c>
      <c r="C1052" s="2" t="s">
        <v>3934</v>
      </c>
      <c r="D1052" t="s">
        <v>29</v>
      </c>
      <c r="E1052" s="2" t="s">
        <v>30</v>
      </c>
      <c r="F1052" s="2">
        <v>37214</v>
      </c>
      <c r="G1052" s="2" t="s">
        <v>64</v>
      </c>
      <c r="H1052" t="s">
        <v>2707</v>
      </c>
      <c r="I1052" s="6">
        <v>33228</v>
      </c>
      <c r="J1052" s="2" t="s">
        <v>3935</v>
      </c>
      <c r="K1052" s="2">
        <v>63000</v>
      </c>
      <c r="L1052" t="s">
        <v>2689</v>
      </c>
      <c r="M1052" t="s">
        <v>29</v>
      </c>
      <c r="N1052" t="s">
        <v>30</v>
      </c>
      <c r="O1052">
        <v>37214</v>
      </c>
      <c r="P1052" t="s">
        <v>3936</v>
      </c>
      <c r="Q1052" s="2">
        <v>0.2</v>
      </c>
      <c r="R1052" s="2">
        <v>80</v>
      </c>
      <c r="S1052" s="2">
        <v>137</v>
      </c>
      <c r="T1052" t="s">
        <v>3937</v>
      </c>
      <c r="U1052" s="6">
        <v>25465</v>
      </c>
      <c r="V1052" s="2">
        <v>47037015502</v>
      </c>
      <c r="W1052" s="2" t="s">
        <v>68</v>
      </c>
      <c r="X1052" s="1">
        <v>45658</v>
      </c>
      <c r="Y1052" s="2">
        <v>3300</v>
      </c>
      <c r="Z1052" s="2">
        <v>0</v>
      </c>
      <c r="AA1052" s="2">
        <v>3300</v>
      </c>
    </row>
    <row r="1053" spans="1:27" x14ac:dyDescent="0.3">
      <c r="A1053" s="3">
        <v>15</v>
      </c>
      <c r="B1053" s="2" t="str">
        <f>"09614028300"</f>
        <v>09614028300</v>
      </c>
      <c r="C1053" s="2" t="s">
        <v>3938</v>
      </c>
      <c r="D1053" t="s">
        <v>29</v>
      </c>
      <c r="E1053" s="2" t="s">
        <v>30</v>
      </c>
      <c r="F1053" s="2">
        <v>37214</v>
      </c>
      <c r="G1053" s="2" t="s">
        <v>64</v>
      </c>
      <c r="H1053" t="s">
        <v>2707</v>
      </c>
      <c r="I1053" s="6">
        <v>33122</v>
      </c>
      <c r="J1053" s="2" t="s">
        <v>3939</v>
      </c>
      <c r="K1053" s="2">
        <v>69000</v>
      </c>
      <c r="L1053" t="s">
        <v>2689</v>
      </c>
      <c r="M1053" t="s">
        <v>29</v>
      </c>
      <c r="N1053" t="s">
        <v>30</v>
      </c>
      <c r="O1053">
        <v>37214</v>
      </c>
      <c r="P1053" t="s">
        <v>3940</v>
      </c>
      <c r="Q1053" s="2">
        <v>0.23</v>
      </c>
      <c r="R1053" s="2">
        <v>72</v>
      </c>
      <c r="S1053" s="2">
        <v>140</v>
      </c>
      <c r="T1053" t="s">
        <v>3937</v>
      </c>
      <c r="U1053" s="6">
        <v>25465</v>
      </c>
      <c r="V1053" s="2">
        <v>47037015502</v>
      </c>
      <c r="W1053" s="2" t="s">
        <v>68</v>
      </c>
      <c r="X1053" s="1">
        <v>45658</v>
      </c>
      <c r="Y1053" s="2">
        <v>82000</v>
      </c>
      <c r="Z1053" s="2">
        <v>0</v>
      </c>
      <c r="AA1053" s="2">
        <v>82000</v>
      </c>
    </row>
    <row r="1054" spans="1:27" x14ac:dyDescent="0.3">
      <c r="A1054" s="3">
        <v>15</v>
      </c>
      <c r="B1054" s="2" t="str">
        <f>"09614025300"</f>
        <v>09614025300</v>
      </c>
      <c r="C1054" s="2" t="s">
        <v>3941</v>
      </c>
      <c r="D1054" t="s">
        <v>29</v>
      </c>
      <c r="E1054" s="2" t="s">
        <v>30</v>
      </c>
      <c r="F1054" s="2">
        <v>37214</v>
      </c>
      <c r="G1054" s="2" t="s">
        <v>64</v>
      </c>
      <c r="H1054" t="s">
        <v>2707</v>
      </c>
      <c r="I1054" s="6">
        <v>33186</v>
      </c>
      <c r="J1054" s="2" t="s">
        <v>3942</v>
      </c>
      <c r="K1054" s="2">
        <v>87000</v>
      </c>
      <c r="L1054" t="s">
        <v>2689</v>
      </c>
      <c r="M1054" t="s">
        <v>29</v>
      </c>
      <c r="N1054" t="s">
        <v>30</v>
      </c>
      <c r="O1054">
        <v>37214</v>
      </c>
      <c r="P1054" t="s">
        <v>3943</v>
      </c>
      <c r="Q1054" s="2">
        <v>0.22</v>
      </c>
      <c r="R1054" s="2">
        <v>60</v>
      </c>
      <c r="S1054" s="2">
        <v>136</v>
      </c>
      <c r="T1054" t="s">
        <v>3937</v>
      </c>
      <c r="U1054" s="6">
        <v>25465</v>
      </c>
      <c r="V1054" s="2">
        <v>47037015502</v>
      </c>
      <c r="W1054" s="2" t="s">
        <v>68</v>
      </c>
      <c r="X1054" s="1">
        <v>45658</v>
      </c>
      <c r="Y1054" s="2">
        <v>3300</v>
      </c>
      <c r="Z1054" s="2">
        <v>0</v>
      </c>
      <c r="AA1054" s="2">
        <v>3300</v>
      </c>
    </row>
    <row r="1055" spans="1:27" x14ac:dyDescent="0.3">
      <c r="A1055" s="3">
        <v>15</v>
      </c>
      <c r="B1055" s="2" t="str">
        <f>"09614028800"</f>
        <v>09614028800</v>
      </c>
      <c r="C1055" s="2" t="s">
        <v>3944</v>
      </c>
      <c r="D1055" t="s">
        <v>29</v>
      </c>
      <c r="E1055" s="2" t="s">
        <v>30</v>
      </c>
      <c r="F1055" s="2">
        <v>37214</v>
      </c>
      <c r="G1055" s="2" t="s">
        <v>64</v>
      </c>
      <c r="H1055" t="s">
        <v>2707</v>
      </c>
      <c r="I1055" s="6">
        <v>33197</v>
      </c>
      <c r="J1055" s="2" t="s">
        <v>3945</v>
      </c>
      <c r="K1055" s="2">
        <v>57500</v>
      </c>
      <c r="L1055" t="s">
        <v>2689</v>
      </c>
      <c r="M1055" t="s">
        <v>29</v>
      </c>
      <c r="N1055" t="s">
        <v>30</v>
      </c>
      <c r="O1055">
        <v>37214</v>
      </c>
      <c r="P1055" t="s">
        <v>3946</v>
      </c>
      <c r="Q1055" s="2">
        <v>0.1</v>
      </c>
      <c r="R1055" s="2">
        <v>35</v>
      </c>
      <c r="S1055" s="2">
        <v>111</v>
      </c>
      <c r="T1055" t="s">
        <v>3947</v>
      </c>
      <c r="U1055" s="6">
        <v>30929</v>
      </c>
      <c r="V1055" s="2">
        <v>47037015502</v>
      </c>
      <c r="W1055" s="2" t="s">
        <v>68</v>
      </c>
      <c r="X1055" s="1">
        <v>45658</v>
      </c>
      <c r="Y1055" s="2">
        <v>3300</v>
      </c>
      <c r="Z1055" s="2">
        <v>0</v>
      </c>
      <c r="AA1055" s="2">
        <v>3300</v>
      </c>
    </row>
    <row r="1056" spans="1:27" x14ac:dyDescent="0.3">
      <c r="A1056" s="3">
        <v>15</v>
      </c>
      <c r="B1056" s="2" t="str">
        <f>"09614025200"</f>
        <v>09614025200</v>
      </c>
      <c r="C1056" s="2" t="s">
        <v>3948</v>
      </c>
      <c r="D1056" t="s">
        <v>29</v>
      </c>
      <c r="E1056" s="2" t="s">
        <v>30</v>
      </c>
      <c r="F1056" s="2">
        <v>37214</v>
      </c>
      <c r="G1056" s="2" t="s">
        <v>64</v>
      </c>
      <c r="H1056" t="s">
        <v>2707</v>
      </c>
      <c r="I1056" s="6">
        <v>33193</v>
      </c>
      <c r="J1056" s="2" t="s">
        <v>3949</v>
      </c>
      <c r="K1056" s="2">
        <v>85000</v>
      </c>
      <c r="L1056" t="s">
        <v>2689</v>
      </c>
      <c r="M1056" t="s">
        <v>29</v>
      </c>
      <c r="N1056" t="s">
        <v>30</v>
      </c>
      <c r="O1056">
        <v>37214</v>
      </c>
      <c r="P1056" t="s">
        <v>3950</v>
      </c>
      <c r="Q1056" s="2">
        <v>0.28999999999999998</v>
      </c>
      <c r="R1056" s="2">
        <v>69</v>
      </c>
      <c r="S1056" s="2">
        <v>136</v>
      </c>
      <c r="T1056" t="s">
        <v>3937</v>
      </c>
      <c r="U1056" s="6">
        <v>25465</v>
      </c>
      <c r="V1056" s="2">
        <v>47037015502</v>
      </c>
      <c r="W1056" s="2" t="s">
        <v>68</v>
      </c>
      <c r="X1056" s="1">
        <v>45658</v>
      </c>
      <c r="Y1056" s="2">
        <v>3300</v>
      </c>
      <c r="Z1056" s="2">
        <v>0</v>
      </c>
      <c r="AA1056" s="2">
        <v>3300</v>
      </c>
    </row>
    <row r="1057" spans="1:27" x14ac:dyDescent="0.3">
      <c r="A1057" s="3">
        <v>15</v>
      </c>
      <c r="B1057" s="2" t="str">
        <f>"09614025400"</f>
        <v>09614025400</v>
      </c>
      <c r="C1057" s="2" t="s">
        <v>3951</v>
      </c>
      <c r="D1057" t="s">
        <v>29</v>
      </c>
      <c r="E1057" s="2" t="s">
        <v>30</v>
      </c>
      <c r="F1057" s="2">
        <v>37214</v>
      </c>
      <c r="G1057" s="2" t="s">
        <v>64</v>
      </c>
      <c r="H1057" t="s">
        <v>2707</v>
      </c>
      <c r="I1057" s="6">
        <v>33205</v>
      </c>
      <c r="J1057" s="2" t="s">
        <v>3952</v>
      </c>
      <c r="K1057" s="2">
        <v>80000</v>
      </c>
      <c r="L1057" t="s">
        <v>2689</v>
      </c>
      <c r="M1057" t="s">
        <v>29</v>
      </c>
      <c r="N1057" t="s">
        <v>30</v>
      </c>
      <c r="O1057">
        <v>37214</v>
      </c>
      <c r="P1057" t="s">
        <v>3953</v>
      </c>
      <c r="Q1057" s="2">
        <v>0.2</v>
      </c>
      <c r="R1057" s="2">
        <v>62</v>
      </c>
      <c r="S1057" s="2">
        <v>128</v>
      </c>
      <c r="T1057" t="s">
        <v>3954</v>
      </c>
      <c r="U1057" s="6">
        <v>26483</v>
      </c>
      <c r="V1057" s="2">
        <v>47037015502</v>
      </c>
      <c r="W1057" s="2" t="s">
        <v>68</v>
      </c>
      <c r="X1057" s="1">
        <v>45658</v>
      </c>
      <c r="Y1057" s="2">
        <v>3300</v>
      </c>
      <c r="Z1057" s="2">
        <v>0</v>
      </c>
      <c r="AA1057" s="2">
        <v>3300</v>
      </c>
    </row>
    <row r="1058" spans="1:27" x14ac:dyDescent="0.3">
      <c r="A1058" s="3">
        <v>15</v>
      </c>
      <c r="B1058" s="2" t="str">
        <f>"09614025000"</f>
        <v>09614025000</v>
      </c>
      <c r="C1058" s="2" t="s">
        <v>3955</v>
      </c>
      <c r="D1058" t="s">
        <v>29</v>
      </c>
      <c r="E1058" s="2" t="s">
        <v>30</v>
      </c>
      <c r="F1058" s="2">
        <v>37214</v>
      </c>
      <c r="G1058" s="2" t="s">
        <v>64</v>
      </c>
      <c r="H1058" t="s">
        <v>2707</v>
      </c>
      <c r="I1058" s="6">
        <v>33197</v>
      </c>
      <c r="J1058" s="2" t="s">
        <v>3956</v>
      </c>
      <c r="K1058" s="2">
        <v>56000</v>
      </c>
      <c r="L1058" t="s">
        <v>2689</v>
      </c>
      <c r="M1058" t="s">
        <v>29</v>
      </c>
      <c r="N1058" t="s">
        <v>30</v>
      </c>
      <c r="O1058">
        <v>37214</v>
      </c>
      <c r="P1058" t="s">
        <v>3957</v>
      </c>
      <c r="Q1058" s="2">
        <v>0.11</v>
      </c>
      <c r="R1058" s="2">
        <v>35</v>
      </c>
      <c r="S1058" s="2">
        <v>135</v>
      </c>
      <c r="T1058" t="s">
        <v>3947</v>
      </c>
      <c r="U1058" s="6">
        <v>30929</v>
      </c>
      <c r="V1058" s="2">
        <v>47037015502</v>
      </c>
      <c r="W1058" s="2" t="s">
        <v>68</v>
      </c>
      <c r="X1058" s="1">
        <v>45658</v>
      </c>
      <c r="Y1058" s="2">
        <v>3300</v>
      </c>
      <c r="Z1058" s="2">
        <v>0</v>
      </c>
      <c r="AA1058" s="2">
        <v>3300</v>
      </c>
    </row>
    <row r="1059" spans="1:27" x14ac:dyDescent="0.3">
      <c r="A1059" s="3">
        <v>15</v>
      </c>
      <c r="B1059" s="2" t="str">
        <f>"09614025500"</f>
        <v>09614025500</v>
      </c>
      <c r="C1059" s="2" t="s">
        <v>3958</v>
      </c>
      <c r="D1059" t="s">
        <v>29</v>
      </c>
      <c r="E1059" s="2" t="s">
        <v>30</v>
      </c>
      <c r="F1059" s="2">
        <v>37214</v>
      </c>
      <c r="G1059" s="2" t="s">
        <v>64</v>
      </c>
      <c r="H1059" t="s">
        <v>2707</v>
      </c>
      <c r="I1059" s="6">
        <v>33185</v>
      </c>
      <c r="J1059" s="2" t="s">
        <v>3959</v>
      </c>
      <c r="K1059" s="2">
        <v>72500</v>
      </c>
      <c r="L1059" t="s">
        <v>2689</v>
      </c>
      <c r="M1059" t="s">
        <v>29</v>
      </c>
      <c r="N1059" t="s">
        <v>30</v>
      </c>
      <c r="O1059">
        <v>37214</v>
      </c>
      <c r="P1059" t="s">
        <v>3960</v>
      </c>
      <c r="Q1059" s="2">
        <v>0.2</v>
      </c>
      <c r="R1059" s="2">
        <v>68</v>
      </c>
      <c r="S1059" s="2">
        <v>140</v>
      </c>
      <c r="T1059" t="s">
        <v>3961</v>
      </c>
      <c r="U1059" s="6">
        <v>26802</v>
      </c>
      <c r="V1059" s="2">
        <v>47037015502</v>
      </c>
      <c r="W1059" s="2" t="s">
        <v>68</v>
      </c>
      <c r="X1059" s="1">
        <v>45658</v>
      </c>
      <c r="Y1059" s="2">
        <v>3300</v>
      </c>
      <c r="Z1059" s="2">
        <v>0</v>
      </c>
      <c r="AA1059" s="2">
        <v>3300</v>
      </c>
    </row>
    <row r="1060" spans="1:27" x14ac:dyDescent="0.3">
      <c r="A1060" s="3">
        <v>15</v>
      </c>
      <c r="B1060" s="2" t="str">
        <f>"09614025600"</f>
        <v>09614025600</v>
      </c>
      <c r="C1060" s="2" t="s">
        <v>3962</v>
      </c>
      <c r="D1060" t="s">
        <v>29</v>
      </c>
      <c r="E1060" s="2" t="s">
        <v>30</v>
      </c>
      <c r="F1060" s="2">
        <v>37214</v>
      </c>
      <c r="G1060" s="2" t="s">
        <v>64</v>
      </c>
      <c r="H1060" t="s">
        <v>2707</v>
      </c>
      <c r="I1060" s="6">
        <v>33122</v>
      </c>
      <c r="J1060" s="2" t="s">
        <v>3963</v>
      </c>
      <c r="K1060" s="2">
        <v>85000</v>
      </c>
      <c r="L1060" t="s">
        <v>2689</v>
      </c>
      <c r="M1060" t="s">
        <v>29</v>
      </c>
      <c r="N1060" t="s">
        <v>30</v>
      </c>
      <c r="O1060">
        <v>37214</v>
      </c>
      <c r="P1060" t="s">
        <v>3964</v>
      </c>
      <c r="Q1060" s="2">
        <v>0.2</v>
      </c>
      <c r="R1060" s="2">
        <v>66</v>
      </c>
      <c r="S1060" s="2">
        <v>145</v>
      </c>
      <c r="T1060" t="s">
        <v>3965</v>
      </c>
      <c r="U1060" s="6">
        <v>26847</v>
      </c>
      <c r="V1060" s="2">
        <v>47037015502</v>
      </c>
      <c r="W1060" s="2" t="s">
        <v>68</v>
      </c>
      <c r="X1060" s="1">
        <v>45658</v>
      </c>
      <c r="Y1060" s="2">
        <v>82000</v>
      </c>
      <c r="Z1060" s="2">
        <v>0</v>
      </c>
      <c r="AA1060" s="2">
        <v>82000</v>
      </c>
    </row>
    <row r="1061" spans="1:27" x14ac:dyDescent="0.3">
      <c r="A1061" s="3">
        <v>15</v>
      </c>
      <c r="B1061" s="2" t="str">
        <f>"09614025700"</f>
        <v>09614025700</v>
      </c>
      <c r="C1061" s="2" t="s">
        <v>3966</v>
      </c>
      <c r="D1061" t="s">
        <v>29</v>
      </c>
      <c r="E1061" s="2" t="s">
        <v>30</v>
      </c>
      <c r="F1061" s="2">
        <v>37214</v>
      </c>
      <c r="G1061" s="2" t="s">
        <v>64</v>
      </c>
      <c r="H1061" t="s">
        <v>2707</v>
      </c>
      <c r="I1061" s="6">
        <v>33267</v>
      </c>
      <c r="J1061" s="2" t="s">
        <v>3967</v>
      </c>
      <c r="K1061" s="2">
        <v>74000</v>
      </c>
      <c r="L1061" t="s">
        <v>2689</v>
      </c>
      <c r="M1061" t="s">
        <v>29</v>
      </c>
      <c r="N1061" t="s">
        <v>30</v>
      </c>
      <c r="O1061">
        <v>37214</v>
      </c>
      <c r="P1061" t="s">
        <v>3968</v>
      </c>
      <c r="Q1061" s="2">
        <v>0.22</v>
      </c>
      <c r="R1061" s="2">
        <v>64</v>
      </c>
      <c r="S1061" s="2">
        <v>150</v>
      </c>
      <c r="T1061" t="s">
        <v>3969</v>
      </c>
      <c r="U1061" s="6">
        <v>26261</v>
      </c>
      <c r="V1061" s="2">
        <v>47037015502</v>
      </c>
      <c r="W1061" s="2" t="s">
        <v>68</v>
      </c>
      <c r="X1061" s="1">
        <v>45658</v>
      </c>
      <c r="Y1061" s="2">
        <v>82000</v>
      </c>
      <c r="Z1061" s="2">
        <v>0</v>
      </c>
      <c r="AA1061" s="2">
        <v>82000</v>
      </c>
    </row>
    <row r="1062" spans="1:27" x14ac:dyDescent="0.3">
      <c r="A1062" s="3">
        <v>15</v>
      </c>
      <c r="B1062" s="2" t="str">
        <f>"09614028900"</f>
        <v>09614028900</v>
      </c>
      <c r="C1062" s="2" t="s">
        <v>3970</v>
      </c>
      <c r="D1062" t="s">
        <v>29</v>
      </c>
      <c r="E1062" s="2" t="s">
        <v>30</v>
      </c>
      <c r="F1062" s="2">
        <v>37214</v>
      </c>
      <c r="G1062" s="2" t="s">
        <v>64</v>
      </c>
      <c r="H1062" t="s">
        <v>2707</v>
      </c>
      <c r="I1062" s="6">
        <v>33175</v>
      </c>
      <c r="J1062" s="2" t="s">
        <v>3971</v>
      </c>
      <c r="K1062" s="2">
        <v>53000</v>
      </c>
      <c r="L1062" t="s">
        <v>2689</v>
      </c>
      <c r="M1062" t="s">
        <v>29</v>
      </c>
      <c r="N1062" t="s">
        <v>30</v>
      </c>
      <c r="O1062">
        <v>37214</v>
      </c>
      <c r="P1062" t="s">
        <v>3972</v>
      </c>
      <c r="Q1062" s="2">
        <v>0.14000000000000001</v>
      </c>
      <c r="R1062" s="2">
        <v>35</v>
      </c>
      <c r="S1062" s="2">
        <v>158</v>
      </c>
      <c r="T1062" t="s">
        <v>3973</v>
      </c>
      <c r="U1062" s="6">
        <v>31162</v>
      </c>
      <c r="V1062" s="2">
        <v>47037015502</v>
      </c>
      <c r="W1062" s="2" t="s">
        <v>68</v>
      </c>
      <c r="X1062" s="1">
        <v>45658</v>
      </c>
      <c r="Y1062" s="2">
        <v>3300</v>
      </c>
      <c r="Z1062" s="2">
        <v>0</v>
      </c>
      <c r="AA1062" s="2">
        <v>3300</v>
      </c>
    </row>
    <row r="1063" spans="1:27" x14ac:dyDescent="0.3">
      <c r="A1063" s="3">
        <v>15</v>
      </c>
      <c r="B1063" s="2" t="str">
        <f>"09614028700"</f>
        <v>09614028700</v>
      </c>
      <c r="C1063" s="2" t="s">
        <v>3974</v>
      </c>
      <c r="D1063" t="s">
        <v>29</v>
      </c>
      <c r="E1063" s="2" t="s">
        <v>30</v>
      </c>
      <c r="F1063" s="2">
        <v>37214</v>
      </c>
      <c r="G1063" s="2" t="s">
        <v>64</v>
      </c>
      <c r="H1063" t="s">
        <v>2707</v>
      </c>
      <c r="I1063" s="6">
        <v>33212</v>
      </c>
      <c r="J1063" s="2" t="s">
        <v>3975</v>
      </c>
      <c r="K1063" s="2">
        <v>65500</v>
      </c>
      <c r="L1063" t="s">
        <v>2689</v>
      </c>
      <c r="M1063" t="s">
        <v>29</v>
      </c>
      <c r="N1063" t="s">
        <v>30</v>
      </c>
      <c r="O1063">
        <v>37214</v>
      </c>
      <c r="P1063" t="s">
        <v>3976</v>
      </c>
      <c r="Q1063" s="2">
        <v>0.13</v>
      </c>
      <c r="R1063" s="2">
        <v>34</v>
      </c>
      <c r="S1063" s="2">
        <v>108</v>
      </c>
      <c r="T1063" t="s">
        <v>3947</v>
      </c>
      <c r="U1063" s="6">
        <v>30929</v>
      </c>
      <c r="V1063" s="2">
        <v>47037015502</v>
      </c>
      <c r="W1063" s="2" t="s">
        <v>68</v>
      </c>
      <c r="X1063" s="1">
        <v>45658</v>
      </c>
      <c r="Y1063" s="2">
        <v>3300</v>
      </c>
      <c r="Z1063" s="2">
        <v>0</v>
      </c>
      <c r="AA1063" s="2">
        <v>3300</v>
      </c>
    </row>
    <row r="1064" spans="1:27" x14ac:dyDescent="0.3">
      <c r="A1064" s="3">
        <v>15</v>
      </c>
      <c r="B1064" s="2" t="str">
        <f>"09614025100"</f>
        <v>09614025100</v>
      </c>
      <c r="C1064" s="2" t="s">
        <v>3977</v>
      </c>
      <c r="D1064" t="s">
        <v>29</v>
      </c>
      <c r="E1064" s="2" t="s">
        <v>30</v>
      </c>
      <c r="F1064" s="2">
        <v>37214</v>
      </c>
      <c r="G1064" s="2" t="s">
        <v>64</v>
      </c>
      <c r="H1064" t="s">
        <v>2707</v>
      </c>
      <c r="I1064" s="6">
        <v>33212</v>
      </c>
      <c r="J1064" s="2" t="s">
        <v>3978</v>
      </c>
      <c r="K1064" s="2">
        <v>55000</v>
      </c>
      <c r="L1064" t="s">
        <v>2689</v>
      </c>
      <c r="M1064" t="s">
        <v>29</v>
      </c>
      <c r="N1064" t="s">
        <v>30</v>
      </c>
      <c r="O1064">
        <v>37214</v>
      </c>
      <c r="P1064" t="s">
        <v>3979</v>
      </c>
      <c r="Q1064" s="2">
        <v>0.17</v>
      </c>
      <c r="R1064" s="2">
        <v>49</v>
      </c>
      <c r="S1064" s="2">
        <v>122</v>
      </c>
      <c r="T1064" t="s">
        <v>3947</v>
      </c>
      <c r="U1064" s="6">
        <v>30929</v>
      </c>
      <c r="V1064" s="2">
        <v>47037015502</v>
      </c>
      <c r="W1064" s="2" t="s">
        <v>68</v>
      </c>
      <c r="X1064" s="1">
        <v>45658</v>
      </c>
      <c r="Y1064" s="2">
        <v>3300</v>
      </c>
      <c r="Z1064" s="2">
        <v>0</v>
      </c>
      <c r="AA1064" s="2">
        <v>3300</v>
      </c>
    </row>
    <row r="1065" spans="1:27" x14ac:dyDescent="0.3">
      <c r="A1065" s="3">
        <v>15</v>
      </c>
      <c r="B1065" s="2" t="str">
        <f>"09614025800"</f>
        <v>09614025800</v>
      </c>
      <c r="C1065" s="2" t="s">
        <v>3980</v>
      </c>
      <c r="D1065" t="s">
        <v>29</v>
      </c>
      <c r="E1065" s="2" t="s">
        <v>30</v>
      </c>
      <c r="F1065" s="2">
        <v>37214</v>
      </c>
      <c r="G1065" s="2" t="s">
        <v>64</v>
      </c>
      <c r="H1065" t="s">
        <v>2707</v>
      </c>
      <c r="I1065" s="6">
        <v>33225</v>
      </c>
      <c r="J1065" s="2" t="s">
        <v>3981</v>
      </c>
      <c r="K1065" s="2">
        <v>70000</v>
      </c>
      <c r="L1065" t="s">
        <v>2689</v>
      </c>
      <c r="M1065" t="s">
        <v>29</v>
      </c>
      <c r="N1065" t="s">
        <v>30</v>
      </c>
      <c r="O1065">
        <v>37214</v>
      </c>
      <c r="P1065" t="s">
        <v>3982</v>
      </c>
      <c r="Q1065" s="2">
        <v>0.2</v>
      </c>
      <c r="R1065" s="2">
        <v>67</v>
      </c>
      <c r="S1065" s="2">
        <v>150</v>
      </c>
      <c r="T1065" t="s">
        <v>3983</v>
      </c>
      <c r="U1065" s="6">
        <v>26144</v>
      </c>
      <c r="V1065" s="2">
        <v>47037015502</v>
      </c>
      <c r="W1065" s="2" t="s">
        <v>68</v>
      </c>
      <c r="X1065" s="1">
        <v>45658</v>
      </c>
      <c r="Y1065" s="2">
        <v>82000</v>
      </c>
      <c r="Z1065" s="2">
        <v>0</v>
      </c>
      <c r="AA1065" s="2">
        <v>82000</v>
      </c>
    </row>
    <row r="1066" spans="1:27" x14ac:dyDescent="0.3">
      <c r="A1066" s="3">
        <v>15</v>
      </c>
      <c r="B1066" s="2" t="str">
        <f>"09614028600"</f>
        <v>09614028600</v>
      </c>
      <c r="C1066" s="2" t="s">
        <v>3970</v>
      </c>
      <c r="D1066" t="s">
        <v>29</v>
      </c>
      <c r="E1066" s="2" t="s">
        <v>30</v>
      </c>
      <c r="F1066" s="2">
        <v>37214</v>
      </c>
      <c r="G1066" s="2" t="s">
        <v>64</v>
      </c>
      <c r="H1066" t="s">
        <v>2707</v>
      </c>
      <c r="I1066" s="6">
        <v>33175</v>
      </c>
      <c r="J1066" s="2" t="s">
        <v>3984</v>
      </c>
      <c r="K1066" s="2">
        <v>55000</v>
      </c>
      <c r="L1066" t="s">
        <v>2689</v>
      </c>
      <c r="M1066" t="s">
        <v>29</v>
      </c>
      <c r="N1066" t="s">
        <v>30</v>
      </c>
      <c r="O1066">
        <v>37214</v>
      </c>
      <c r="P1066" t="s">
        <v>3985</v>
      </c>
      <c r="Q1066" s="2">
        <v>0.12</v>
      </c>
      <c r="R1066" s="2">
        <v>35</v>
      </c>
      <c r="S1066" s="2">
        <v>142</v>
      </c>
      <c r="T1066" t="s">
        <v>3973</v>
      </c>
      <c r="U1066" s="6">
        <v>31162</v>
      </c>
      <c r="V1066" s="2">
        <v>47037015502</v>
      </c>
      <c r="W1066" s="2" t="s">
        <v>68</v>
      </c>
      <c r="X1066" s="1">
        <v>45658</v>
      </c>
      <c r="Y1066" s="2">
        <v>3300</v>
      </c>
      <c r="Z1066" s="2">
        <v>0</v>
      </c>
      <c r="AA1066" s="2">
        <v>3300</v>
      </c>
    </row>
    <row r="1067" spans="1:27" x14ac:dyDescent="0.3">
      <c r="A1067" s="3">
        <v>15</v>
      </c>
      <c r="B1067" s="2" t="str">
        <f>"09615009400"</f>
        <v>09615009400</v>
      </c>
      <c r="C1067" s="2" t="s">
        <v>3986</v>
      </c>
      <c r="D1067" t="s">
        <v>29</v>
      </c>
      <c r="E1067" s="2" t="s">
        <v>30</v>
      </c>
      <c r="F1067" s="2">
        <v>37214</v>
      </c>
      <c r="G1067" s="2" t="s">
        <v>64</v>
      </c>
      <c r="H1067" t="s">
        <v>2707</v>
      </c>
      <c r="I1067" s="6">
        <v>33336</v>
      </c>
      <c r="J1067" s="2" t="s">
        <v>3987</v>
      </c>
      <c r="K1067" s="2">
        <v>14000</v>
      </c>
      <c r="L1067" t="s">
        <v>2689</v>
      </c>
      <c r="M1067" t="s">
        <v>29</v>
      </c>
      <c r="N1067" t="s">
        <v>30</v>
      </c>
      <c r="O1067">
        <v>37214</v>
      </c>
      <c r="P1067" t="s">
        <v>3988</v>
      </c>
      <c r="Q1067" s="2">
        <v>0.34</v>
      </c>
      <c r="R1067" s="2">
        <v>90</v>
      </c>
      <c r="S1067" s="2">
        <v>156</v>
      </c>
      <c r="T1067" t="s">
        <v>3989</v>
      </c>
      <c r="U1067" s="6">
        <v>22116</v>
      </c>
      <c r="V1067" s="2">
        <v>47037015502</v>
      </c>
      <c r="W1067" s="2" t="s">
        <v>68</v>
      </c>
      <c r="X1067" s="1">
        <v>45658</v>
      </c>
      <c r="Y1067" s="2">
        <v>3300</v>
      </c>
      <c r="Z1067" s="2">
        <v>0</v>
      </c>
      <c r="AA1067" s="2">
        <v>3300</v>
      </c>
    </row>
    <row r="1068" spans="1:27" x14ac:dyDescent="0.3">
      <c r="A1068" s="3">
        <v>15</v>
      </c>
      <c r="B1068" s="2" t="str">
        <f>"09614025900"</f>
        <v>09614025900</v>
      </c>
      <c r="C1068" s="2" t="s">
        <v>3990</v>
      </c>
      <c r="D1068" t="s">
        <v>29</v>
      </c>
      <c r="E1068" s="2" t="s">
        <v>30</v>
      </c>
      <c r="F1068" s="2">
        <v>37214</v>
      </c>
      <c r="G1068" s="2" t="s">
        <v>64</v>
      </c>
      <c r="H1068" t="s">
        <v>2707</v>
      </c>
      <c r="I1068" s="6">
        <v>33324</v>
      </c>
      <c r="J1068" s="2" t="s">
        <v>3991</v>
      </c>
      <c r="K1068" s="2">
        <v>84500</v>
      </c>
      <c r="L1068" t="s">
        <v>2689</v>
      </c>
      <c r="M1068" t="s">
        <v>29</v>
      </c>
      <c r="N1068" t="s">
        <v>30</v>
      </c>
      <c r="O1068">
        <v>37214</v>
      </c>
      <c r="P1068" t="s">
        <v>3992</v>
      </c>
      <c r="Q1068" s="2">
        <v>0.34</v>
      </c>
      <c r="R1068" s="2">
        <v>92</v>
      </c>
      <c r="S1068" s="2">
        <v>123</v>
      </c>
      <c r="T1068" t="s">
        <v>3993</v>
      </c>
      <c r="U1068" s="6">
        <v>26233</v>
      </c>
      <c r="V1068" s="2">
        <v>47037015502</v>
      </c>
      <c r="W1068" s="2" t="s">
        <v>68</v>
      </c>
      <c r="X1068" s="1">
        <v>45658</v>
      </c>
      <c r="Y1068" s="2">
        <v>3300</v>
      </c>
      <c r="Z1068" s="2">
        <v>0</v>
      </c>
      <c r="AA1068" s="2">
        <v>3300</v>
      </c>
    </row>
    <row r="1069" spans="1:27" x14ac:dyDescent="0.3">
      <c r="A1069" s="3">
        <v>15</v>
      </c>
      <c r="B1069" s="2" t="str">
        <f>"09615008600"</f>
        <v>09615008600</v>
      </c>
      <c r="C1069" s="2" t="s">
        <v>3994</v>
      </c>
      <c r="D1069" t="s">
        <v>29</v>
      </c>
      <c r="E1069" s="2" t="s">
        <v>30</v>
      </c>
      <c r="F1069" s="2">
        <v>37214</v>
      </c>
      <c r="G1069" s="2" t="s">
        <v>64</v>
      </c>
      <c r="H1069" t="s">
        <v>2707</v>
      </c>
      <c r="I1069" s="6">
        <v>33336</v>
      </c>
      <c r="J1069" s="2" t="s">
        <v>3995</v>
      </c>
      <c r="K1069" s="2">
        <v>86000</v>
      </c>
      <c r="L1069" t="s">
        <v>2689</v>
      </c>
      <c r="M1069" t="s">
        <v>29</v>
      </c>
      <c r="N1069" t="s">
        <v>30</v>
      </c>
      <c r="O1069">
        <v>37214</v>
      </c>
      <c r="P1069" t="s">
        <v>3996</v>
      </c>
      <c r="Q1069" s="2">
        <v>1</v>
      </c>
      <c r="R1069" s="2">
        <v>250</v>
      </c>
      <c r="S1069" s="2">
        <v>147</v>
      </c>
      <c r="T1069" t="s">
        <v>3997</v>
      </c>
      <c r="U1069" s="6">
        <v>22825</v>
      </c>
      <c r="V1069" s="2">
        <v>47037015502</v>
      </c>
      <c r="W1069" s="2" t="s">
        <v>68</v>
      </c>
      <c r="X1069" s="1">
        <v>45658</v>
      </c>
      <c r="Y1069" s="2">
        <v>3300</v>
      </c>
      <c r="Z1069" s="2">
        <v>0</v>
      </c>
      <c r="AA1069" s="2">
        <v>3300</v>
      </c>
    </row>
    <row r="1070" spans="1:27" x14ac:dyDescent="0.3">
      <c r="A1070" s="3">
        <v>15</v>
      </c>
      <c r="B1070" s="2" t="str">
        <f>"09614028500"</f>
        <v>09614028500</v>
      </c>
      <c r="C1070" s="2" t="s">
        <v>3998</v>
      </c>
      <c r="D1070" t="s">
        <v>29</v>
      </c>
      <c r="E1070" s="2" t="s">
        <v>30</v>
      </c>
      <c r="F1070" s="2">
        <v>37214</v>
      </c>
      <c r="G1070" s="2" t="s">
        <v>64</v>
      </c>
      <c r="H1070" t="s">
        <v>2707</v>
      </c>
      <c r="I1070" s="6">
        <v>33175</v>
      </c>
      <c r="J1070" s="2" t="s">
        <v>3999</v>
      </c>
      <c r="K1070" s="2">
        <v>72000</v>
      </c>
      <c r="L1070" t="s">
        <v>2689</v>
      </c>
      <c r="M1070" t="s">
        <v>29</v>
      </c>
      <c r="N1070" t="s">
        <v>30</v>
      </c>
      <c r="O1070">
        <v>37214</v>
      </c>
      <c r="P1070" t="s">
        <v>4000</v>
      </c>
      <c r="Q1070" s="2">
        <v>0.48</v>
      </c>
      <c r="R1070" s="2">
        <v>334</v>
      </c>
      <c r="S1070" s="2">
        <v>140</v>
      </c>
      <c r="T1070" t="s">
        <v>4001</v>
      </c>
      <c r="U1070" s="6">
        <v>30886</v>
      </c>
      <c r="V1070" s="2">
        <v>47037015502</v>
      </c>
      <c r="W1070" s="2" t="s">
        <v>68</v>
      </c>
      <c r="X1070" s="1">
        <v>45658</v>
      </c>
      <c r="Y1070" s="2">
        <v>3300</v>
      </c>
      <c r="Z1070" s="2">
        <v>0</v>
      </c>
      <c r="AA1070" s="2">
        <v>3300</v>
      </c>
    </row>
    <row r="1071" spans="1:27" x14ac:dyDescent="0.3">
      <c r="A1071" s="3">
        <v>15</v>
      </c>
      <c r="B1071" s="2" t="str">
        <f>"09615010500"</f>
        <v>09615010500</v>
      </c>
      <c r="C1071" s="2" t="s">
        <v>4002</v>
      </c>
      <c r="D1071" t="s">
        <v>29</v>
      </c>
      <c r="E1071" s="2" t="s">
        <v>30</v>
      </c>
      <c r="F1071" s="2">
        <v>37214</v>
      </c>
      <c r="G1071" s="2" t="s">
        <v>64</v>
      </c>
      <c r="H1071" t="s">
        <v>2707</v>
      </c>
      <c r="I1071" s="6">
        <v>33301</v>
      </c>
      <c r="J1071" s="2" t="s">
        <v>4003</v>
      </c>
      <c r="K1071" s="2">
        <v>81000</v>
      </c>
      <c r="L1071" t="s">
        <v>2689</v>
      </c>
      <c r="M1071" t="s">
        <v>29</v>
      </c>
      <c r="N1071" t="s">
        <v>30</v>
      </c>
      <c r="O1071">
        <v>37214</v>
      </c>
      <c r="P1071" t="s">
        <v>4004</v>
      </c>
      <c r="Q1071" s="2">
        <v>0.32</v>
      </c>
      <c r="R1071" s="2">
        <v>117</v>
      </c>
      <c r="S1071" s="2">
        <v>114</v>
      </c>
      <c r="T1071" t="s">
        <v>4005</v>
      </c>
      <c r="U1071" s="6">
        <v>26855</v>
      </c>
      <c r="V1071" s="2">
        <v>47037015502</v>
      </c>
      <c r="W1071" s="2" t="s">
        <v>68</v>
      </c>
      <c r="X1071" s="1">
        <v>45658</v>
      </c>
      <c r="Y1071" s="2">
        <v>3300</v>
      </c>
      <c r="Z1071" s="2">
        <v>0</v>
      </c>
      <c r="AA1071" s="2">
        <v>3300</v>
      </c>
    </row>
    <row r="1072" spans="1:27" x14ac:dyDescent="0.3">
      <c r="A1072" s="3">
        <v>15</v>
      </c>
      <c r="B1072" s="2" t="str">
        <f>"10802010200"</f>
        <v>10802010200</v>
      </c>
      <c r="C1072" s="2" t="s">
        <v>4006</v>
      </c>
      <c r="D1072" t="s">
        <v>29</v>
      </c>
      <c r="E1072" s="2" t="s">
        <v>30</v>
      </c>
      <c r="F1072" s="2">
        <v>37214</v>
      </c>
      <c r="G1072" s="2" t="s">
        <v>64</v>
      </c>
      <c r="H1072" t="s">
        <v>2707</v>
      </c>
      <c r="I1072" s="6">
        <v>33102</v>
      </c>
      <c r="J1072" s="2" t="s">
        <v>4007</v>
      </c>
      <c r="K1072" s="2">
        <v>82000</v>
      </c>
      <c r="L1072" t="s">
        <v>2689</v>
      </c>
      <c r="M1072" t="s">
        <v>29</v>
      </c>
      <c r="N1072" t="s">
        <v>30</v>
      </c>
      <c r="O1072">
        <v>37214</v>
      </c>
      <c r="P1072" t="s">
        <v>4008</v>
      </c>
      <c r="Q1072" s="2">
        <v>0.38</v>
      </c>
      <c r="R1072" s="2">
        <v>130</v>
      </c>
      <c r="S1072" s="2">
        <v>179</v>
      </c>
      <c r="T1072" t="s">
        <v>3619</v>
      </c>
      <c r="U1072" s="6">
        <v>35123</v>
      </c>
      <c r="V1072" s="2">
        <v>47037015502</v>
      </c>
      <c r="W1072" s="2" t="s">
        <v>68</v>
      </c>
      <c r="X1072" s="1">
        <v>45658</v>
      </c>
      <c r="Y1072" s="2">
        <v>3300</v>
      </c>
      <c r="Z1072" s="2">
        <v>0</v>
      </c>
      <c r="AA1072" s="2">
        <v>3300</v>
      </c>
    </row>
    <row r="1073" spans="1:27" x14ac:dyDescent="0.3">
      <c r="A1073" s="3">
        <v>15</v>
      </c>
      <c r="B1073" s="2" t="str">
        <f>"10802010400"</f>
        <v>10802010400</v>
      </c>
      <c r="C1073" s="2" t="s">
        <v>4009</v>
      </c>
      <c r="D1073" t="s">
        <v>29</v>
      </c>
      <c r="E1073" s="2" t="s">
        <v>30</v>
      </c>
      <c r="F1073" s="2">
        <v>37214</v>
      </c>
      <c r="G1073" s="2" t="s">
        <v>64</v>
      </c>
      <c r="H1073" t="s">
        <v>2707</v>
      </c>
      <c r="I1073" s="6">
        <v>33102</v>
      </c>
      <c r="J1073" s="2" t="s">
        <v>4010</v>
      </c>
      <c r="K1073" s="2">
        <v>85500</v>
      </c>
      <c r="L1073" t="s">
        <v>2689</v>
      </c>
      <c r="M1073" t="s">
        <v>29</v>
      </c>
      <c r="N1073" t="s">
        <v>30</v>
      </c>
      <c r="O1073">
        <v>37214</v>
      </c>
      <c r="P1073" t="s">
        <v>4011</v>
      </c>
      <c r="Q1073" s="2">
        <v>0.32</v>
      </c>
      <c r="R1073" s="2">
        <v>60</v>
      </c>
      <c r="S1073" s="2">
        <v>232</v>
      </c>
      <c r="T1073" t="s">
        <v>4012</v>
      </c>
      <c r="U1073" s="6">
        <v>28844</v>
      </c>
      <c r="V1073" s="2">
        <v>47037015502</v>
      </c>
      <c r="W1073" s="2" t="s">
        <v>68</v>
      </c>
      <c r="X1073" s="1">
        <v>45658</v>
      </c>
      <c r="Y1073" s="2">
        <v>3300</v>
      </c>
      <c r="Z1073" s="2">
        <v>0</v>
      </c>
      <c r="AA1073" s="2">
        <v>3300</v>
      </c>
    </row>
    <row r="1074" spans="1:27" x14ac:dyDescent="0.3">
      <c r="A1074" s="3">
        <v>15</v>
      </c>
      <c r="B1074" s="2" t="str">
        <f>"10802010100"</f>
        <v>10802010100</v>
      </c>
      <c r="C1074" s="2" t="s">
        <v>4013</v>
      </c>
      <c r="D1074" t="s">
        <v>29</v>
      </c>
      <c r="E1074" s="2" t="s">
        <v>30</v>
      </c>
      <c r="F1074" s="2">
        <v>37214</v>
      </c>
      <c r="G1074" s="2" t="s">
        <v>64</v>
      </c>
      <c r="H1074" t="s">
        <v>2707</v>
      </c>
      <c r="I1074" s="6">
        <v>33043</v>
      </c>
      <c r="J1074" s="2" t="s">
        <v>4014</v>
      </c>
      <c r="K1074" s="2">
        <v>59500</v>
      </c>
      <c r="L1074" t="s">
        <v>2689</v>
      </c>
      <c r="M1074" t="s">
        <v>29</v>
      </c>
      <c r="N1074" t="s">
        <v>30</v>
      </c>
      <c r="O1074">
        <v>37214</v>
      </c>
      <c r="P1074" t="s">
        <v>4015</v>
      </c>
      <c r="Q1074" s="2">
        <v>0.45</v>
      </c>
      <c r="R1074" s="2">
        <v>75</v>
      </c>
      <c r="S1074" s="2">
        <v>295</v>
      </c>
      <c r="T1074" t="s">
        <v>4016</v>
      </c>
      <c r="U1074" s="6">
        <v>23678</v>
      </c>
      <c r="V1074" s="2">
        <v>47037015502</v>
      </c>
      <c r="W1074" s="2" t="s">
        <v>68</v>
      </c>
      <c r="X1074" s="1">
        <v>45658</v>
      </c>
      <c r="Y1074" s="2">
        <v>3300</v>
      </c>
      <c r="Z1074" s="2">
        <v>0</v>
      </c>
      <c r="AA1074" s="2">
        <v>3300</v>
      </c>
    </row>
    <row r="1075" spans="1:27" x14ac:dyDescent="0.3">
      <c r="A1075" s="3">
        <v>15</v>
      </c>
      <c r="B1075" s="2" t="str">
        <f>"10802010000"</f>
        <v>10802010000</v>
      </c>
      <c r="C1075" s="2" t="s">
        <v>4017</v>
      </c>
      <c r="D1075" t="s">
        <v>29</v>
      </c>
      <c r="E1075" s="2" t="s">
        <v>30</v>
      </c>
      <c r="F1075" s="2">
        <v>37214</v>
      </c>
      <c r="G1075" s="2" t="s">
        <v>64</v>
      </c>
      <c r="H1075" t="s">
        <v>2707</v>
      </c>
      <c r="I1075" s="6">
        <v>33091</v>
      </c>
      <c r="J1075" s="2" t="s">
        <v>4018</v>
      </c>
      <c r="K1075" s="2">
        <v>72500</v>
      </c>
      <c r="L1075" t="s">
        <v>2689</v>
      </c>
      <c r="M1075" t="s">
        <v>29</v>
      </c>
      <c r="N1075" t="s">
        <v>30</v>
      </c>
      <c r="O1075">
        <v>37214</v>
      </c>
      <c r="P1075" t="s">
        <v>4019</v>
      </c>
      <c r="Q1075" s="2">
        <v>0.53</v>
      </c>
      <c r="R1075" s="2">
        <v>75</v>
      </c>
      <c r="S1075" s="2">
        <v>355</v>
      </c>
      <c r="T1075" t="s">
        <v>4020</v>
      </c>
      <c r="U1075" s="6">
        <v>26093</v>
      </c>
      <c r="V1075" s="2">
        <v>47037015502</v>
      </c>
      <c r="W1075" s="2" t="s">
        <v>68</v>
      </c>
      <c r="X1075" s="1">
        <v>45658</v>
      </c>
      <c r="Y1075" s="2">
        <v>3300</v>
      </c>
      <c r="Z1075" s="2">
        <v>0</v>
      </c>
      <c r="AA1075" s="2">
        <v>3300</v>
      </c>
    </row>
    <row r="1076" spans="1:27" x14ac:dyDescent="0.3">
      <c r="A1076" s="3">
        <v>15</v>
      </c>
      <c r="B1076" s="2" t="str">
        <f>"10802009900"</f>
        <v>10802009900</v>
      </c>
      <c r="C1076" s="2" t="s">
        <v>4021</v>
      </c>
      <c r="D1076" t="s">
        <v>29</v>
      </c>
      <c r="E1076" s="2" t="s">
        <v>30</v>
      </c>
      <c r="F1076" s="2">
        <v>37214</v>
      </c>
      <c r="G1076" s="2" t="s">
        <v>64</v>
      </c>
      <c r="H1076" t="s">
        <v>2707</v>
      </c>
      <c r="I1076" s="6">
        <v>32996</v>
      </c>
      <c r="J1076" s="2" t="s">
        <v>4022</v>
      </c>
      <c r="K1076" s="2">
        <v>76500</v>
      </c>
      <c r="L1076" t="s">
        <v>2689</v>
      </c>
      <c r="M1076" t="s">
        <v>29</v>
      </c>
      <c r="N1076" t="s">
        <v>30</v>
      </c>
      <c r="O1076">
        <v>37214</v>
      </c>
      <c r="P1076" t="s">
        <v>4023</v>
      </c>
      <c r="Q1076" s="2">
        <v>0.63</v>
      </c>
      <c r="R1076" s="2">
        <v>75</v>
      </c>
      <c r="S1076" s="2">
        <v>409</v>
      </c>
      <c r="T1076" t="s">
        <v>4024</v>
      </c>
      <c r="U1076" s="6">
        <v>25455</v>
      </c>
      <c r="V1076" s="2">
        <v>47037015502</v>
      </c>
      <c r="W1076" s="2" t="s">
        <v>68</v>
      </c>
      <c r="X1076" s="1">
        <v>45658</v>
      </c>
      <c r="Y1076" s="2">
        <v>3300</v>
      </c>
      <c r="Z1076" s="2">
        <v>0</v>
      </c>
      <c r="AA1076" s="2">
        <v>3300</v>
      </c>
    </row>
    <row r="1077" spans="1:27" x14ac:dyDescent="0.3">
      <c r="A1077" s="3">
        <v>15</v>
      </c>
      <c r="B1077" s="2" t="str">
        <f>"10802009800"</f>
        <v>10802009800</v>
      </c>
      <c r="C1077" s="2" t="s">
        <v>4025</v>
      </c>
      <c r="D1077" t="s">
        <v>29</v>
      </c>
      <c r="E1077" s="2" t="s">
        <v>30</v>
      </c>
      <c r="F1077" s="2">
        <v>37214</v>
      </c>
      <c r="G1077" s="2" t="s">
        <v>64</v>
      </c>
      <c r="H1077" t="s">
        <v>2707</v>
      </c>
      <c r="I1077" s="6">
        <v>33070</v>
      </c>
      <c r="J1077" s="2" t="s">
        <v>4026</v>
      </c>
      <c r="K1077" s="2">
        <v>72000</v>
      </c>
      <c r="L1077" t="s">
        <v>2689</v>
      </c>
      <c r="M1077" t="s">
        <v>29</v>
      </c>
      <c r="N1077" t="s">
        <v>30</v>
      </c>
      <c r="O1077">
        <v>37214</v>
      </c>
      <c r="P1077" t="s">
        <v>4027</v>
      </c>
      <c r="Q1077" s="2">
        <v>0.65</v>
      </c>
      <c r="R1077" s="2">
        <v>75</v>
      </c>
      <c r="S1077" s="2">
        <v>409</v>
      </c>
      <c r="T1077" t="s">
        <v>4028</v>
      </c>
      <c r="U1077" s="6">
        <v>24728</v>
      </c>
      <c r="V1077" s="2">
        <v>47037015502</v>
      </c>
      <c r="W1077" s="2" t="s">
        <v>68</v>
      </c>
      <c r="X1077" s="1">
        <v>45658</v>
      </c>
      <c r="Y1077" s="2">
        <v>3300</v>
      </c>
      <c r="Z1077" s="2">
        <v>0</v>
      </c>
      <c r="AA1077" s="2">
        <v>3300</v>
      </c>
    </row>
    <row r="1078" spans="1:27" x14ac:dyDescent="0.3">
      <c r="A1078" s="3">
        <v>15</v>
      </c>
      <c r="B1078" s="2" t="str">
        <f>"10802009400"</f>
        <v>10802009400</v>
      </c>
      <c r="C1078" s="2" t="s">
        <v>4029</v>
      </c>
      <c r="D1078" t="s">
        <v>29</v>
      </c>
      <c r="E1078" s="2" t="s">
        <v>30</v>
      </c>
      <c r="F1078" s="2">
        <v>37214</v>
      </c>
      <c r="G1078" s="2" t="s">
        <v>64</v>
      </c>
      <c r="H1078" t="s">
        <v>2707</v>
      </c>
      <c r="I1078" s="6">
        <v>41985</v>
      </c>
      <c r="J1078" s="2" t="s">
        <v>4030</v>
      </c>
      <c r="K1078" s="2">
        <v>127700</v>
      </c>
      <c r="L1078" t="s">
        <v>2689</v>
      </c>
      <c r="M1078" t="s">
        <v>29</v>
      </c>
      <c r="N1078" t="s">
        <v>30</v>
      </c>
      <c r="O1078">
        <v>37214</v>
      </c>
      <c r="P1078" t="s">
        <v>4031</v>
      </c>
      <c r="Q1078" s="2">
        <v>1.61</v>
      </c>
      <c r="R1078" s="2">
        <v>198</v>
      </c>
      <c r="S1078" s="2">
        <v>431</v>
      </c>
      <c r="T1078" t="s">
        <v>4032</v>
      </c>
      <c r="U1078" s="6">
        <v>26112</v>
      </c>
      <c r="V1078" s="2">
        <v>47037015502</v>
      </c>
      <c r="W1078" s="2" t="s">
        <v>68</v>
      </c>
      <c r="X1078" s="1">
        <v>45658</v>
      </c>
      <c r="Y1078" s="2">
        <v>143300</v>
      </c>
      <c r="Z1078" s="2">
        <v>0</v>
      </c>
      <c r="AA1078" s="2">
        <v>143300</v>
      </c>
    </row>
    <row r="1079" spans="1:27" x14ac:dyDescent="0.3">
      <c r="A1079" s="3">
        <v>15</v>
      </c>
      <c r="B1079" s="2" t="str">
        <f>"10802009700"</f>
        <v>10802009700</v>
      </c>
      <c r="C1079" s="2" t="s">
        <v>4033</v>
      </c>
      <c r="D1079" t="s">
        <v>29</v>
      </c>
      <c r="E1079" s="2" t="s">
        <v>30</v>
      </c>
      <c r="F1079" s="2">
        <v>37214</v>
      </c>
      <c r="G1079" s="2" t="s">
        <v>64</v>
      </c>
      <c r="H1079" t="s">
        <v>2707</v>
      </c>
      <c r="I1079" s="6">
        <v>33067</v>
      </c>
      <c r="J1079" s="2" t="s">
        <v>4034</v>
      </c>
      <c r="K1079" s="2">
        <v>64000</v>
      </c>
      <c r="L1079" t="s">
        <v>2689</v>
      </c>
      <c r="M1079" t="s">
        <v>29</v>
      </c>
      <c r="N1079" t="s">
        <v>30</v>
      </c>
      <c r="O1079">
        <v>37214</v>
      </c>
      <c r="P1079" t="s">
        <v>4035</v>
      </c>
      <c r="Q1079" s="2">
        <v>0.57999999999999996</v>
      </c>
      <c r="R1079" s="2">
        <v>75</v>
      </c>
      <c r="S1079" s="2">
        <v>355</v>
      </c>
      <c r="T1079" t="s">
        <v>4036</v>
      </c>
      <c r="U1079" s="6">
        <v>26793</v>
      </c>
      <c r="V1079" s="2">
        <v>47037015502</v>
      </c>
      <c r="W1079" s="2" t="s">
        <v>68</v>
      </c>
      <c r="X1079" s="1">
        <v>45658</v>
      </c>
      <c r="Y1079" s="2">
        <v>3300</v>
      </c>
      <c r="Z1079" s="2">
        <v>0</v>
      </c>
      <c r="AA1079" s="2">
        <v>3300</v>
      </c>
    </row>
    <row r="1080" spans="1:27" x14ac:dyDescent="0.3">
      <c r="A1080" s="3">
        <v>15</v>
      </c>
      <c r="B1080" s="2" t="str">
        <f>"10802009600"</f>
        <v>10802009600</v>
      </c>
      <c r="C1080" s="2" t="s">
        <v>4037</v>
      </c>
      <c r="D1080" t="s">
        <v>29</v>
      </c>
      <c r="E1080" s="2" t="s">
        <v>30</v>
      </c>
      <c r="F1080" s="2">
        <v>37214</v>
      </c>
      <c r="G1080" s="2" t="s">
        <v>64</v>
      </c>
      <c r="H1080" t="s">
        <v>2707</v>
      </c>
      <c r="I1080" s="6">
        <v>33002</v>
      </c>
      <c r="J1080" s="2" t="s">
        <v>4038</v>
      </c>
      <c r="K1080" s="2">
        <v>62000</v>
      </c>
      <c r="L1080" t="s">
        <v>2689</v>
      </c>
      <c r="M1080" t="s">
        <v>29</v>
      </c>
      <c r="N1080" t="s">
        <v>30</v>
      </c>
      <c r="O1080">
        <v>37214</v>
      </c>
      <c r="P1080" t="s">
        <v>4039</v>
      </c>
      <c r="Q1080" s="2">
        <v>0.75</v>
      </c>
      <c r="R1080" s="2">
        <v>244</v>
      </c>
      <c r="S1080" s="2">
        <v>303</v>
      </c>
      <c r="T1080" t="s">
        <v>4040</v>
      </c>
      <c r="U1080" s="6">
        <v>24411</v>
      </c>
      <c r="V1080" s="2">
        <v>47037015502</v>
      </c>
      <c r="W1080" s="2" t="s">
        <v>68</v>
      </c>
      <c r="X1080" s="1">
        <v>45658</v>
      </c>
      <c r="Y1080" s="2">
        <v>3300</v>
      </c>
      <c r="Z1080" s="2">
        <v>0</v>
      </c>
      <c r="AA1080" s="2">
        <v>3300</v>
      </c>
    </row>
    <row r="1081" spans="1:27" x14ac:dyDescent="0.3">
      <c r="A1081" s="3">
        <v>15</v>
      </c>
      <c r="B1081" s="2" t="str">
        <f>"10802005600"</f>
        <v>10802005600</v>
      </c>
      <c r="C1081" s="2" t="s">
        <v>4041</v>
      </c>
      <c r="D1081" t="s">
        <v>29</v>
      </c>
      <c r="E1081" s="2" t="s">
        <v>30</v>
      </c>
      <c r="F1081" s="2">
        <v>37214</v>
      </c>
      <c r="G1081" s="2" t="s">
        <v>64</v>
      </c>
      <c r="H1081" t="s">
        <v>2707</v>
      </c>
      <c r="I1081" s="6">
        <v>33140</v>
      </c>
      <c r="J1081" s="2" t="s">
        <v>4042</v>
      </c>
      <c r="K1081" s="2">
        <v>53000</v>
      </c>
      <c r="L1081" t="s">
        <v>2689</v>
      </c>
      <c r="M1081" t="s">
        <v>29</v>
      </c>
      <c r="N1081" t="s">
        <v>30</v>
      </c>
      <c r="O1081">
        <v>37214</v>
      </c>
      <c r="P1081" t="s">
        <v>4043</v>
      </c>
      <c r="Q1081" s="2">
        <v>0.28999999999999998</v>
      </c>
      <c r="R1081" s="2">
        <v>75</v>
      </c>
      <c r="S1081" s="2">
        <v>125</v>
      </c>
      <c r="T1081" t="s">
        <v>4044</v>
      </c>
      <c r="U1081" s="6">
        <v>24683</v>
      </c>
      <c r="V1081" s="2">
        <v>47037015502</v>
      </c>
      <c r="W1081" s="2" t="s">
        <v>68</v>
      </c>
      <c r="X1081" s="1">
        <v>45658</v>
      </c>
      <c r="Y1081" s="2">
        <v>3300</v>
      </c>
      <c r="Z1081" s="2">
        <v>0</v>
      </c>
      <c r="AA1081" s="2">
        <v>3300</v>
      </c>
    </row>
    <row r="1082" spans="1:27" x14ac:dyDescent="0.3">
      <c r="A1082" s="3">
        <v>15</v>
      </c>
      <c r="B1082" s="2" t="str">
        <f>"10802005700"</f>
        <v>10802005700</v>
      </c>
      <c r="C1082" s="2" t="s">
        <v>4045</v>
      </c>
      <c r="D1082" t="s">
        <v>29</v>
      </c>
      <c r="E1082" s="2" t="s">
        <v>30</v>
      </c>
      <c r="F1082" s="2">
        <v>37214</v>
      </c>
      <c r="G1082" s="2" t="s">
        <v>64</v>
      </c>
      <c r="H1082" t="s">
        <v>2707</v>
      </c>
      <c r="I1082" s="6">
        <v>33135</v>
      </c>
      <c r="J1082" s="2" t="s">
        <v>4046</v>
      </c>
      <c r="K1082" s="2">
        <v>69000</v>
      </c>
      <c r="L1082" t="s">
        <v>2689</v>
      </c>
      <c r="M1082" t="s">
        <v>29</v>
      </c>
      <c r="N1082" t="s">
        <v>30</v>
      </c>
      <c r="O1082">
        <v>37214</v>
      </c>
      <c r="P1082" t="s">
        <v>4047</v>
      </c>
      <c r="Q1082" s="2">
        <v>0.25</v>
      </c>
      <c r="R1082" s="2">
        <v>81</v>
      </c>
      <c r="S1082" s="2">
        <v>199</v>
      </c>
      <c r="T1082" t="s">
        <v>4048</v>
      </c>
      <c r="U1082" s="6">
        <v>25314</v>
      </c>
      <c r="V1082" s="2">
        <v>47037015502</v>
      </c>
      <c r="W1082" s="2" t="s">
        <v>68</v>
      </c>
      <c r="X1082" s="1">
        <v>45658</v>
      </c>
      <c r="Y1082" s="2">
        <v>3300</v>
      </c>
      <c r="Z1082" s="2">
        <v>0</v>
      </c>
      <c r="AA1082" s="2">
        <v>3300</v>
      </c>
    </row>
    <row r="1083" spans="1:27" x14ac:dyDescent="0.3">
      <c r="A1083" s="3">
        <v>15</v>
      </c>
      <c r="B1083" s="2" t="str">
        <f>"10802009200"</f>
        <v>10802009200</v>
      </c>
      <c r="C1083" s="2" t="s">
        <v>4049</v>
      </c>
      <c r="D1083" t="s">
        <v>29</v>
      </c>
      <c r="E1083" s="2" t="s">
        <v>30</v>
      </c>
      <c r="F1083" s="2">
        <v>37214</v>
      </c>
      <c r="G1083" s="2" t="s">
        <v>64</v>
      </c>
      <c r="H1083" t="s">
        <v>2707</v>
      </c>
      <c r="I1083" s="6">
        <v>32932</v>
      </c>
      <c r="J1083" s="2" t="s">
        <v>4050</v>
      </c>
      <c r="K1083" s="2">
        <v>77000</v>
      </c>
      <c r="L1083" t="s">
        <v>2689</v>
      </c>
      <c r="M1083" t="s">
        <v>29</v>
      </c>
      <c r="N1083" t="s">
        <v>30</v>
      </c>
      <c r="O1083">
        <v>37214</v>
      </c>
      <c r="P1083" t="s">
        <v>4051</v>
      </c>
      <c r="Q1083" s="2">
        <v>0.97</v>
      </c>
      <c r="R1083" s="2">
        <v>60</v>
      </c>
      <c r="S1083" s="2">
        <v>387</v>
      </c>
      <c r="T1083" t="s">
        <v>4052</v>
      </c>
      <c r="U1083" s="6">
        <v>27257</v>
      </c>
      <c r="V1083" s="2">
        <v>47037015502</v>
      </c>
      <c r="W1083" s="2" t="s">
        <v>68</v>
      </c>
      <c r="X1083" s="1">
        <v>45658</v>
      </c>
      <c r="Y1083" s="2">
        <v>3300</v>
      </c>
      <c r="Z1083" s="2">
        <v>0</v>
      </c>
      <c r="AA1083" s="2">
        <v>3300</v>
      </c>
    </row>
    <row r="1084" spans="1:27" x14ac:dyDescent="0.3">
      <c r="A1084" s="3">
        <v>15</v>
      </c>
      <c r="B1084" s="2" t="str">
        <f>"10802005800"</f>
        <v>10802005800</v>
      </c>
      <c r="C1084" s="2" t="s">
        <v>4053</v>
      </c>
      <c r="D1084" t="s">
        <v>29</v>
      </c>
      <c r="E1084" s="2" t="s">
        <v>30</v>
      </c>
      <c r="F1084" s="2">
        <v>37214</v>
      </c>
      <c r="G1084" s="2" t="s">
        <v>64</v>
      </c>
      <c r="H1084" t="s">
        <v>2707</v>
      </c>
      <c r="I1084" s="6">
        <v>33323</v>
      </c>
      <c r="J1084" s="2" t="s">
        <v>4054</v>
      </c>
      <c r="K1084" s="2">
        <v>69000</v>
      </c>
      <c r="L1084" t="s">
        <v>2689</v>
      </c>
      <c r="M1084" t="s">
        <v>29</v>
      </c>
      <c r="N1084" t="s">
        <v>30</v>
      </c>
      <c r="O1084">
        <v>37214</v>
      </c>
      <c r="P1084" t="s">
        <v>4055</v>
      </c>
      <c r="Q1084" s="2">
        <v>0.28000000000000003</v>
      </c>
      <c r="R1084" s="2">
        <v>65</v>
      </c>
      <c r="S1084" s="2">
        <v>199</v>
      </c>
      <c r="T1084" t="s">
        <v>4056</v>
      </c>
      <c r="U1084" s="6">
        <v>25798</v>
      </c>
      <c r="V1084" s="2">
        <v>47037015502</v>
      </c>
      <c r="W1084" s="2" t="s">
        <v>68</v>
      </c>
      <c r="X1084" s="1">
        <v>45658</v>
      </c>
      <c r="Y1084" s="2">
        <v>3300</v>
      </c>
      <c r="Z1084" s="2">
        <v>0</v>
      </c>
      <c r="AA1084" s="2">
        <v>3300</v>
      </c>
    </row>
    <row r="1085" spans="1:27" x14ac:dyDescent="0.3">
      <c r="A1085" s="3">
        <v>15</v>
      </c>
      <c r="B1085" s="2" t="str">
        <f>"10802005500"</f>
        <v>10802005500</v>
      </c>
      <c r="C1085" s="2" t="s">
        <v>4057</v>
      </c>
      <c r="D1085" t="s">
        <v>29</v>
      </c>
      <c r="E1085" s="2" t="s">
        <v>30</v>
      </c>
      <c r="F1085" s="2">
        <v>37214</v>
      </c>
      <c r="G1085" s="2" t="s">
        <v>64</v>
      </c>
      <c r="H1085" t="s">
        <v>2707</v>
      </c>
      <c r="I1085" s="6">
        <v>33162</v>
      </c>
      <c r="J1085" s="2" t="s">
        <v>4058</v>
      </c>
      <c r="K1085" s="2">
        <v>65500</v>
      </c>
      <c r="L1085" t="s">
        <v>2689</v>
      </c>
      <c r="M1085" t="s">
        <v>29</v>
      </c>
      <c r="N1085" t="s">
        <v>30</v>
      </c>
      <c r="O1085">
        <v>37214</v>
      </c>
      <c r="P1085" t="s">
        <v>4059</v>
      </c>
      <c r="Q1085" s="2">
        <v>0.28999999999999998</v>
      </c>
      <c r="R1085" s="2">
        <v>80</v>
      </c>
      <c r="S1085" s="2">
        <v>167</v>
      </c>
      <c r="T1085" t="s">
        <v>4060</v>
      </c>
      <c r="U1085" s="6">
        <v>20667</v>
      </c>
      <c r="V1085" s="2">
        <v>47037015502</v>
      </c>
      <c r="W1085" s="2" t="s">
        <v>68</v>
      </c>
      <c r="X1085" s="1">
        <v>45658</v>
      </c>
      <c r="Y1085" s="2">
        <v>3300</v>
      </c>
      <c r="Z1085" s="2">
        <v>0</v>
      </c>
      <c r="AA1085" s="2">
        <v>3300</v>
      </c>
    </row>
    <row r="1086" spans="1:27" x14ac:dyDescent="0.3">
      <c r="A1086" s="3">
        <v>15</v>
      </c>
      <c r="B1086" s="2" t="str">
        <f>"10802005900"</f>
        <v>10802005900</v>
      </c>
      <c r="C1086" s="2" t="s">
        <v>4061</v>
      </c>
      <c r="D1086" t="s">
        <v>29</v>
      </c>
      <c r="E1086" s="2" t="s">
        <v>30</v>
      </c>
      <c r="F1086" s="2">
        <v>37214</v>
      </c>
      <c r="G1086" s="2" t="s">
        <v>64</v>
      </c>
      <c r="H1086" t="s">
        <v>2707</v>
      </c>
      <c r="I1086" s="6">
        <v>33164</v>
      </c>
      <c r="J1086" s="2" t="s">
        <v>4062</v>
      </c>
      <c r="K1086" s="2">
        <v>69000</v>
      </c>
      <c r="L1086" t="s">
        <v>2689</v>
      </c>
      <c r="M1086" t="s">
        <v>29</v>
      </c>
      <c r="N1086" t="s">
        <v>30</v>
      </c>
      <c r="O1086">
        <v>37214</v>
      </c>
      <c r="P1086" t="s">
        <v>4063</v>
      </c>
      <c r="Q1086" s="2">
        <v>0.44</v>
      </c>
      <c r="R1086" s="2">
        <v>99</v>
      </c>
      <c r="S1086" s="2">
        <v>197</v>
      </c>
      <c r="T1086" t="s">
        <v>4064</v>
      </c>
      <c r="U1086" s="6">
        <v>26828</v>
      </c>
      <c r="V1086" s="2">
        <v>47037015502</v>
      </c>
      <c r="W1086" s="2" t="s">
        <v>68</v>
      </c>
      <c r="X1086" s="1">
        <v>45658</v>
      </c>
      <c r="Y1086" s="2">
        <v>3300</v>
      </c>
      <c r="Z1086" s="2">
        <v>0</v>
      </c>
      <c r="AA1086" s="2">
        <v>3300</v>
      </c>
    </row>
    <row r="1087" spans="1:27" x14ac:dyDescent="0.3">
      <c r="A1087" s="3">
        <v>15</v>
      </c>
      <c r="B1087" s="2" t="str">
        <f>"10802006000"</f>
        <v>10802006000</v>
      </c>
      <c r="C1087" s="2" t="s">
        <v>4065</v>
      </c>
      <c r="D1087" t="s">
        <v>29</v>
      </c>
      <c r="E1087" s="2" t="s">
        <v>30</v>
      </c>
      <c r="F1087" s="2">
        <v>37214</v>
      </c>
      <c r="G1087" s="2" t="s">
        <v>64</v>
      </c>
      <c r="H1087" t="s">
        <v>2707</v>
      </c>
      <c r="I1087" s="6">
        <v>33186</v>
      </c>
      <c r="J1087" s="2" t="s">
        <v>4066</v>
      </c>
      <c r="K1087" s="2">
        <v>72500</v>
      </c>
      <c r="L1087" t="s">
        <v>2689</v>
      </c>
      <c r="M1087" t="s">
        <v>29</v>
      </c>
      <c r="N1087" t="s">
        <v>30</v>
      </c>
      <c r="O1087">
        <v>37214</v>
      </c>
      <c r="P1087" t="s">
        <v>4067</v>
      </c>
      <c r="Q1087" s="2">
        <v>0.43</v>
      </c>
      <c r="R1087" s="2">
        <v>101</v>
      </c>
      <c r="S1087" s="2">
        <v>193</v>
      </c>
      <c r="T1087" t="s">
        <v>4068</v>
      </c>
      <c r="U1087" s="6">
        <v>24726</v>
      </c>
      <c r="V1087" s="2">
        <v>47037015502</v>
      </c>
      <c r="W1087" s="2" t="s">
        <v>68</v>
      </c>
      <c r="X1087" s="1">
        <v>45658</v>
      </c>
      <c r="Y1087" s="2">
        <v>3300</v>
      </c>
      <c r="Z1087" s="2">
        <v>0</v>
      </c>
      <c r="AA1087" s="2">
        <v>3300</v>
      </c>
    </row>
    <row r="1088" spans="1:27" x14ac:dyDescent="0.3">
      <c r="A1088" s="3">
        <v>15</v>
      </c>
      <c r="B1088" s="2" t="str">
        <f>"10802005400"</f>
        <v>10802005400</v>
      </c>
      <c r="C1088" s="2" t="s">
        <v>4069</v>
      </c>
      <c r="D1088" t="s">
        <v>29</v>
      </c>
      <c r="E1088" s="2" t="s">
        <v>30</v>
      </c>
      <c r="F1088" s="2">
        <v>37214</v>
      </c>
      <c r="G1088" s="2" t="s">
        <v>64</v>
      </c>
      <c r="H1088" t="s">
        <v>2707</v>
      </c>
      <c r="I1088" s="6">
        <v>33219</v>
      </c>
      <c r="J1088" s="2" t="s">
        <v>4070</v>
      </c>
      <c r="K1088" s="2">
        <v>65000</v>
      </c>
      <c r="L1088" t="s">
        <v>2689</v>
      </c>
      <c r="M1088" t="s">
        <v>29</v>
      </c>
      <c r="N1088" t="s">
        <v>30</v>
      </c>
      <c r="O1088">
        <v>37214</v>
      </c>
      <c r="P1088" t="s">
        <v>4071</v>
      </c>
      <c r="Q1088" s="2">
        <v>0.67</v>
      </c>
      <c r="R1088" s="2">
        <v>130</v>
      </c>
      <c r="S1088" s="2">
        <v>198</v>
      </c>
      <c r="T1088" t="s">
        <v>4072</v>
      </c>
      <c r="U1088" s="6">
        <v>20920</v>
      </c>
      <c r="V1088" s="2">
        <v>47037015502</v>
      </c>
      <c r="W1088" s="2" t="s">
        <v>68</v>
      </c>
      <c r="X1088" s="1">
        <v>45658</v>
      </c>
      <c r="Y1088" s="2">
        <v>3300</v>
      </c>
      <c r="Z1088" s="2">
        <v>0</v>
      </c>
      <c r="AA1088" s="2">
        <v>3300</v>
      </c>
    </row>
    <row r="1089" spans="1:27" x14ac:dyDescent="0.3">
      <c r="A1089" s="3">
        <v>15</v>
      </c>
      <c r="B1089" s="2" t="str">
        <f>"10802009100"</f>
        <v>10802009100</v>
      </c>
      <c r="C1089" s="2" t="s">
        <v>4073</v>
      </c>
      <c r="D1089" t="s">
        <v>29</v>
      </c>
      <c r="E1089" s="2" t="s">
        <v>30</v>
      </c>
      <c r="F1089" s="2">
        <v>37214</v>
      </c>
      <c r="G1089" s="2" t="s">
        <v>64</v>
      </c>
      <c r="H1089" t="s">
        <v>2707</v>
      </c>
      <c r="I1089" s="6">
        <v>32899</v>
      </c>
      <c r="J1089" s="2" t="s">
        <v>4074</v>
      </c>
      <c r="K1089" s="2">
        <v>79500</v>
      </c>
      <c r="L1089" t="s">
        <v>2689</v>
      </c>
      <c r="M1089" t="s">
        <v>29</v>
      </c>
      <c r="N1089" t="s">
        <v>30</v>
      </c>
      <c r="O1089">
        <v>37214</v>
      </c>
      <c r="P1089" t="s">
        <v>4075</v>
      </c>
      <c r="Q1089" s="2">
        <v>1.17</v>
      </c>
      <c r="R1089" s="2">
        <v>60</v>
      </c>
      <c r="S1089" s="2">
        <v>439</v>
      </c>
      <c r="T1089" t="s">
        <v>4076</v>
      </c>
      <c r="U1089" s="6">
        <v>27110</v>
      </c>
      <c r="V1089" s="2">
        <v>47037015502</v>
      </c>
      <c r="W1089" s="2" t="s">
        <v>68</v>
      </c>
      <c r="X1089" s="1">
        <v>45658</v>
      </c>
      <c r="Y1089" s="2">
        <v>3900</v>
      </c>
      <c r="Z1089" s="2">
        <v>0</v>
      </c>
      <c r="AA1089" s="2">
        <v>3900</v>
      </c>
    </row>
    <row r="1090" spans="1:27" x14ac:dyDescent="0.3">
      <c r="A1090" s="3">
        <v>15</v>
      </c>
      <c r="B1090" s="2" t="str">
        <f>"10802006500"</f>
        <v>10802006500</v>
      </c>
      <c r="C1090" s="2" t="s">
        <v>4077</v>
      </c>
      <c r="D1090" t="s">
        <v>29</v>
      </c>
      <c r="E1090" s="2" t="s">
        <v>30</v>
      </c>
      <c r="F1090" s="2">
        <v>37214</v>
      </c>
      <c r="G1090" s="2" t="s">
        <v>64</v>
      </c>
      <c r="H1090" t="s">
        <v>2707</v>
      </c>
      <c r="I1090" s="6">
        <v>33225</v>
      </c>
      <c r="J1090" s="2" t="s">
        <v>4078</v>
      </c>
      <c r="K1090" s="2">
        <v>67500</v>
      </c>
      <c r="L1090" t="s">
        <v>2689</v>
      </c>
      <c r="M1090" t="s">
        <v>29</v>
      </c>
      <c r="N1090" t="s">
        <v>30</v>
      </c>
      <c r="O1090">
        <v>37214</v>
      </c>
      <c r="P1090" t="s">
        <v>4079</v>
      </c>
      <c r="Q1090" s="2">
        <v>0.4</v>
      </c>
      <c r="R1090" s="2">
        <v>90</v>
      </c>
      <c r="S1090" s="2">
        <v>202</v>
      </c>
      <c r="T1090" t="s">
        <v>4080</v>
      </c>
      <c r="U1090" s="6">
        <v>26296</v>
      </c>
      <c r="V1090" s="2">
        <v>47037015502</v>
      </c>
      <c r="W1090" s="2" t="s">
        <v>68</v>
      </c>
      <c r="X1090" s="1">
        <v>45658</v>
      </c>
      <c r="Y1090" s="2">
        <v>3300</v>
      </c>
      <c r="Z1090" s="2">
        <v>0</v>
      </c>
      <c r="AA1090" s="2">
        <v>3300</v>
      </c>
    </row>
    <row r="1091" spans="1:27" x14ac:dyDescent="0.3">
      <c r="A1091" s="3">
        <v>15</v>
      </c>
      <c r="B1091" s="2" t="str">
        <f>"10802006400"</f>
        <v>10802006400</v>
      </c>
      <c r="C1091" s="2" t="s">
        <v>4081</v>
      </c>
      <c r="D1091" t="s">
        <v>29</v>
      </c>
      <c r="E1091" s="2" t="s">
        <v>30</v>
      </c>
      <c r="F1091" s="2">
        <v>37214</v>
      </c>
      <c r="G1091" s="2" t="s">
        <v>64</v>
      </c>
      <c r="H1091" t="s">
        <v>2707</v>
      </c>
      <c r="I1091" s="6">
        <v>33479</v>
      </c>
      <c r="J1091" s="2" t="s">
        <v>4082</v>
      </c>
      <c r="K1091" s="2">
        <v>64000</v>
      </c>
      <c r="L1091" t="s">
        <v>2689</v>
      </c>
      <c r="M1091" t="s">
        <v>29</v>
      </c>
      <c r="N1091" t="s">
        <v>30</v>
      </c>
      <c r="O1091">
        <v>37214</v>
      </c>
      <c r="P1091" t="s">
        <v>4083</v>
      </c>
      <c r="Q1091" s="2">
        <v>0.36</v>
      </c>
      <c r="R1091" s="2">
        <v>80</v>
      </c>
      <c r="S1091" s="2">
        <v>207</v>
      </c>
      <c r="T1091" t="s">
        <v>4084</v>
      </c>
      <c r="U1091" s="6">
        <v>23585</v>
      </c>
      <c r="V1091" s="2">
        <v>47037015502</v>
      </c>
      <c r="W1091" s="2" t="s">
        <v>68</v>
      </c>
      <c r="X1091" s="1">
        <v>45658</v>
      </c>
      <c r="Y1091" s="2">
        <v>3300</v>
      </c>
      <c r="Z1091" s="2">
        <v>0</v>
      </c>
      <c r="AA1091" s="2">
        <v>3300</v>
      </c>
    </row>
    <row r="1092" spans="1:27" x14ac:dyDescent="0.3">
      <c r="A1092" s="3">
        <v>15</v>
      </c>
      <c r="B1092" s="2" t="str">
        <f>"10800019900"</f>
        <v>10800019900</v>
      </c>
      <c r="C1092" s="2" t="s">
        <v>4085</v>
      </c>
      <c r="D1092" t="s">
        <v>29</v>
      </c>
      <c r="E1092" s="2" t="s">
        <v>30</v>
      </c>
      <c r="F1092" s="2">
        <v>37214</v>
      </c>
      <c r="G1092" s="2" t="s">
        <v>64</v>
      </c>
      <c r="H1092" t="s">
        <v>2707</v>
      </c>
      <c r="I1092" s="6">
        <v>33163</v>
      </c>
      <c r="J1092" s="2" t="s">
        <v>4086</v>
      </c>
      <c r="K1092" s="2">
        <v>18000</v>
      </c>
      <c r="L1092" t="s">
        <v>2689</v>
      </c>
      <c r="M1092" t="s">
        <v>29</v>
      </c>
      <c r="N1092" t="s">
        <v>30</v>
      </c>
      <c r="O1092">
        <v>37214</v>
      </c>
      <c r="P1092" t="s">
        <v>4087</v>
      </c>
      <c r="Q1092" s="2">
        <v>0.55000000000000004</v>
      </c>
      <c r="R1092" s="2">
        <v>113</v>
      </c>
      <c r="S1092" s="2">
        <v>200</v>
      </c>
      <c r="T1092" t="s">
        <v>4088</v>
      </c>
      <c r="U1092" s="6">
        <v>30314</v>
      </c>
      <c r="V1092" s="2">
        <v>47037015502</v>
      </c>
      <c r="W1092" s="2" t="s">
        <v>837</v>
      </c>
      <c r="X1092" s="1">
        <v>45658</v>
      </c>
      <c r="Y1092" s="2">
        <v>3300</v>
      </c>
      <c r="Z1092" s="2">
        <v>0</v>
      </c>
      <c r="AA1092" s="2">
        <v>3300</v>
      </c>
    </row>
    <row r="1093" spans="1:27" x14ac:dyDescent="0.3">
      <c r="A1093" s="3">
        <v>15</v>
      </c>
      <c r="B1093" s="2" t="str">
        <f>"10800020000"</f>
        <v>10800020000</v>
      </c>
      <c r="C1093" s="2" t="s">
        <v>4089</v>
      </c>
      <c r="D1093" t="s">
        <v>29</v>
      </c>
      <c r="E1093" s="2" t="s">
        <v>30</v>
      </c>
      <c r="F1093" s="2">
        <v>37214</v>
      </c>
      <c r="G1093" s="2" t="s">
        <v>64</v>
      </c>
      <c r="H1093" t="s">
        <v>2707</v>
      </c>
      <c r="I1093" s="6">
        <v>33308</v>
      </c>
      <c r="J1093" s="2" t="s">
        <v>4090</v>
      </c>
      <c r="K1093" s="2">
        <v>17500</v>
      </c>
      <c r="L1093" t="s">
        <v>2689</v>
      </c>
      <c r="M1093" t="s">
        <v>29</v>
      </c>
      <c r="N1093" t="s">
        <v>30</v>
      </c>
      <c r="O1093">
        <v>37214</v>
      </c>
      <c r="P1093" t="s">
        <v>4087</v>
      </c>
      <c r="Q1093" s="2">
        <v>0.51</v>
      </c>
      <c r="R1093" s="2">
        <v>112</v>
      </c>
      <c r="S1093" s="2">
        <v>200</v>
      </c>
      <c r="T1093" t="s">
        <v>4091</v>
      </c>
      <c r="U1093" s="6">
        <v>30314</v>
      </c>
      <c r="V1093" s="2">
        <v>47037015502</v>
      </c>
      <c r="W1093" s="2" t="s">
        <v>837</v>
      </c>
      <c r="X1093" s="1">
        <v>45658</v>
      </c>
      <c r="Y1093" s="2">
        <v>3300</v>
      </c>
      <c r="Z1093" s="2">
        <v>0</v>
      </c>
      <c r="AA1093" s="2">
        <v>3300</v>
      </c>
    </row>
    <row r="1094" spans="1:27" x14ac:dyDescent="0.3">
      <c r="A1094" s="3">
        <v>15</v>
      </c>
      <c r="B1094" s="2" t="str">
        <f>"10802009000"</f>
        <v>10802009000</v>
      </c>
      <c r="C1094" s="2" t="s">
        <v>4092</v>
      </c>
      <c r="D1094" t="s">
        <v>29</v>
      </c>
      <c r="E1094" s="2" t="s">
        <v>30</v>
      </c>
      <c r="F1094" s="2">
        <v>37214</v>
      </c>
      <c r="G1094" s="2" t="s">
        <v>64</v>
      </c>
      <c r="H1094" t="s">
        <v>2707</v>
      </c>
      <c r="I1094" s="6">
        <v>33277</v>
      </c>
      <c r="J1094" s="2" t="s">
        <v>4093</v>
      </c>
      <c r="K1094" s="2">
        <v>80000</v>
      </c>
      <c r="L1094" t="s">
        <v>2689</v>
      </c>
      <c r="M1094" t="s">
        <v>29</v>
      </c>
      <c r="N1094" t="s">
        <v>30</v>
      </c>
      <c r="O1094">
        <v>37214</v>
      </c>
      <c r="P1094" t="s">
        <v>4094</v>
      </c>
      <c r="Q1094" s="2">
        <v>0.65</v>
      </c>
      <c r="R1094" s="2">
        <v>70</v>
      </c>
      <c r="S1094" s="2">
        <v>439</v>
      </c>
      <c r="T1094" t="s">
        <v>4095</v>
      </c>
      <c r="U1094" s="6">
        <v>23979</v>
      </c>
      <c r="V1094" s="2">
        <v>47037015502</v>
      </c>
      <c r="W1094" s="2" t="s">
        <v>68</v>
      </c>
      <c r="X1094" s="1">
        <v>45658</v>
      </c>
      <c r="Y1094" s="2">
        <v>3300</v>
      </c>
      <c r="Z1094" s="2">
        <v>0</v>
      </c>
      <c r="AA1094" s="2">
        <v>3300</v>
      </c>
    </row>
    <row r="1095" spans="1:27" x14ac:dyDescent="0.3">
      <c r="A1095" s="3">
        <v>15</v>
      </c>
      <c r="B1095" s="2" t="str">
        <f>"10802008300"</f>
        <v>10802008300</v>
      </c>
      <c r="C1095" s="2" t="s">
        <v>4096</v>
      </c>
      <c r="D1095" t="s">
        <v>29</v>
      </c>
      <c r="E1095" s="2" t="s">
        <v>30</v>
      </c>
      <c r="F1095" s="2">
        <v>37214</v>
      </c>
      <c r="G1095" s="2" t="s">
        <v>64</v>
      </c>
      <c r="H1095" t="s">
        <v>2707</v>
      </c>
      <c r="I1095" s="6">
        <v>33086</v>
      </c>
      <c r="J1095" s="2" t="s">
        <v>4097</v>
      </c>
      <c r="K1095" s="2">
        <v>67500</v>
      </c>
      <c r="L1095" t="s">
        <v>2689</v>
      </c>
      <c r="M1095" t="s">
        <v>29</v>
      </c>
      <c r="N1095" t="s">
        <v>30</v>
      </c>
      <c r="O1095">
        <v>37214</v>
      </c>
      <c r="P1095" t="s">
        <v>4098</v>
      </c>
      <c r="Q1095" s="2">
        <v>1.24</v>
      </c>
      <c r="R1095" s="2">
        <v>135</v>
      </c>
      <c r="S1095" s="2">
        <v>377</v>
      </c>
      <c r="T1095" t="s">
        <v>4099</v>
      </c>
      <c r="U1095" s="6">
        <v>24588</v>
      </c>
      <c r="V1095" s="2">
        <v>47037015502</v>
      </c>
      <c r="W1095" s="2" t="s">
        <v>68</v>
      </c>
      <c r="X1095" s="1">
        <v>45658</v>
      </c>
      <c r="Y1095" s="2">
        <v>4100</v>
      </c>
      <c r="Z1095" s="2">
        <v>0</v>
      </c>
      <c r="AA1095" s="2">
        <v>4100</v>
      </c>
    </row>
    <row r="1096" spans="1:27" x14ac:dyDescent="0.3">
      <c r="A1096" s="3">
        <v>15</v>
      </c>
      <c r="B1096" s="2" t="str">
        <f>"10800018000"</f>
        <v>10800018000</v>
      </c>
      <c r="C1096" s="2" t="s">
        <v>4100</v>
      </c>
      <c r="D1096" t="s">
        <v>29</v>
      </c>
      <c r="E1096" s="2" t="s">
        <v>30</v>
      </c>
      <c r="F1096" s="2">
        <v>37214</v>
      </c>
      <c r="G1096" s="2" t="s">
        <v>64</v>
      </c>
      <c r="H1096" t="s">
        <v>2707</v>
      </c>
      <c r="I1096" s="6">
        <v>33035</v>
      </c>
      <c r="J1096" s="2" t="s">
        <v>4101</v>
      </c>
      <c r="K1096" s="2">
        <v>51000</v>
      </c>
      <c r="L1096" t="s">
        <v>2689</v>
      </c>
      <c r="M1096" t="s">
        <v>29</v>
      </c>
      <c r="N1096" t="s">
        <v>30</v>
      </c>
      <c r="O1096">
        <v>37214</v>
      </c>
      <c r="P1096" t="s">
        <v>4102</v>
      </c>
      <c r="Q1096" s="2">
        <v>0.54</v>
      </c>
      <c r="R1096" s="2">
        <v>230</v>
      </c>
      <c r="S1096" s="2">
        <v>183</v>
      </c>
      <c r="T1096" t="s">
        <v>4103</v>
      </c>
      <c r="U1096" s="6">
        <v>27845</v>
      </c>
      <c r="V1096" s="2">
        <v>47037015502</v>
      </c>
      <c r="W1096" s="2" t="s">
        <v>837</v>
      </c>
      <c r="X1096" s="1">
        <v>45658</v>
      </c>
      <c r="Y1096" s="2">
        <v>3300</v>
      </c>
      <c r="Z1096" s="2">
        <v>0</v>
      </c>
      <c r="AA1096" s="2">
        <v>3300</v>
      </c>
    </row>
    <row r="1097" spans="1:27" x14ac:dyDescent="0.3">
      <c r="A1097" s="3">
        <v>15</v>
      </c>
      <c r="B1097" s="2" t="str">
        <f>"10802008400"</f>
        <v>10802008400</v>
      </c>
      <c r="C1097" s="2" t="s">
        <v>4104</v>
      </c>
      <c r="D1097" t="s">
        <v>29</v>
      </c>
      <c r="E1097" s="2" t="s">
        <v>30</v>
      </c>
      <c r="F1097" s="2">
        <v>37214</v>
      </c>
      <c r="G1097" s="2" t="s">
        <v>64</v>
      </c>
      <c r="H1097" t="s">
        <v>2707</v>
      </c>
      <c r="I1097" s="6">
        <v>32995</v>
      </c>
      <c r="J1097" s="2" t="s">
        <v>4105</v>
      </c>
      <c r="K1097" s="2">
        <v>62500</v>
      </c>
      <c r="L1097" t="s">
        <v>2689</v>
      </c>
      <c r="M1097" t="s">
        <v>29</v>
      </c>
      <c r="N1097" t="s">
        <v>30</v>
      </c>
      <c r="O1097">
        <v>37214</v>
      </c>
      <c r="P1097" t="s">
        <v>4106</v>
      </c>
      <c r="Q1097" s="2">
        <v>0.55000000000000004</v>
      </c>
      <c r="R1097" s="2">
        <v>70</v>
      </c>
      <c r="S1097" s="2">
        <v>377</v>
      </c>
      <c r="T1097" t="s">
        <v>4107</v>
      </c>
      <c r="U1097" s="6">
        <v>23894</v>
      </c>
      <c r="V1097" s="2">
        <v>47037015502</v>
      </c>
      <c r="W1097" s="2" t="s">
        <v>68</v>
      </c>
      <c r="X1097" s="1">
        <v>45658</v>
      </c>
      <c r="Y1097" s="2">
        <v>3300</v>
      </c>
      <c r="Z1097" s="2">
        <v>0</v>
      </c>
      <c r="AA1097" s="2">
        <v>3300</v>
      </c>
    </row>
    <row r="1098" spans="1:27" x14ac:dyDescent="0.3">
      <c r="A1098" s="3">
        <v>15</v>
      </c>
      <c r="B1098" s="2" t="str">
        <f>"10802008900"</f>
        <v>10802008900</v>
      </c>
      <c r="C1098" s="2" t="s">
        <v>4108</v>
      </c>
      <c r="D1098" t="s">
        <v>29</v>
      </c>
      <c r="E1098" s="2" t="s">
        <v>30</v>
      </c>
      <c r="F1098" s="2">
        <v>37214</v>
      </c>
      <c r="G1098" s="2" t="s">
        <v>64</v>
      </c>
      <c r="H1098" t="s">
        <v>2707</v>
      </c>
      <c r="I1098" s="6">
        <v>33081</v>
      </c>
      <c r="J1098" s="2" t="s">
        <v>4109</v>
      </c>
      <c r="K1098" s="2">
        <v>75000</v>
      </c>
      <c r="L1098" t="s">
        <v>2689</v>
      </c>
      <c r="M1098" t="s">
        <v>29</v>
      </c>
      <c r="N1098" t="s">
        <v>30</v>
      </c>
      <c r="O1098">
        <v>37214</v>
      </c>
      <c r="P1098" t="s">
        <v>4110</v>
      </c>
      <c r="Q1098" s="2">
        <v>0.6</v>
      </c>
      <c r="R1098" s="2">
        <v>77</v>
      </c>
      <c r="S1098" s="2">
        <v>365</v>
      </c>
      <c r="T1098" t="s">
        <v>4111</v>
      </c>
      <c r="U1098" s="6">
        <v>24133</v>
      </c>
      <c r="V1098" s="2">
        <v>47037015502</v>
      </c>
      <c r="W1098" s="2" t="s">
        <v>68</v>
      </c>
      <c r="X1098" s="1">
        <v>45658</v>
      </c>
      <c r="Y1098" s="2">
        <v>3300</v>
      </c>
      <c r="Z1098" s="2">
        <v>0</v>
      </c>
      <c r="AA1098" s="2">
        <v>3300</v>
      </c>
    </row>
    <row r="1099" spans="1:27" x14ac:dyDescent="0.3">
      <c r="A1099" s="3">
        <v>15</v>
      </c>
      <c r="B1099" s="2" t="str">
        <f>"10802007800"</f>
        <v>10802007800</v>
      </c>
      <c r="C1099" s="2" t="s">
        <v>4112</v>
      </c>
      <c r="D1099" t="s">
        <v>29</v>
      </c>
      <c r="E1099" s="2" t="s">
        <v>30</v>
      </c>
      <c r="F1099" s="2">
        <v>37214</v>
      </c>
      <c r="G1099" s="2" t="s">
        <v>2490</v>
      </c>
      <c r="H1099" t="s">
        <v>2707</v>
      </c>
      <c r="I1099" s="6">
        <v>33883</v>
      </c>
      <c r="J1099" s="2" t="s">
        <v>4113</v>
      </c>
      <c r="K1099" s="2" t="s">
        <v>34</v>
      </c>
      <c r="L1099" t="s">
        <v>2689</v>
      </c>
      <c r="M1099" t="s">
        <v>29</v>
      </c>
      <c r="N1099" t="s">
        <v>30</v>
      </c>
      <c r="O1099">
        <v>37214</v>
      </c>
      <c r="P1099" t="s">
        <v>4114</v>
      </c>
      <c r="Q1099" s="2">
        <v>1.1000000000000001</v>
      </c>
      <c r="R1099" s="2">
        <v>172</v>
      </c>
      <c r="S1099" s="2">
        <v>425</v>
      </c>
      <c r="T1099" t="s">
        <v>4115</v>
      </c>
      <c r="U1099" s="6">
        <v>22909</v>
      </c>
      <c r="V1099" s="2">
        <v>47037015502</v>
      </c>
      <c r="W1099" s="2" t="s">
        <v>68</v>
      </c>
      <c r="X1099" s="1">
        <v>45658</v>
      </c>
      <c r="Y1099" s="2">
        <v>1255800</v>
      </c>
      <c r="Z1099" s="2">
        <v>105800</v>
      </c>
      <c r="AA1099" s="2">
        <v>1150000</v>
      </c>
    </row>
    <row r="1100" spans="1:27" x14ac:dyDescent="0.3">
      <c r="A1100" s="3">
        <v>15</v>
      </c>
      <c r="B1100" s="2" t="str">
        <f>"10802008500"</f>
        <v>10802008500</v>
      </c>
      <c r="C1100" s="2" t="s">
        <v>4116</v>
      </c>
      <c r="D1100" t="s">
        <v>29</v>
      </c>
      <c r="E1100" s="2" t="s">
        <v>30</v>
      </c>
      <c r="F1100" s="2">
        <v>37214</v>
      </c>
      <c r="G1100" s="2" t="s">
        <v>64</v>
      </c>
      <c r="H1100" t="s">
        <v>2707</v>
      </c>
      <c r="I1100" s="6">
        <v>32947</v>
      </c>
      <c r="J1100" s="2" t="s">
        <v>4117</v>
      </c>
      <c r="K1100" s="2">
        <v>60000</v>
      </c>
      <c r="L1100" t="s">
        <v>2689</v>
      </c>
      <c r="M1100" t="s">
        <v>29</v>
      </c>
      <c r="N1100" t="s">
        <v>30</v>
      </c>
      <c r="O1100">
        <v>37214</v>
      </c>
      <c r="P1100" t="s">
        <v>4118</v>
      </c>
      <c r="Q1100" s="2">
        <v>0.5</v>
      </c>
      <c r="R1100" s="2">
        <v>75</v>
      </c>
      <c r="S1100" s="2">
        <v>326</v>
      </c>
      <c r="T1100" t="s">
        <v>4119</v>
      </c>
      <c r="U1100" s="6">
        <v>25245</v>
      </c>
      <c r="V1100" s="2">
        <v>47037015502</v>
      </c>
      <c r="W1100" s="2" t="s">
        <v>68</v>
      </c>
      <c r="X1100" s="1">
        <v>45658</v>
      </c>
      <c r="Y1100" s="2">
        <v>3300</v>
      </c>
      <c r="Z1100" s="2">
        <v>0</v>
      </c>
      <c r="AA1100" s="2">
        <v>3300</v>
      </c>
    </row>
    <row r="1101" spans="1:27" x14ac:dyDescent="0.3">
      <c r="A1101" s="3">
        <v>15</v>
      </c>
      <c r="B1101" s="2" t="str">
        <f>"10802008800"</f>
        <v>10802008800</v>
      </c>
      <c r="C1101" s="2" t="s">
        <v>4120</v>
      </c>
      <c r="D1101" t="s">
        <v>29</v>
      </c>
      <c r="E1101" s="2" t="s">
        <v>30</v>
      </c>
      <c r="F1101" s="2">
        <v>37214</v>
      </c>
      <c r="G1101" s="2" t="s">
        <v>64</v>
      </c>
      <c r="H1101" t="s">
        <v>2707</v>
      </c>
      <c r="I1101" s="6">
        <v>32961</v>
      </c>
      <c r="J1101" s="2" t="s">
        <v>4121</v>
      </c>
      <c r="K1101" s="2">
        <v>83000</v>
      </c>
      <c r="L1101" t="s">
        <v>2689</v>
      </c>
      <c r="M1101" t="s">
        <v>29</v>
      </c>
      <c r="N1101" t="s">
        <v>30</v>
      </c>
      <c r="O1101">
        <v>37214</v>
      </c>
      <c r="P1101" t="s">
        <v>4122</v>
      </c>
      <c r="Q1101" s="2">
        <v>0.5</v>
      </c>
      <c r="R1101" s="2">
        <v>108</v>
      </c>
      <c r="S1101" s="2">
        <v>306</v>
      </c>
      <c r="T1101" t="s">
        <v>4123</v>
      </c>
      <c r="U1101" s="6">
        <v>25414</v>
      </c>
      <c r="V1101" s="2">
        <v>47037015502</v>
      </c>
      <c r="W1101" s="2" t="s">
        <v>68</v>
      </c>
      <c r="X1101" s="1">
        <v>45658</v>
      </c>
      <c r="Y1101" s="2">
        <v>3300</v>
      </c>
      <c r="Z1101" s="2">
        <v>0</v>
      </c>
      <c r="AA1101" s="2">
        <v>3300</v>
      </c>
    </row>
    <row r="1102" spans="1:27" x14ac:dyDescent="0.3">
      <c r="A1102" s="3">
        <v>15</v>
      </c>
      <c r="B1102" s="2" t="str">
        <f>"10802007900"</f>
        <v>10802007900</v>
      </c>
      <c r="C1102" s="2" t="s">
        <v>4124</v>
      </c>
      <c r="D1102" t="s">
        <v>29</v>
      </c>
      <c r="E1102" s="2" t="s">
        <v>30</v>
      </c>
      <c r="F1102" s="2">
        <v>37214</v>
      </c>
      <c r="G1102" s="2" t="s">
        <v>2490</v>
      </c>
      <c r="H1102" t="s">
        <v>2707</v>
      </c>
      <c r="I1102" s="6">
        <v>34696</v>
      </c>
      <c r="J1102" s="2" t="s">
        <v>4125</v>
      </c>
      <c r="K1102" s="2">
        <v>19000</v>
      </c>
      <c r="L1102" t="s">
        <v>2689</v>
      </c>
      <c r="M1102" t="s">
        <v>29</v>
      </c>
      <c r="N1102" t="s">
        <v>30</v>
      </c>
      <c r="O1102">
        <v>37214</v>
      </c>
      <c r="P1102" t="s">
        <v>4126</v>
      </c>
      <c r="Q1102" s="2">
        <v>0.72</v>
      </c>
      <c r="R1102" s="2">
        <v>70</v>
      </c>
      <c r="S1102" s="2">
        <v>432</v>
      </c>
      <c r="T1102" t="s">
        <v>4127</v>
      </c>
      <c r="U1102" s="6">
        <v>26235</v>
      </c>
      <c r="V1102" s="2">
        <v>47037015502</v>
      </c>
      <c r="W1102" s="2" t="s">
        <v>68</v>
      </c>
      <c r="X1102" s="1">
        <v>45658</v>
      </c>
      <c r="Y1102" s="2">
        <v>472500</v>
      </c>
      <c r="Z1102" s="2">
        <v>33400</v>
      </c>
      <c r="AA1102" s="2">
        <v>439100</v>
      </c>
    </row>
    <row r="1103" spans="1:27" x14ac:dyDescent="0.3">
      <c r="A1103" s="3">
        <v>15</v>
      </c>
      <c r="B1103" s="2" t="str">
        <f>"10802008600"</f>
        <v>10802008600</v>
      </c>
      <c r="C1103" s="2" t="s">
        <v>4128</v>
      </c>
      <c r="D1103" t="s">
        <v>29</v>
      </c>
      <c r="E1103" s="2" t="s">
        <v>30</v>
      </c>
      <c r="F1103" s="2">
        <v>37214</v>
      </c>
      <c r="G1103" s="2" t="s">
        <v>64</v>
      </c>
      <c r="H1103" t="s">
        <v>2707</v>
      </c>
      <c r="I1103" s="6">
        <v>34060</v>
      </c>
      <c r="J1103" s="2" t="s">
        <v>4129</v>
      </c>
      <c r="K1103" s="2" t="s">
        <v>34</v>
      </c>
      <c r="L1103" t="s">
        <v>2689</v>
      </c>
      <c r="M1103" t="s">
        <v>29</v>
      </c>
      <c r="N1103" t="s">
        <v>30</v>
      </c>
      <c r="O1103">
        <v>37214</v>
      </c>
      <c r="P1103" t="s">
        <v>4130</v>
      </c>
      <c r="Q1103" s="2">
        <v>0.45</v>
      </c>
      <c r="R1103" s="2">
        <v>75</v>
      </c>
      <c r="S1103" s="2">
        <v>271</v>
      </c>
      <c r="T1103" t="s">
        <v>4131</v>
      </c>
      <c r="U1103" s="6">
        <v>23958</v>
      </c>
      <c r="V1103" s="2">
        <v>47037015502</v>
      </c>
      <c r="W1103" s="2" t="s">
        <v>68</v>
      </c>
      <c r="X1103" s="1">
        <v>45658</v>
      </c>
      <c r="Y1103" s="2">
        <v>3300</v>
      </c>
      <c r="Z1103" s="2">
        <v>0</v>
      </c>
      <c r="AA1103" s="2">
        <v>3300</v>
      </c>
    </row>
    <row r="1104" spans="1:27" x14ac:dyDescent="0.3">
      <c r="A1104" s="3">
        <v>15</v>
      </c>
      <c r="B1104" s="2" t="str">
        <f>"10800004200"</f>
        <v>10800004200</v>
      </c>
      <c r="C1104" s="2" t="s">
        <v>4132</v>
      </c>
      <c r="D1104" t="s">
        <v>29</v>
      </c>
      <c r="E1104" s="2" t="s">
        <v>30</v>
      </c>
      <c r="F1104" s="2">
        <v>37214</v>
      </c>
      <c r="G1104" s="2" t="s">
        <v>64</v>
      </c>
      <c r="H1104" t="s">
        <v>2707</v>
      </c>
      <c r="I1104" s="6">
        <v>33114</v>
      </c>
      <c r="J1104" s="2" t="s">
        <v>4133</v>
      </c>
      <c r="K1104" s="2">
        <v>32000</v>
      </c>
      <c r="L1104" t="s">
        <v>2689</v>
      </c>
      <c r="M1104" t="s">
        <v>29</v>
      </c>
      <c r="N1104" t="s">
        <v>30</v>
      </c>
      <c r="O1104">
        <v>37214</v>
      </c>
      <c r="P1104" t="s">
        <v>4134</v>
      </c>
      <c r="Q1104" s="2">
        <v>0.46</v>
      </c>
      <c r="R1104" s="2">
        <v>110</v>
      </c>
      <c r="S1104" s="2">
        <v>165</v>
      </c>
      <c r="T1104" t="s">
        <v>4103</v>
      </c>
      <c r="U1104" s="6">
        <v>27845</v>
      </c>
      <c r="V1104" s="2">
        <v>47037015502</v>
      </c>
      <c r="W1104" s="2" t="s">
        <v>837</v>
      </c>
      <c r="X1104" s="1">
        <v>45658</v>
      </c>
      <c r="Y1104" s="2">
        <v>3300</v>
      </c>
      <c r="Z1104" s="2">
        <v>0</v>
      </c>
      <c r="AA1104" s="2">
        <v>3300</v>
      </c>
    </row>
    <row r="1105" spans="1:27" x14ac:dyDescent="0.3">
      <c r="A1105" s="3">
        <v>15</v>
      </c>
      <c r="B1105" s="2" t="str">
        <f>"108020A01400CO"</f>
        <v>108020A01400CO</v>
      </c>
      <c r="C1105" s="2" t="s">
        <v>4135</v>
      </c>
      <c r="D1105" t="s">
        <v>29</v>
      </c>
      <c r="E1105" s="2" t="s">
        <v>30</v>
      </c>
      <c r="F1105" s="2">
        <v>37214</v>
      </c>
      <c r="G1105" s="2" t="s">
        <v>64</v>
      </c>
      <c r="H1105" t="s">
        <v>2707</v>
      </c>
      <c r="I1105" s="6">
        <v>32952</v>
      </c>
      <c r="J1105" s="2" t="s">
        <v>4136</v>
      </c>
      <c r="K1105" s="2">
        <v>52000</v>
      </c>
      <c r="L1105" t="s">
        <v>2689</v>
      </c>
      <c r="M1105" t="s">
        <v>29</v>
      </c>
      <c r="N1105" t="s">
        <v>30</v>
      </c>
      <c r="O1105">
        <v>37214</v>
      </c>
      <c r="P1105" t="s">
        <v>4137</v>
      </c>
      <c r="Q1105" s="2">
        <v>0</v>
      </c>
      <c r="R1105" s="2">
        <v>0</v>
      </c>
      <c r="S1105" s="2">
        <v>0</v>
      </c>
      <c r="T1105" t="s">
        <v>4138</v>
      </c>
      <c r="U1105" s="6">
        <v>29654</v>
      </c>
      <c r="V1105" s="2">
        <v>47037015502</v>
      </c>
      <c r="W1105" s="2" t="s">
        <v>68</v>
      </c>
      <c r="X1105" s="1">
        <v>45658</v>
      </c>
      <c r="Y1105" s="2">
        <v>52000</v>
      </c>
      <c r="Z1105" s="2">
        <v>0</v>
      </c>
      <c r="AA1105" s="2">
        <v>52000</v>
      </c>
    </row>
    <row r="1106" spans="1:27" x14ac:dyDescent="0.3">
      <c r="A1106" s="3">
        <v>15</v>
      </c>
      <c r="B1106" s="2" t="str">
        <f>"108020A01300CO"</f>
        <v>108020A01300CO</v>
      </c>
      <c r="C1106" s="2" t="s">
        <v>4139</v>
      </c>
      <c r="D1106" t="s">
        <v>29</v>
      </c>
      <c r="E1106" s="2" t="s">
        <v>30</v>
      </c>
      <c r="F1106" s="2">
        <v>37214</v>
      </c>
      <c r="G1106" s="2" t="s">
        <v>64</v>
      </c>
      <c r="H1106" t="s">
        <v>2707</v>
      </c>
      <c r="I1106" s="6">
        <v>33022</v>
      </c>
      <c r="J1106" s="2" t="s">
        <v>4140</v>
      </c>
      <c r="K1106" s="2">
        <v>52000</v>
      </c>
      <c r="L1106" t="s">
        <v>2689</v>
      </c>
      <c r="M1106" t="s">
        <v>29</v>
      </c>
      <c r="N1106" t="s">
        <v>30</v>
      </c>
      <c r="O1106">
        <v>37214</v>
      </c>
      <c r="P1106" t="s">
        <v>4141</v>
      </c>
      <c r="Q1106" s="2">
        <v>0</v>
      </c>
      <c r="R1106" s="2">
        <v>0</v>
      </c>
      <c r="S1106" s="2">
        <v>0</v>
      </c>
      <c r="T1106" t="s">
        <v>4138</v>
      </c>
      <c r="U1106" s="6">
        <v>29654</v>
      </c>
      <c r="V1106" s="2">
        <v>47037015502</v>
      </c>
      <c r="W1106" s="2" t="s">
        <v>68</v>
      </c>
      <c r="X1106" s="1">
        <v>45658</v>
      </c>
      <c r="Y1106" s="2">
        <v>52000</v>
      </c>
      <c r="Z1106" s="2">
        <v>0</v>
      </c>
      <c r="AA1106" s="2">
        <v>52000</v>
      </c>
    </row>
    <row r="1107" spans="1:27" x14ac:dyDescent="0.3">
      <c r="A1107" s="3">
        <v>15</v>
      </c>
      <c r="B1107" s="2" t="str">
        <f>"10802008200"</f>
        <v>10802008200</v>
      </c>
      <c r="C1107" s="2" t="s">
        <v>2607</v>
      </c>
      <c r="D1107" t="s">
        <v>29</v>
      </c>
      <c r="E1107" s="2" t="s">
        <v>30</v>
      </c>
      <c r="F1107" s="2">
        <v>37214</v>
      </c>
      <c r="G1107" s="2" t="s">
        <v>64</v>
      </c>
      <c r="H1107" t="s">
        <v>2707</v>
      </c>
      <c r="I1107" s="6">
        <v>34696</v>
      </c>
      <c r="J1107" s="2" t="s">
        <v>4142</v>
      </c>
      <c r="K1107" s="2">
        <v>71000</v>
      </c>
      <c r="L1107" t="s">
        <v>2689</v>
      </c>
      <c r="M1107" t="s">
        <v>29</v>
      </c>
      <c r="N1107" t="s">
        <v>30</v>
      </c>
      <c r="O1107">
        <v>37214</v>
      </c>
      <c r="P1107" t="s">
        <v>4143</v>
      </c>
      <c r="Q1107" s="2">
        <v>0.94</v>
      </c>
      <c r="R1107" s="2">
        <v>150</v>
      </c>
      <c r="S1107" s="2">
        <v>308</v>
      </c>
      <c r="T1107" t="s">
        <v>4144</v>
      </c>
      <c r="U1107" s="6">
        <v>24222</v>
      </c>
      <c r="V1107" s="2">
        <v>47037015502</v>
      </c>
      <c r="W1107" s="2" t="s">
        <v>68</v>
      </c>
      <c r="X1107" s="1">
        <v>45658</v>
      </c>
      <c r="Y1107" s="2">
        <v>3300</v>
      </c>
      <c r="Z1107" s="2">
        <v>0</v>
      </c>
      <c r="AA1107" s="2">
        <v>3300</v>
      </c>
    </row>
    <row r="1108" spans="1:27" x14ac:dyDescent="0.3">
      <c r="A1108" s="3">
        <v>15</v>
      </c>
      <c r="B1108" s="2" t="str">
        <f>"108020A01200CO"</f>
        <v>108020A01200CO</v>
      </c>
      <c r="C1108" s="2" t="s">
        <v>4145</v>
      </c>
      <c r="D1108" t="s">
        <v>29</v>
      </c>
      <c r="E1108" s="2" t="s">
        <v>30</v>
      </c>
      <c r="F1108" s="2">
        <v>37214</v>
      </c>
      <c r="G1108" s="2" t="s">
        <v>64</v>
      </c>
      <c r="H1108" t="s">
        <v>2707</v>
      </c>
      <c r="I1108" s="6">
        <v>33038</v>
      </c>
      <c r="J1108" s="2" t="s">
        <v>4146</v>
      </c>
      <c r="K1108" s="2">
        <v>49500</v>
      </c>
      <c r="L1108" t="s">
        <v>2689</v>
      </c>
      <c r="M1108" t="s">
        <v>29</v>
      </c>
      <c r="N1108" t="s">
        <v>30</v>
      </c>
      <c r="O1108">
        <v>37214</v>
      </c>
      <c r="P1108" t="s">
        <v>4147</v>
      </c>
      <c r="Q1108" s="2">
        <v>0</v>
      </c>
      <c r="R1108" s="2">
        <v>0</v>
      </c>
      <c r="S1108" s="2">
        <v>0</v>
      </c>
      <c r="T1108" t="s">
        <v>4138</v>
      </c>
      <c r="U1108" s="6">
        <v>29654</v>
      </c>
      <c r="V1108" s="2">
        <v>47037015502</v>
      </c>
      <c r="W1108" s="2" t="s">
        <v>68</v>
      </c>
      <c r="X1108" s="1">
        <v>45658</v>
      </c>
      <c r="Y1108" s="2">
        <v>52000</v>
      </c>
      <c r="Z1108" s="2">
        <v>0</v>
      </c>
      <c r="AA1108" s="2">
        <v>52000</v>
      </c>
    </row>
    <row r="1109" spans="1:27" x14ac:dyDescent="0.3">
      <c r="A1109" s="3">
        <v>15</v>
      </c>
      <c r="B1109" s="2" t="str">
        <f>"108020A01100CO"</f>
        <v>108020A01100CO</v>
      </c>
      <c r="C1109" s="2" t="s">
        <v>4148</v>
      </c>
      <c r="D1109" t="s">
        <v>29</v>
      </c>
      <c r="E1109" s="2" t="s">
        <v>30</v>
      </c>
      <c r="F1109" s="2">
        <v>37214</v>
      </c>
      <c r="G1109" s="2" t="s">
        <v>64</v>
      </c>
      <c r="H1109" t="s">
        <v>2707</v>
      </c>
      <c r="I1109" s="6">
        <v>33039</v>
      </c>
      <c r="J1109" s="2" t="s">
        <v>4149</v>
      </c>
      <c r="K1109" s="2">
        <v>50000</v>
      </c>
      <c r="L1109" t="s">
        <v>2689</v>
      </c>
      <c r="M1109" t="s">
        <v>29</v>
      </c>
      <c r="N1109" t="s">
        <v>30</v>
      </c>
      <c r="O1109">
        <v>37214</v>
      </c>
      <c r="P1109" t="s">
        <v>4150</v>
      </c>
      <c r="Q1109" s="2">
        <v>0</v>
      </c>
      <c r="R1109" s="2">
        <v>0</v>
      </c>
      <c r="S1109" s="2">
        <v>0</v>
      </c>
      <c r="T1109" t="s">
        <v>4138</v>
      </c>
      <c r="U1109" s="6">
        <v>29654</v>
      </c>
      <c r="V1109" s="2">
        <v>47037015502</v>
      </c>
      <c r="W1109" s="2" t="s">
        <v>68</v>
      </c>
      <c r="X1109" s="1">
        <v>45658</v>
      </c>
      <c r="Y1109" s="2">
        <v>52000</v>
      </c>
      <c r="Z1109" s="2">
        <v>0</v>
      </c>
      <c r="AA1109" s="2">
        <v>52000</v>
      </c>
    </row>
    <row r="1110" spans="1:27" x14ac:dyDescent="0.3">
      <c r="A1110" s="3">
        <v>15</v>
      </c>
      <c r="B1110" s="2" t="str">
        <f>"108020A01000CO"</f>
        <v>108020A01000CO</v>
      </c>
      <c r="C1110" s="2" t="s">
        <v>4151</v>
      </c>
      <c r="D1110" t="s">
        <v>29</v>
      </c>
      <c r="E1110" s="2" t="s">
        <v>30</v>
      </c>
      <c r="F1110" s="2">
        <v>37214</v>
      </c>
      <c r="G1110" s="2" t="s">
        <v>64</v>
      </c>
      <c r="H1110" t="s">
        <v>2707</v>
      </c>
      <c r="I1110" s="6">
        <v>32969</v>
      </c>
      <c r="J1110" s="2" t="s">
        <v>4152</v>
      </c>
      <c r="K1110" s="2">
        <v>50500</v>
      </c>
      <c r="L1110" t="s">
        <v>2689</v>
      </c>
      <c r="M1110" t="s">
        <v>29</v>
      </c>
      <c r="N1110" t="s">
        <v>30</v>
      </c>
      <c r="O1110">
        <v>37214</v>
      </c>
      <c r="P1110" t="s">
        <v>4153</v>
      </c>
      <c r="Q1110" s="2">
        <v>0</v>
      </c>
      <c r="R1110" s="2">
        <v>0</v>
      </c>
      <c r="S1110" s="2">
        <v>0</v>
      </c>
      <c r="T1110" t="s">
        <v>4138</v>
      </c>
      <c r="U1110" s="6">
        <v>29654</v>
      </c>
      <c r="V1110" s="2">
        <v>47037015502</v>
      </c>
      <c r="W1110" s="2" t="s">
        <v>68</v>
      </c>
      <c r="X1110" s="1">
        <v>45658</v>
      </c>
      <c r="Y1110" s="2">
        <v>52000</v>
      </c>
      <c r="Z1110" s="2">
        <v>0</v>
      </c>
      <c r="AA1110" s="2">
        <v>52000</v>
      </c>
    </row>
    <row r="1111" spans="1:27" x14ac:dyDescent="0.3">
      <c r="A1111" s="3">
        <v>15</v>
      </c>
      <c r="B1111" s="2" t="str">
        <f>"108020A00900CO"</f>
        <v>108020A00900CO</v>
      </c>
      <c r="C1111" s="2" t="s">
        <v>4154</v>
      </c>
      <c r="D1111" t="s">
        <v>29</v>
      </c>
      <c r="E1111" s="2" t="s">
        <v>30</v>
      </c>
      <c r="F1111" s="2">
        <v>37214</v>
      </c>
      <c r="G1111" s="2" t="s">
        <v>64</v>
      </c>
      <c r="H1111" t="s">
        <v>2707</v>
      </c>
      <c r="I1111" s="6">
        <v>33001</v>
      </c>
      <c r="J1111" s="2" t="s">
        <v>4155</v>
      </c>
      <c r="K1111" s="2">
        <v>51000</v>
      </c>
      <c r="L1111" t="s">
        <v>2689</v>
      </c>
      <c r="M1111" t="s">
        <v>29</v>
      </c>
      <c r="N1111" t="s">
        <v>30</v>
      </c>
      <c r="O1111">
        <v>37214</v>
      </c>
      <c r="P1111" t="s">
        <v>4156</v>
      </c>
      <c r="Q1111" s="2">
        <v>0</v>
      </c>
      <c r="R1111" s="2">
        <v>0</v>
      </c>
      <c r="S1111" s="2">
        <v>0</v>
      </c>
      <c r="T1111" t="s">
        <v>4138</v>
      </c>
      <c r="U1111" s="6">
        <v>29654</v>
      </c>
      <c r="V1111" s="2">
        <v>47037015502</v>
      </c>
      <c r="W1111" s="2" t="s">
        <v>68</v>
      </c>
      <c r="X1111" s="1">
        <v>45658</v>
      </c>
      <c r="Y1111" s="2">
        <v>52000</v>
      </c>
      <c r="Z1111" s="2">
        <v>0</v>
      </c>
      <c r="AA1111" s="2">
        <v>52000</v>
      </c>
    </row>
    <row r="1112" spans="1:27" x14ac:dyDescent="0.3">
      <c r="A1112" s="3">
        <v>15</v>
      </c>
      <c r="B1112" s="2" t="str">
        <f>"108020A00100CO"</f>
        <v>108020A00100CO</v>
      </c>
      <c r="C1112" s="2" t="s">
        <v>4157</v>
      </c>
      <c r="D1112" t="s">
        <v>29</v>
      </c>
      <c r="E1112" s="2" t="s">
        <v>30</v>
      </c>
      <c r="F1112" s="2">
        <v>37214</v>
      </c>
      <c r="G1112" s="2" t="s">
        <v>64</v>
      </c>
      <c r="H1112" t="s">
        <v>2707</v>
      </c>
      <c r="I1112" s="6">
        <v>33015</v>
      </c>
      <c r="J1112" s="2" t="s">
        <v>4158</v>
      </c>
      <c r="K1112" s="2">
        <v>48000</v>
      </c>
      <c r="L1112" t="s">
        <v>2689</v>
      </c>
      <c r="M1112" t="s">
        <v>29</v>
      </c>
      <c r="N1112" t="s">
        <v>30</v>
      </c>
      <c r="O1112">
        <v>37214</v>
      </c>
      <c r="P1112" t="s">
        <v>4159</v>
      </c>
      <c r="Q1112" s="2">
        <v>0</v>
      </c>
      <c r="R1112" s="2">
        <v>0</v>
      </c>
      <c r="S1112" s="2">
        <v>0</v>
      </c>
      <c r="T1112" t="s">
        <v>4138</v>
      </c>
      <c r="U1112" s="6">
        <v>29654</v>
      </c>
      <c r="V1112" s="2">
        <v>47037015502</v>
      </c>
      <c r="W1112" s="2" t="s">
        <v>68</v>
      </c>
      <c r="X1112" s="1">
        <v>45658</v>
      </c>
      <c r="Y1112" s="2">
        <v>52000</v>
      </c>
      <c r="Z1112" s="2">
        <v>0</v>
      </c>
      <c r="AA1112" s="2">
        <v>52000</v>
      </c>
    </row>
    <row r="1113" spans="1:27" x14ac:dyDescent="0.3">
      <c r="A1113" s="3">
        <v>15</v>
      </c>
      <c r="B1113" s="2" t="str">
        <f>"108020A00200CO"</f>
        <v>108020A00200CO</v>
      </c>
      <c r="C1113" s="2" t="s">
        <v>4160</v>
      </c>
      <c r="D1113" t="s">
        <v>29</v>
      </c>
      <c r="E1113" s="2" t="s">
        <v>30</v>
      </c>
      <c r="F1113" s="2">
        <v>37214</v>
      </c>
      <c r="G1113" s="2" t="s">
        <v>64</v>
      </c>
      <c r="H1113" t="s">
        <v>2707</v>
      </c>
      <c r="I1113" s="6">
        <v>32955</v>
      </c>
      <c r="J1113" s="2" t="s">
        <v>4161</v>
      </c>
      <c r="K1113" s="2">
        <v>51000</v>
      </c>
      <c r="L1113" t="s">
        <v>2689</v>
      </c>
      <c r="M1113" t="s">
        <v>29</v>
      </c>
      <c r="N1113" t="s">
        <v>30</v>
      </c>
      <c r="O1113">
        <v>37214</v>
      </c>
      <c r="P1113" t="s">
        <v>4162</v>
      </c>
      <c r="Q1113" s="2">
        <v>0</v>
      </c>
      <c r="R1113" s="2">
        <v>0</v>
      </c>
      <c r="S1113" s="2">
        <v>0</v>
      </c>
      <c r="T1113" t="s">
        <v>4138</v>
      </c>
      <c r="U1113" s="6">
        <v>29654</v>
      </c>
      <c r="V1113" s="2">
        <v>47037015502</v>
      </c>
      <c r="W1113" s="2" t="s">
        <v>68</v>
      </c>
      <c r="X1113" s="1">
        <v>45658</v>
      </c>
      <c r="Y1113" s="2">
        <v>52000</v>
      </c>
      <c r="Z1113" s="2">
        <v>0</v>
      </c>
      <c r="AA1113" s="2">
        <v>52000</v>
      </c>
    </row>
    <row r="1114" spans="1:27" x14ac:dyDescent="0.3">
      <c r="A1114" s="3">
        <v>15</v>
      </c>
      <c r="B1114" s="2" t="str">
        <f>"108020A00800CO"</f>
        <v>108020A00800CO</v>
      </c>
      <c r="C1114" s="2" t="s">
        <v>4163</v>
      </c>
      <c r="D1114" t="s">
        <v>29</v>
      </c>
      <c r="E1114" s="2" t="s">
        <v>30</v>
      </c>
      <c r="F1114" s="2">
        <v>37214</v>
      </c>
      <c r="G1114" s="2" t="s">
        <v>64</v>
      </c>
      <c r="H1114" t="s">
        <v>2707</v>
      </c>
      <c r="I1114" s="6">
        <v>33031</v>
      </c>
      <c r="J1114" s="2" t="s">
        <v>4164</v>
      </c>
      <c r="K1114" s="2">
        <v>51500</v>
      </c>
      <c r="L1114" t="s">
        <v>2689</v>
      </c>
      <c r="M1114" t="s">
        <v>29</v>
      </c>
      <c r="N1114" t="s">
        <v>30</v>
      </c>
      <c r="O1114">
        <v>37214</v>
      </c>
      <c r="P1114" t="s">
        <v>4165</v>
      </c>
      <c r="Q1114" s="2">
        <v>0</v>
      </c>
      <c r="R1114" s="2">
        <v>0</v>
      </c>
      <c r="S1114" s="2">
        <v>0</v>
      </c>
      <c r="T1114" t="s">
        <v>4138</v>
      </c>
      <c r="U1114" s="6">
        <v>29654</v>
      </c>
      <c r="V1114" s="2">
        <v>47037015502</v>
      </c>
      <c r="W1114" s="2" t="s">
        <v>68</v>
      </c>
      <c r="X1114" s="1">
        <v>45658</v>
      </c>
      <c r="Y1114" s="2">
        <v>52000</v>
      </c>
      <c r="Z1114" s="2">
        <v>0</v>
      </c>
      <c r="AA1114" s="2">
        <v>52000</v>
      </c>
    </row>
    <row r="1115" spans="1:27" x14ac:dyDescent="0.3">
      <c r="A1115" s="3">
        <v>15</v>
      </c>
      <c r="B1115" s="2" t="str">
        <f>"108020A00700CO"</f>
        <v>108020A00700CO</v>
      </c>
      <c r="C1115" s="2" t="s">
        <v>4166</v>
      </c>
      <c r="D1115" t="s">
        <v>29</v>
      </c>
      <c r="E1115" s="2" t="s">
        <v>30</v>
      </c>
      <c r="F1115" s="2">
        <v>37214</v>
      </c>
      <c r="G1115" s="2" t="s">
        <v>64</v>
      </c>
      <c r="H1115" t="s">
        <v>2707</v>
      </c>
      <c r="I1115" s="6">
        <v>32951</v>
      </c>
      <c r="J1115" s="2" t="s">
        <v>4167</v>
      </c>
      <c r="K1115" s="2">
        <v>49000</v>
      </c>
      <c r="L1115" t="s">
        <v>2689</v>
      </c>
      <c r="M1115" t="s">
        <v>29</v>
      </c>
      <c r="N1115" t="s">
        <v>30</v>
      </c>
      <c r="O1115">
        <v>37214</v>
      </c>
      <c r="P1115" t="s">
        <v>4168</v>
      </c>
      <c r="Q1115" s="2">
        <v>0</v>
      </c>
      <c r="R1115" s="2">
        <v>0</v>
      </c>
      <c r="S1115" s="2">
        <v>0</v>
      </c>
      <c r="T1115" t="s">
        <v>4138</v>
      </c>
      <c r="U1115" s="6">
        <v>29654</v>
      </c>
      <c r="V1115" s="2">
        <v>47037015502</v>
      </c>
      <c r="W1115" s="2" t="s">
        <v>68</v>
      </c>
      <c r="X1115" s="1">
        <v>45658</v>
      </c>
      <c r="Y1115" s="2">
        <v>52000</v>
      </c>
      <c r="Z1115" s="2">
        <v>0</v>
      </c>
      <c r="AA1115" s="2">
        <v>52000</v>
      </c>
    </row>
    <row r="1116" spans="1:27" x14ac:dyDescent="0.3">
      <c r="A1116" s="3">
        <v>15</v>
      </c>
      <c r="B1116" s="2" t="str">
        <f>"108020A00300CO"</f>
        <v>108020A00300CO</v>
      </c>
      <c r="C1116" s="2" t="s">
        <v>4169</v>
      </c>
      <c r="D1116" t="s">
        <v>29</v>
      </c>
      <c r="E1116" s="2" t="s">
        <v>30</v>
      </c>
      <c r="F1116" s="2">
        <v>37214</v>
      </c>
      <c r="G1116" s="2" t="s">
        <v>64</v>
      </c>
      <c r="H1116" t="s">
        <v>2707</v>
      </c>
      <c r="I1116" s="6">
        <v>32939</v>
      </c>
      <c r="J1116" s="2" t="s">
        <v>4170</v>
      </c>
      <c r="K1116" s="2">
        <v>53000</v>
      </c>
      <c r="L1116" t="s">
        <v>2689</v>
      </c>
      <c r="M1116" t="s">
        <v>29</v>
      </c>
      <c r="N1116" t="s">
        <v>30</v>
      </c>
      <c r="O1116">
        <v>37214</v>
      </c>
      <c r="P1116" t="s">
        <v>4171</v>
      </c>
      <c r="Q1116" s="2">
        <v>0</v>
      </c>
      <c r="R1116" s="2">
        <v>0</v>
      </c>
      <c r="S1116" s="2">
        <v>0</v>
      </c>
      <c r="T1116" t="s">
        <v>4138</v>
      </c>
      <c r="U1116" s="6">
        <v>29654</v>
      </c>
      <c r="V1116" s="2">
        <v>47037015502</v>
      </c>
      <c r="W1116" s="2" t="s">
        <v>68</v>
      </c>
      <c r="X1116" s="1">
        <v>45658</v>
      </c>
      <c r="Y1116" s="2">
        <v>52000</v>
      </c>
      <c r="Z1116" s="2">
        <v>0</v>
      </c>
      <c r="AA1116" s="2">
        <v>52000</v>
      </c>
    </row>
    <row r="1117" spans="1:27" x14ac:dyDescent="0.3">
      <c r="A1117" s="3">
        <v>15</v>
      </c>
      <c r="B1117" s="2" t="str">
        <f>"108020A00400CO"</f>
        <v>108020A00400CO</v>
      </c>
      <c r="C1117" s="2" t="s">
        <v>4172</v>
      </c>
      <c r="D1117" t="s">
        <v>29</v>
      </c>
      <c r="E1117" s="2" t="s">
        <v>30</v>
      </c>
      <c r="F1117" s="2">
        <v>37214</v>
      </c>
      <c r="G1117" s="2" t="s">
        <v>64</v>
      </c>
      <c r="H1117" t="s">
        <v>2707</v>
      </c>
      <c r="I1117" s="6">
        <v>33051</v>
      </c>
      <c r="J1117" s="2" t="s">
        <v>4173</v>
      </c>
      <c r="K1117" s="2">
        <v>51000</v>
      </c>
      <c r="L1117" t="s">
        <v>2689</v>
      </c>
      <c r="M1117" t="s">
        <v>29</v>
      </c>
      <c r="N1117" t="s">
        <v>30</v>
      </c>
      <c r="O1117">
        <v>37214</v>
      </c>
      <c r="P1117" t="s">
        <v>4174</v>
      </c>
      <c r="Q1117" s="2">
        <v>0</v>
      </c>
      <c r="R1117" s="2">
        <v>0</v>
      </c>
      <c r="S1117" s="2">
        <v>0</v>
      </c>
      <c r="T1117" t="s">
        <v>4138</v>
      </c>
      <c r="U1117" s="6">
        <v>29654</v>
      </c>
      <c r="V1117" s="2">
        <v>47037015502</v>
      </c>
      <c r="W1117" s="2" t="s">
        <v>68</v>
      </c>
      <c r="X1117" s="1">
        <v>45658</v>
      </c>
      <c r="Y1117" s="2">
        <v>52000</v>
      </c>
      <c r="Z1117" s="2">
        <v>0</v>
      </c>
      <c r="AA1117" s="2">
        <v>52000</v>
      </c>
    </row>
    <row r="1118" spans="1:27" x14ac:dyDescent="0.3">
      <c r="A1118" s="3">
        <v>15</v>
      </c>
      <c r="B1118" s="2" t="str">
        <f>"108020A00600CO"</f>
        <v>108020A00600CO</v>
      </c>
      <c r="C1118" s="2" t="s">
        <v>4175</v>
      </c>
      <c r="D1118" t="s">
        <v>29</v>
      </c>
      <c r="E1118" s="2" t="s">
        <v>30</v>
      </c>
      <c r="F1118" s="2">
        <v>37214</v>
      </c>
      <c r="G1118" s="2" t="s">
        <v>64</v>
      </c>
      <c r="H1118" t="s">
        <v>2707</v>
      </c>
      <c r="I1118" s="6">
        <v>32948</v>
      </c>
      <c r="J1118" s="2" t="s">
        <v>4176</v>
      </c>
      <c r="K1118" s="2">
        <v>51500</v>
      </c>
      <c r="L1118" t="s">
        <v>2689</v>
      </c>
      <c r="M1118" t="s">
        <v>29</v>
      </c>
      <c r="N1118" t="s">
        <v>30</v>
      </c>
      <c r="O1118">
        <v>37214</v>
      </c>
      <c r="P1118" t="s">
        <v>4177</v>
      </c>
      <c r="Q1118" s="2">
        <v>0</v>
      </c>
      <c r="R1118" s="2">
        <v>0</v>
      </c>
      <c r="S1118" s="2">
        <v>0</v>
      </c>
      <c r="T1118" t="s">
        <v>4138</v>
      </c>
      <c r="U1118" s="6">
        <v>29654</v>
      </c>
      <c r="V1118" s="2">
        <v>47037015502</v>
      </c>
      <c r="W1118" s="2" t="s">
        <v>68</v>
      </c>
      <c r="X1118" s="1">
        <v>45658</v>
      </c>
      <c r="Y1118" s="2">
        <v>52000</v>
      </c>
      <c r="Z1118" s="2">
        <v>0</v>
      </c>
      <c r="AA1118" s="2">
        <v>52000</v>
      </c>
    </row>
    <row r="1119" spans="1:27" x14ac:dyDescent="0.3">
      <c r="A1119" s="3">
        <v>15</v>
      </c>
      <c r="B1119" s="2" t="str">
        <f>"108020A00500CO"</f>
        <v>108020A00500CO</v>
      </c>
      <c r="C1119" s="2" t="s">
        <v>4178</v>
      </c>
      <c r="D1119" t="s">
        <v>29</v>
      </c>
      <c r="E1119" s="2" t="s">
        <v>30</v>
      </c>
      <c r="F1119" s="2">
        <v>37214</v>
      </c>
      <c r="G1119" s="2" t="s">
        <v>64</v>
      </c>
      <c r="H1119" t="s">
        <v>2707</v>
      </c>
      <c r="I1119" s="6">
        <v>32899</v>
      </c>
      <c r="J1119" s="2" t="s">
        <v>4179</v>
      </c>
      <c r="K1119" s="2">
        <v>53000</v>
      </c>
      <c r="L1119" t="s">
        <v>2689</v>
      </c>
      <c r="M1119" t="s">
        <v>29</v>
      </c>
      <c r="N1119" t="s">
        <v>30</v>
      </c>
      <c r="O1119">
        <v>37214</v>
      </c>
      <c r="P1119" t="s">
        <v>4180</v>
      </c>
      <c r="Q1119" s="2">
        <v>0</v>
      </c>
      <c r="R1119" s="2">
        <v>0</v>
      </c>
      <c r="S1119" s="2">
        <v>0</v>
      </c>
      <c r="T1119" t="s">
        <v>4138</v>
      </c>
      <c r="U1119" s="6">
        <v>29654</v>
      </c>
      <c r="V1119" s="2">
        <v>47037015502</v>
      </c>
      <c r="W1119" s="2" t="s">
        <v>68</v>
      </c>
      <c r="X1119" s="1">
        <v>45658</v>
      </c>
      <c r="Y1119" s="2">
        <v>52000</v>
      </c>
      <c r="Z1119" s="2">
        <v>0</v>
      </c>
      <c r="AA1119" s="2">
        <v>52000</v>
      </c>
    </row>
    <row r="1120" spans="1:27" x14ac:dyDescent="0.3">
      <c r="A1120" s="3">
        <v>15</v>
      </c>
      <c r="B1120" s="2" t="str">
        <f>"10800003100"</f>
        <v>10800003100</v>
      </c>
      <c r="C1120" s="2" t="s">
        <v>4181</v>
      </c>
      <c r="D1120" t="s">
        <v>29</v>
      </c>
      <c r="E1120" s="2" t="s">
        <v>30</v>
      </c>
      <c r="F1120" s="2">
        <v>37214</v>
      </c>
      <c r="G1120" s="2" t="s">
        <v>41</v>
      </c>
      <c r="H1120" t="s">
        <v>2707</v>
      </c>
      <c r="I1120" s="6">
        <v>33885</v>
      </c>
      <c r="J1120" s="2" t="s">
        <v>4182</v>
      </c>
      <c r="K1120" s="2">
        <v>88100</v>
      </c>
      <c r="L1120" t="s">
        <v>2689</v>
      </c>
      <c r="M1120" t="s">
        <v>29</v>
      </c>
      <c r="N1120" t="s">
        <v>30</v>
      </c>
      <c r="O1120">
        <v>37214</v>
      </c>
      <c r="P1120" t="s">
        <v>4183</v>
      </c>
      <c r="Q1120" s="2">
        <v>1.49</v>
      </c>
      <c r="R1120" s="2">
        <v>0</v>
      </c>
      <c r="S1120" s="2">
        <v>0</v>
      </c>
      <c r="T1120" t="s">
        <v>4184</v>
      </c>
      <c r="U1120" s="6">
        <v>26057</v>
      </c>
      <c r="V1120" s="2">
        <v>47037015502</v>
      </c>
      <c r="W1120" s="2" t="s">
        <v>68</v>
      </c>
      <c r="X1120" s="1">
        <v>45658</v>
      </c>
      <c r="Y1120" s="2">
        <v>590600</v>
      </c>
      <c r="Z1120" s="2">
        <v>0</v>
      </c>
      <c r="AA1120" s="2">
        <v>590600</v>
      </c>
    </row>
    <row r="1121" spans="1:27" x14ac:dyDescent="0.3">
      <c r="A1121" s="3">
        <v>15</v>
      </c>
      <c r="B1121" s="2" t="str">
        <f>"10800003000"</f>
        <v>10800003000</v>
      </c>
      <c r="C1121" s="2" t="s">
        <v>2607</v>
      </c>
      <c r="D1121" t="s">
        <v>29</v>
      </c>
      <c r="E1121" s="2" t="s">
        <v>30</v>
      </c>
      <c r="F1121" s="2">
        <v>37214</v>
      </c>
      <c r="G1121" s="2" t="s">
        <v>64</v>
      </c>
      <c r="H1121" t="s">
        <v>2707</v>
      </c>
      <c r="I1121" s="6">
        <v>33939</v>
      </c>
      <c r="J1121" s="2" t="s">
        <v>4185</v>
      </c>
      <c r="K1121" s="2" t="s">
        <v>34</v>
      </c>
      <c r="L1121" t="s">
        <v>2689</v>
      </c>
      <c r="M1121" t="s">
        <v>29</v>
      </c>
      <c r="N1121" t="s">
        <v>30</v>
      </c>
      <c r="O1121">
        <v>37214</v>
      </c>
      <c r="P1121" t="s">
        <v>4186</v>
      </c>
      <c r="Q1121" s="2">
        <v>0.47</v>
      </c>
      <c r="R1121" s="2">
        <v>245</v>
      </c>
      <c r="S1121" s="2">
        <v>180</v>
      </c>
      <c r="T1121" t="s">
        <v>4187</v>
      </c>
      <c r="U1121" s="6">
        <v>26418</v>
      </c>
      <c r="V1121" s="2">
        <v>47037015502</v>
      </c>
      <c r="W1121" s="2" t="s">
        <v>68</v>
      </c>
      <c r="X1121" s="1">
        <v>45658</v>
      </c>
      <c r="Y1121" s="2">
        <v>3300</v>
      </c>
      <c r="Z1121" s="2">
        <v>0</v>
      </c>
      <c r="AA1121" s="2">
        <v>3300</v>
      </c>
    </row>
    <row r="1122" spans="1:27" x14ac:dyDescent="0.3">
      <c r="A1122" s="3">
        <v>15</v>
      </c>
      <c r="B1122" s="2" t="str">
        <f>"10800002800"</f>
        <v>10800002800</v>
      </c>
      <c r="C1122" s="2" t="s">
        <v>2607</v>
      </c>
      <c r="D1122" t="s">
        <v>29</v>
      </c>
      <c r="E1122" s="2" t="s">
        <v>30</v>
      </c>
      <c r="F1122" s="2">
        <v>37214</v>
      </c>
      <c r="G1122" s="2" t="s">
        <v>64</v>
      </c>
      <c r="H1122" t="s">
        <v>2707</v>
      </c>
      <c r="I1122" s="6">
        <v>34500</v>
      </c>
      <c r="J1122" s="2" t="s">
        <v>4188</v>
      </c>
      <c r="K1122" s="2" t="s">
        <v>34</v>
      </c>
      <c r="L1122" t="s">
        <v>2689</v>
      </c>
      <c r="M1122" t="s">
        <v>29</v>
      </c>
      <c r="N1122" t="s">
        <v>30</v>
      </c>
      <c r="O1122">
        <v>37214</v>
      </c>
      <c r="P1122" t="s">
        <v>4189</v>
      </c>
      <c r="Q1122" s="2">
        <v>0.18</v>
      </c>
      <c r="R1122" s="2">
        <v>210</v>
      </c>
      <c r="S1122" s="2">
        <v>190</v>
      </c>
      <c r="T1122" t="s">
        <v>4190</v>
      </c>
      <c r="U1122" s="6">
        <v>21733</v>
      </c>
      <c r="V1122" s="2">
        <v>47037015502</v>
      </c>
      <c r="W1122" s="2" t="s">
        <v>68</v>
      </c>
      <c r="X1122" s="1">
        <v>45658</v>
      </c>
      <c r="Y1122" s="2">
        <v>3300</v>
      </c>
      <c r="Z1122" s="2">
        <v>0</v>
      </c>
      <c r="AA1122" s="2">
        <v>3300</v>
      </c>
    </row>
    <row r="1123" spans="1:27" x14ac:dyDescent="0.3">
      <c r="A1123" s="3">
        <v>16</v>
      </c>
      <c r="B1123" s="2" t="str">
        <f>"11902010300"</f>
        <v>11902010300</v>
      </c>
      <c r="C1123" s="2" t="s">
        <v>4191</v>
      </c>
      <c r="D1123" t="s">
        <v>29</v>
      </c>
      <c r="E1123" s="2" t="s">
        <v>30</v>
      </c>
      <c r="F1123" s="2">
        <v>37210</v>
      </c>
      <c r="G1123" s="2" t="s">
        <v>64</v>
      </c>
      <c r="H1123" t="s">
        <v>32</v>
      </c>
      <c r="I1123" s="6">
        <v>42443</v>
      </c>
      <c r="J1123" s="2" t="s">
        <v>4192</v>
      </c>
      <c r="K1123" s="2">
        <v>720</v>
      </c>
      <c r="L1123" t="s">
        <v>35</v>
      </c>
      <c r="M1123" t="s">
        <v>29</v>
      </c>
      <c r="N1123" t="s">
        <v>30</v>
      </c>
      <c r="O1123">
        <v>37219</v>
      </c>
      <c r="P1123" t="s">
        <v>4193</v>
      </c>
      <c r="Q1123" s="2">
        <v>0.08</v>
      </c>
      <c r="R1123" s="2">
        <v>117</v>
      </c>
      <c r="S1123" s="2">
        <v>57</v>
      </c>
      <c r="T1123" t="s">
        <v>4194</v>
      </c>
      <c r="U1123" s="6">
        <v>23585</v>
      </c>
      <c r="V1123" s="2">
        <v>47037017300</v>
      </c>
      <c r="W1123" s="2" t="s">
        <v>68</v>
      </c>
      <c r="X1123" s="1">
        <v>45658</v>
      </c>
      <c r="Y1123" s="2">
        <v>1000</v>
      </c>
      <c r="Z1123" s="2">
        <v>0</v>
      </c>
      <c r="AA1123" s="2">
        <v>1000</v>
      </c>
    </row>
    <row r="1124" spans="1:27" x14ac:dyDescent="0.3">
      <c r="A1124" s="3">
        <v>16</v>
      </c>
      <c r="B1124" s="2" t="str">
        <f>"11907004400"</f>
        <v>11907004400</v>
      </c>
      <c r="C1124" s="2" t="s">
        <v>4195</v>
      </c>
      <c r="D1124" t="s">
        <v>29</v>
      </c>
      <c r="E1124" s="2" t="s">
        <v>30</v>
      </c>
      <c r="F1124" s="2">
        <v>37210</v>
      </c>
      <c r="G1124" s="2" t="s">
        <v>64</v>
      </c>
      <c r="H1124" t="s">
        <v>32</v>
      </c>
      <c r="I1124" s="6">
        <v>41359</v>
      </c>
      <c r="J1124" s="2" t="s">
        <v>4196</v>
      </c>
      <c r="K1124" s="2">
        <v>0</v>
      </c>
      <c r="L1124" t="s">
        <v>35</v>
      </c>
      <c r="M1124" t="s">
        <v>29</v>
      </c>
      <c r="N1124" t="s">
        <v>30</v>
      </c>
      <c r="O1124">
        <v>37219</v>
      </c>
      <c r="P1124" t="s">
        <v>4197</v>
      </c>
      <c r="Q1124" s="2">
        <v>2.96</v>
      </c>
      <c r="R1124" s="2">
        <v>0</v>
      </c>
      <c r="S1124" s="2">
        <v>0</v>
      </c>
      <c r="T1124" t="s">
        <v>4198</v>
      </c>
      <c r="U1124" s="6">
        <v>16298</v>
      </c>
      <c r="V1124" s="2">
        <v>47037015802</v>
      </c>
      <c r="W1124" s="2" t="s">
        <v>68</v>
      </c>
      <c r="X1124" s="1">
        <v>45658</v>
      </c>
      <c r="Y1124" s="2">
        <v>3300</v>
      </c>
      <c r="Z1124" s="2">
        <v>0</v>
      </c>
      <c r="AA1124" s="2">
        <v>3300</v>
      </c>
    </row>
    <row r="1125" spans="1:27" x14ac:dyDescent="0.3">
      <c r="A1125" s="3">
        <v>16</v>
      </c>
      <c r="B1125" s="2" t="str">
        <f>"11908004400"</f>
        <v>11908004400</v>
      </c>
      <c r="C1125" s="2" t="s">
        <v>4199</v>
      </c>
      <c r="D1125" t="s">
        <v>29</v>
      </c>
      <c r="E1125" s="2" t="s">
        <v>30</v>
      </c>
      <c r="F1125" s="2">
        <v>37211</v>
      </c>
      <c r="G1125" s="2" t="s">
        <v>41</v>
      </c>
      <c r="H1125" t="s">
        <v>32</v>
      </c>
      <c r="I1125" s="6">
        <v>40820</v>
      </c>
      <c r="J1125" s="2" t="s">
        <v>4200</v>
      </c>
      <c r="K1125" s="2">
        <v>0</v>
      </c>
      <c r="L1125" t="s">
        <v>35</v>
      </c>
      <c r="M1125" t="s">
        <v>29</v>
      </c>
      <c r="N1125" t="s">
        <v>30</v>
      </c>
      <c r="O1125">
        <v>37219</v>
      </c>
      <c r="P1125" t="s">
        <v>4201</v>
      </c>
      <c r="Q1125" s="2">
        <v>0.87</v>
      </c>
      <c r="R1125" s="2">
        <v>69</v>
      </c>
      <c r="S1125" s="2">
        <v>621</v>
      </c>
      <c r="T1125" t="s">
        <v>4202</v>
      </c>
      <c r="U1125" s="6">
        <v>36557</v>
      </c>
      <c r="V1125" s="2">
        <v>47037015802</v>
      </c>
      <c r="W1125" s="2" t="s">
        <v>68</v>
      </c>
      <c r="X1125" s="1">
        <v>45658</v>
      </c>
      <c r="Y1125" s="2">
        <v>3800</v>
      </c>
      <c r="Z1125" s="2">
        <v>0</v>
      </c>
      <c r="AA1125" s="2">
        <v>3800</v>
      </c>
    </row>
    <row r="1126" spans="1:27" x14ac:dyDescent="0.3">
      <c r="A1126" s="3">
        <v>16</v>
      </c>
      <c r="B1126" s="2" t="str">
        <f>"11907004600"</f>
        <v>11907004600</v>
      </c>
      <c r="C1126" s="2" t="s">
        <v>4195</v>
      </c>
      <c r="D1126" t="s">
        <v>29</v>
      </c>
      <c r="E1126" s="2" t="s">
        <v>30</v>
      </c>
      <c r="F1126" s="2">
        <v>37210</v>
      </c>
      <c r="G1126" s="2" t="s">
        <v>64</v>
      </c>
      <c r="H1126" t="s">
        <v>32</v>
      </c>
      <c r="I1126" s="6">
        <v>41575</v>
      </c>
      <c r="J1126" s="2" t="s">
        <v>4203</v>
      </c>
      <c r="K1126" s="2">
        <v>0</v>
      </c>
      <c r="L1126" t="s">
        <v>35</v>
      </c>
      <c r="M1126" t="s">
        <v>29</v>
      </c>
      <c r="N1126" t="s">
        <v>30</v>
      </c>
      <c r="O1126">
        <v>37219</v>
      </c>
      <c r="P1126" t="s">
        <v>4204</v>
      </c>
      <c r="Q1126" s="2">
        <v>0.42</v>
      </c>
      <c r="R1126" s="2">
        <v>276</v>
      </c>
      <c r="S1126" s="2">
        <v>140</v>
      </c>
      <c r="T1126" t="s">
        <v>4205</v>
      </c>
      <c r="U1126" s="6">
        <v>15284</v>
      </c>
      <c r="V1126" s="2">
        <v>47037015802</v>
      </c>
      <c r="W1126" s="2" t="s">
        <v>68</v>
      </c>
      <c r="X1126" s="1">
        <v>45658</v>
      </c>
      <c r="Y1126" s="2">
        <v>2500</v>
      </c>
      <c r="Z1126" s="2">
        <v>0</v>
      </c>
      <c r="AA1126" s="2">
        <v>2500</v>
      </c>
    </row>
    <row r="1127" spans="1:27" x14ac:dyDescent="0.3">
      <c r="A1127" s="3">
        <v>16</v>
      </c>
      <c r="B1127" s="2" t="str">
        <f>"11907004500"</f>
        <v>11907004500</v>
      </c>
      <c r="C1127" s="2" t="s">
        <v>4195</v>
      </c>
      <c r="D1127" t="s">
        <v>29</v>
      </c>
      <c r="E1127" s="2" t="s">
        <v>30</v>
      </c>
      <c r="F1127" s="2">
        <v>37210</v>
      </c>
      <c r="G1127" s="2" t="s">
        <v>64</v>
      </c>
      <c r="H1127" t="s">
        <v>32</v>
      </c>
      <c r="I1127" s="6">
        <v>41575</v>
      </c>
      <c r="J1127" s="2" t="s">
        <v>4203</v>
      </c>
      <c r="K1127" s="2">
        <v>0</v>
      </c>
      <c r="L1127" t="s">
        <v>35</v>
      </c>
      <c r="M1127" t="s">
        <v>29</v>
      </c>
      <c r="N1127" t="s">
        <v>30</v>
      </c>
      <c r="O1127">
        <v>37219</v>
      </c>
      <c r="P1127" t="s">
        <v>4206</v>
      </c>
      <c r="Q1127" s="2">
        <v>4.57</v>
      </c>
      <c r="R1127" s="2">
        <v>0</v>
      </c>
      <c r="S1127" s="2">
        <v>0</v>
      </c>
      <c r="T1127" t="s">
        <v>4205</v>
      </c>
      <c r="U1127" s="6">
        <v>15284</v>
      </c>
      <c r="V1127" s="2">
        <v>47037015802</v>
      </c>
      <c r="W1127" s="2" t="s">
        <v>68</v>
      </c>
      <c r="X1127" s="1">
        <v>45658</v>
      </c>
      <c r="Y1127" s="2">
        <v>12600</v>
      </c>
      <c r="Z1127" s="2">
        <v>0</v>
      </c>
      <c r="AA1127" s="2">
        <v>12600</v>
      </c>
    </row>
    <row r="1128" spans="1:27" x14ac:dyDescent="0.3">
      <c r="A1128" s="3">
        <v>16</v>
      </c>
      <c r="B1128" s="2" t="str">
        <f>"11908004500"</f>
        <v>11908004500</v>
      </c>
      <c r="C1128" s="2" t="s">
        <v>4207</v>
      </c>
      <c r="D1128" t="s">
        <v>29</v>
      </c>
      <c r="E1128" s="2" t="s">
        <v>30</v>
      </c>
      <c r="F1128" s="2">
        <v>37211</v>
      </c>
      <c r="G1128" s="2" t="s">
        <v>41</v>
      </c>
      <c r="H1128" t="s">
        <v>32</v>
      </c>
      <c r="I1128" s="6">
        <v>40820</v>
      </c>
      <c r="J1128" s="2" t="s">
        <v>4200</v>
      </c>
      <c r="K1128" s="2">
        <v>0</v>
      </c>
      <c r="L1128" t="s">
        <v>35</v>
      </c>
      <c r="M1128" t="s">
        <v>29</v>
      </c>
      <c r="N1128" t="s">
        <v>30</v>
      </c>
      <c r="O1128">
        <v>37219</v>
      </c>
      <c r="P1128" t="s">
        <v>4201</v>
      </c>
      <c r="Q1128" s="2">
        <v>2.58</v>
      </c>
      <c r="R1128" s="2">
        <v>0</v>
      </c>
      <c r="S1128" s="2">
        <v>0</v>
      </c>
      <c r="T1128" t="s">
        <v>4202</v>
      </c>
      <c r="U1128" s="6">
        <v>36557</v>
      </c>
      <c r="V1128" s="2">
        <v>47037015802</v>
      </c>
      <c r="W1128" s="2" t="s">
        <v>68</v>
      </c>
      <c r="X1128" s="1">
        <v>45658</v>
      </c>
      <c r="Y1128" s="2">
        <v>281000</v>
      </c>
      <c r="Z1128" s="2">
        <v>0</v>
      </c>
      <c r="AA1128" s="2">
        <v>281000</v>
      </c>
    </row>
    <row r="1129" spans="1:27" x14ac:dyDescent="0.3">
      <c r="A1129" s="3">
        <v>16</v>
      </c>
      <c r="B1129" s="2" t="str">
        <f>"10606008300"</f>
        <v>10606008300</v>
      </c>
      <c r="C1129" s="2" t="s">
        <v>4208</v>
      </c>
      <c r="D1129" t="s">
        <v>29</v>
      </c>
      <c r="E1129" s="2" t="s">
        <v>30</v>
      </c>
      <c r="F1129" s="2">
        <v>37210</v>
      </c>
      <c r="G1129" s="2" t="s">
        <v>41</v>
      </c>
      <c r="H1129" t="s">
        <v>32</v>
      </c>
      <c r="I1129" s="6">
        <v>41961</v>
      </c>
      <c r="J1129" s="2" t="s">
        <v>4209</v>
      </c>
      <c r="K1129" s="2">
        <v>0</v>
      </c>
      <c r="L1129" t="s">
        <v>35</v>
      </c>
      <c r="M1129" t="s">
        <v>29</v>
      </c>
      <c r="N1129" t="s">
        <v>30</v>
      </c>
      <c r="O1129">
        <v>37219</v>
      </c>
      <c r="P1129" t="s">
        <v>4210</v>
      </c>
      <c r="Q1129" s="2">
        <v>6.56</v>
      </c>
      <c r="R1129" s="2">
        <v>0</v>
      </c>
      <c r="S1129" s="2">
        <v>0</v>
      </c>
      <c r="T1129" t="s">
        <v>62</v>
      </c>
      <c r="U1129" s="6">
        <v>31637</v>
      </c>
      <c r="V1129" s="2">
        <v>47037015900</v>
      </c>
      <c r="W1129" s="2" t="s">
        <v>68</v>
      </c>
      <c r="X1129" s="1">
        <v>45658</v>
      </c>
      <c r="Y1129" s="2">
        <v>12178300</v>
      </c>
      <c r="Z1129" s="2">
        <v>0</v>
      </c>
      <c r="AA1129" s="2">
        <v>12178300</v>
      </c>
    </row>
    <row r="1130" spans="1:27" x14ac:dyDescent="0.3">
      <c r="A1130" s="3">
        <v>16</v>
      </c>
      <c r="B1130" s="2" t="str">
        <f>"10606008700"</f>
        <v>10606008700</v>
      </c>
      <c r="C1130" s="2" t="s">
        <v>4211</v>
      </c>
      <c r="D1130" t="s">
        <v>29</v>
      </c>
      <c r="E1130" s="2" t="s">
        <v>30</v>
      </c>
      <c r="F1130" s="2">
        <v>37210</v>
      </c>
      <c r="G1130" s="2" t="s">
        <v>41</v>
      </c>
      <c r="H1130" t="s">
        <v>32</v>
      </c>
      <c r="I1130" s="6">
        <v>41961</v>
      </c>
      <c r="J1130" s="2" t="s">
        <v>4209</v>
      </c>
      <c r="K1130" s="2">
        <v>0</v>
      </c>
      <c r="L1130" t="s">
        <v>35</v>
      </c>
      <c r="M1130" t="s">
        <v>29</v>
      </c>
      <c r="N1130" t="s">
        <v>30</v>
      </c>
      <c r="O1130">
        <v>37219</v>
      </c>
      <c r="P1130" t="s">
        <v>4212</v>
      </c>
      <c r="Q1130" s="2">
        <v>1.38</v>
      </c>
      <c r="R1130" s="2">
        <v>119</v>
      </c>
      <c r="S1130" s="2">
        <v>526</v>
      </c>
      <c r="T1130" t="s">
        <v>4213</v>
      </c>
      <c r="U1130" s="6">
        <v>31637</v>
      </c>
      <c r="V1130" s="2">
        <v>47037015900</v>
      </c>
      <c r="W1130" s="2" t="s">
        <v>68</v>
      </c>
      <c r="X1130" s="1">
        <v>45658</v>
      </c>
      <c r="Y1130" s="2">
        <v>2611700</v>
      </c>
      <c r="Z1130" s="2">
        <v>0</v>
      </c>
      <c r="AA1130" s="2">
        <v>2611700</v>
      </c>
    </row>
    <row r="1131" spans="1:27" x14ac:dyDescent="0.3">
      <c r="A1131" s="3">
        <v>16</v>
      </c>
      <c r="B1131" s="2" t="str">
        <f>"10600017500"</f>
        <v>10600017500</v>
      </c>
      <c r="C1131" s="2" t="s">
        <v>4214</v>
      </c>
      <c r="D1131" t="s">
        <v>29</v>
      </c>
      <c r="E1131" s="2" t="s">
        <v>30</v>
      </c>
      <c r="F1131" s="2">
        <v>37210</v>
      </c>
      <c r="G1131" s="2" t="s">
        <v>64</v>
      </c>
      <c r="H1131" t="s">
        <v>32</v>
      </c>
      <c r="I1131" s="6">
        <v>41627</v>
      </c>
      <c r="J1131" s="2" t="s">
        <v>4215</v>
      </c>
      <c r="K1131" s="2">
        <v>0</v>
      </c>
      <c r="L1131" t="s">
        <v>35</v>
      </c>
      <c r="M1131" t="s">
        <v>29</v>
      </c>
      <c r="N1131" t="s">
        <v>30</v>
      </c>
      <c r="O1131">
        <v>37219</v>
      </c>
      <c r="P1131" t="s">
        <v>4216</v>
      </c>
      <c r="Q1131" s="2">
        <v>8.6</v>
      </c>
      <c r="R1131" s="2">
        <v>196</v>
      </c>
      <c r="S1131" s="2">
        <v>0</v>
      </c>
      <c r="T1131" t="s">
        <v>4215</v>
      </c>
      <c r="U1131" s="6">
        <v>41627</v>
      </c>
      <c r="V1131" s="2">
        <v>47037015900</v>
      </c>
      <c r="W1131" s="2" t="s">
        <v>68</v>
      </c>
      <c r="X1131" s="1">
        <v>45658</v>
      </c>
      <c r="Y1131" s="2">
        <v>887500</v>
      </c>
      <c r="Z1131" s="2">
        <v>0</v>
      </c>
      <c r="AA1131" s="2">
        <v>887500</v>
      </c>
    </row>
    <row r="1132" spans="1:27" x14ac:dyDescent="0.3">
      <c r="A1132" s="3">
        <v>16</v>
      </c>
      <c r="B1132" s="2" t="str">
        <f>"11907004800"</f>
        <v>11907004800</v>
      </c>
      <c r="C1132" s="2" t="s">
        <v>4217</v>
      </c>
      <c r="D1132" t="s">
        <v>29</v>
      </c>
      <c r="E1132" s="2" t="s">
        <v>30</v>
      </c>
      <c r="F1132" s="2">
        <v>37210</v>
      </c>
      <c r="G1132" s="2" t="s">
        <v>64</v>
      </c>
      <c r="H1132" t="s">
        <v>32</v>
      </c>
      <c r="I1132" s="6">
        <v>42639</v>
      </c>
      <c r="J1132" s="2" t="s">
        <v>4218</v>
      </c>
      <c r="K1132" s="2">
        <v>1903</v>
      </c>
      <c r="L1132" t="s">
        <v>35</v>
      </c>
      <c r="M1132" t="s">
        <v>29</v>
      </c>
      <c r="N1132" t="s">
        <v>30</v>
      </c>
      <c r="O1132">
        <v>37219</v>
      </c>
      <c r="P1132" t="s">
        <v>4219</v>
      </c>
      <c r="Q1132" s="2">
        <v>0.22</v>
      </c>
      <c r="R1132" s="2">
        <v>158</v>
      </c>
      <c r="S1132" s="2">
        <v>74</v>
      </c>
      <c r="T1132" t="s">
        <v>4220</v>
      </c>
      <c r="U1132" s="6">
        <v>16053</v>
      </c>
      <c r="V1132" s="2">
        <v>47037017300</v>
      </c>
      <c r="W1132" s="2" t="s">
        <v>68</v>
      </c>
      <c r="X1132" s="1">
        <v>45658</v>
      </c>
      <c r="Y1132" s="2">
        <v>1000</v>
      </c>
      <c r="Z1132" s="2">
        <v>0</v>
      </c>
      <c r="AA1132" s="2">
        <v>1000</v>
      </c>
    </row>
    <row r="1133" spans="1:27" x14ac:dyDescent="0.3">
      <c r="A1133" s="3">
        <v>16</v>
      </c>
      <c r="B1133" s="2" t="str">
        <f>"11901012000"</f>
        <v>11901012000</v>
      </c>
      <c r="C1133" s="2" t="s">
        <v>4221</v>
      </c>
      <c r="D1133" t="s">
        <v>29</v>
      </c>
      <c r="E1133" s="2" t="s">
        <v>30</v>
      </c>
      <c r="F1133" s="2">
        <v>37210</v>
      </c>
      <c r="G1133" s="2" t="s">
        <v>64</v>
      </c>
      <c r="H1133" t="s">
        <v>99</v>
      </c>
      <c r="I1133" s="6">
        <v>28572</v>
      </c>
      <c r="J1133" s="2" t="s">
        <v>4222</v>
      </c>
      <c r="K1133" s="2">
        <v>205</v>
      </c>
      <c r="L1133" t="s">
        <v>35</v>
      </c>
      <c r="M1133" t="s">
        <v>29</v>
      </c>
      <c r="N1133" t="s">
        <v>30</v>
      </c>
      <c r="O1133">
        <v>37219</v>
      </c>
      <c r="P1133" t="s">
        <v>4223</v>
      </c>
      <c r="Q1133" s="2">
        <v>7.0000000000000007E-2</v>
      </c>
      <c r="R1133" s="2">
        <v>30</v>
      </c>
      <c r="S1133" s="2">
        <v>152</v>
      </c>
      <c r="T1133" t="s">
        <v>4224</v>
      </c>
      <c r="U1133" s="6">
        <v>17278</v>
      </c>
      <c r="V1133" s="2">
        <v>47037017300</v>
      </c>
      <c r="W1133" s="2" t="s">
        <v>68</v>
      </c>
      <c r="X1133" s="1">
        <v>45658</v>
      </c>
      <c r="Y1133" s="2">
        <v>1000</v>
      </c>
      <c r="Z1133" s="2">
        <v>0</v>
      </c>
      <c r="AA1133" s="2">
        <v>1000</v>
      </c>
    </row>
    <row r="1134" spans="1:27" x14ac:dyDescent="0.3">
      <c r="A1134" s="3">
        <v>16</v>
      </c>
      <c r="B1134" s="2" t="str">
        <f>"10605007800"</f>
        <v>10605007800</v>
      </c>
      <c r="C1134" s="2" t="s">
        <v>4225</v>
      </c>
      <c r="D1134" t="s">
        <v>29</v>
      </c>
      <c r="E1134" s="2" t="s">
        <v>30</v>
      </c>
      <c r="F1134" s="2">
        <v>37210</v>
      </c>
      <c r="G1134" s="2" t="s">
        <v>147</v>
      </c>
      <c r="H1134" t="s">
        <v>4226</v>
      </c>
      <c r="I1134" s="6">
        <v>23021</v>
      </c>
      <c r="J1134" s="2" t="s">
        <v>4227</v>
      </c>
      <c r="K1134" s="2" t="s">
        <v>34</v>
      </c>
      <c r="L1134" t="s">
        <v>35</v>
      </c>
      <c r="M1134" t="s">
        <v>29</v>
      </c>
      <c r="N1134" t="s">
        <v>30</v>
      </c>
      <c r="O1134">
        <v>37219</v>
      </c>
      <c r="P1134" t="s">
        <v>4228</v>
      </c>
      <c r="Q1134" s="2">
        <v>1.1000000000000001</v>
      </c>
      <c r="R1134" s="2">
        <v>164</v>
      </c>
      <c r="S1134" s="2">
        <v>139</v>
      </c>
      <c r="T1134" t="s">
        <v>4229</v>
      </c>
      <c r="U1134" s="6">
        <v>34430</v>
      </c>
      <c r="V1134" s="2">
        <v>47037015900</v>
      </c>
      <c r="W1134" s="2" t="s">
        <v>68</v>
      </c>
      <c r="X1134" s="1">
        <v>45658</v>
      </c>
      <c r="Y1134" s="2">
        <v>958300</v>
      </c>
      <c r="Z1134" s="2">
        <v>0</v>
      </c>
      <c r="AA1134" s="2">
        <v>958300</v>
      </c>
    </row>
    <row r="1135" spans="1:27" x14ac:dyDescent="0.3">
      <c r="A1135" s="3">
        <v>16</v>
      </c>
      <c r="B1135" s="2" t="str">
        <f>"11905027700"</f>
        <v>11905027700</v>
      </c>
      <c r="C1135" s="2" t="s">
        <v>4230</v>
      </c>
      <c r="D1135" t="s">
        <v>29</v>
      </c>
      <c r="E1135" s="2" t="s">
        <v>30</v>
      </c>
      <c r="F1135" s="2">
        <v>37210</v>
      </c>
      <c r="G1135" s="2" t="s">
        <v>147</v>
      </c>
      <c r="H1135" t="s">
        <v>4231</v>
      </c>
      <c r="I1135" s="6">
        <v>22808</v>
      </c>
      <c r="J1135" s="2" t="s">
        <v>4232</v>
      </c>
      <c r="K1135" s="2" t="s">
        <v>34</v>
      </c>
      <c r="L1135" t="s">
        <v>35</v>
      </c>
      <c r="M1135" t="s">
        <v>29</v>
      </c>
      <c r="N1135" t="s">
        <v>30</v>
      </c>
      <c r="O1135">
        <v>37219</v>
      </c>
      <c r="P1135" t="s">
        <v>4233</v>
      </c>
      <c r="Q1135" s="2">
        <v>1.18</v>
      </c>
      <c r="R1135" s="2">
        <v>210</v>
      </c>
      <c r="S1135" s="2">
        <v>206</v>
      </c>
      <c r="T1135" t="s">
        <v>4232</v>
      </c>
      <c r="U1135" s="6">
        <v>22808</v>
      </c>
      <c r="V1135" s="2">
        <v>47037017300</v>
      </c>
      <c r="W1135" s="2" t="s">
        <v>68</v>
      </c>
      <c r="X1135" s="1">
        <v>45658</v>
      </c>
      <c r="Y1135" s="2">
        <v>1799000</v>
      </c>
      <c r="Z1135" s="2">
        <v>0</v>
      </c>
      <c r="AA1135" s="2">
        <v>1799000</v>
      </c>
    </row>
    <row r="1136" spans="1:27" x14ac:dyDescent="0.3">
      <c r="A1136" s="3">
        <v>16</v>
      </c>
      <c r="B1136" s="2" t="str">
        <f>"11909014500"</f>
        <v>11909014500</v>
      </c>
      <c r="C1136" s="2" t="s">
        <v>4234</v>
      </c>
      <c r="D1136" t="s">
        <v>29</v>
      </c>
      <c r="E1136" s="2" t="s">
        <v>30</v>
      </c>
      <c r="F1136" s="2">
        <v>37211</v>
      </c>
      <c r="G1136" s="2" t="s">
        <v>1510</v>
      </c>
      <c r="H1136" t="s">
        <v>4235</v>
      </c>
      <c r="I1136" s="6">
        <v>23049</v>
      </c>
      <c r="J1136" s="2" t="s">
        <v>4236</v>
      </c>
      <c r="K1136" s="2" t="s">
        <v>34</v>
      </c>
      <c r="L1136" t="s">
        <v>35</v>
      </c>
      <c r="M1136" t="s">
        <v>29</v>
      </c>
      <c r="N1136" t="s">
        <v>30</v>
      </c>
      <c r="O1136">
        <v>37219</v>
      </c>
      <c r="P1136" t="s">
        <v>4237</v>
      </c>
      <c r="Q1136" s="2">
        <v>0.57999999999999996</v>
      </c>
      <c r="R1136" s="2">
        <v>140</v>
      </c>
      <c r="S1136" s="2">
        <v>177</v>
      </c>
      <c r="T1136" t="s">
        <v>4236</v>
      </c>
      <c r="U1136" s="6">
        <v>23049</v>
      </c>
      <c r="V1136" s="2">
        <v>47037017300</v>
      </c>
      <c r="W1136" s="2" t="s">
        <v>68</v>
      </c>
      <c r="X1136" s="1">
        <v>45658</v>
      </c>
      <c r="Y1136" s="2">
        <v>1010600</v>
      </c>
      <c r="Z1136" s="2">
        <v>0</v>
      </c>
      <c r="AA1136" s="2">
        <v>1010600</v>
      </c>
    </row>
    <row r="1137" spans="1:27" x14ac:dyDescent="0.3">
      <c r="A1137" s="3">
        <v>16</v>
      </c>
      <c r="B1137" s="2" t="str">
        <f>"11901032200"</f>
        <v>11901032200</v>
      </c>
      <c r="C1137" s="2" t="s">
        <v>4238</v>
      </c>
      <c r="D1137" t="s">
        <v>29</v>
      </c>
      <c r="E1137" s="2" t="s">
        <v>30</v>
      </c>
      <c r="F1137" s="2">
        <v>37210</v>
      </c>
      <c r="G1137" s="2" t="s">
        <v>253</v>
      </c>
      <c r="H1137" t="s">
        <v>4239</v>
      </c>
      <c r="I1137" s="6">
        <v>21504</v>
      </c>
      <c r="J1137" s="2" t="s">
        <v>4240</v>
      </c>
      <c r="K1137" s="2" t="s">
        <v>34</v>
      </c>
      <c r="L1137" t="s">
        <v>35</v>
      </c>
      <c r="M1137" t="s">
        <v>29</v>
      </c>
      <c r="N1137" t="s">
        <v>30</v>
      </c>
      <c r="O1137">
        <v>37219</v>
      </c>
      <c r="P1137" t="s">
        <v>4241</v>
      </c>
      <c r="Q1137" s="2">
        <v>0.26</v>
      </c>
      <c r="R1137" s="2">
        <v>75</v>
      </c>
      <c r="S1137" s="2">
        <v>150</v>
      </c>
      <c r="T1137" t="s">
        <v>4240</v>
      </c>
      <c r="U1137" s="6">
        <v>21504</v>
      </c>
      <c r="V1137" s="2">
        <v>47037017300</v>
      </c>
      <c r="W1137" s="2" t="s">
        <v>68</v>
      </c>
      <c r="X1137" s="1">
        <v>45658</v>
      </c>
      <c r="Y1137" s="2">
        <v>150000</v>
      </c>
      <c r="Z1137" s="2">
        <v>0</v>
      </c>
      <c r="AA1137" s="2">
        <v>150000</v>
      </c>
    </row>
    <row r="1138" spans="1:27" x14ac:dyDescent="0.3">
      <c r="A1138" s="3">
        <v>16</v>
      </c>
      <c r="B1138" s="2" t="str">
        <f>"11901032800"</f>
        <v>11901032800</v>
      </c>
      <c r="C1138" s="2" t="s">
        <v>4242</v>
      </c>
      <c r="D1138" t="s">
        <v>29</v>
      </c>
      <c r="E1138" s="2" t="s">
        <v>30</v>
      </c>
      <c r="F1138" s="2">
        <v>37210</v>
      </c>
      <c r="G1138" s="2" t="s">
        <v>253</v>
      </c>
      <c r="H1138" t="s">
        <v>4239</v>
      </c>
      <c r="I1138" s="6">
        <v>27395</v>
      </c>
      <c r="J1138" s="2" t="s">
        <v>4243</v>
      </c>
      <c r="K1138" s="2" t="s">
        <v>34</v>
      </c>
      <c r="L1138" t="s">
        <v>35</v>
      </c>
      <c r="M1138" t="s">
        <v>29</v>
      </c>
      <c r="N1138" t="s">
        <v>30</v>
      </c>
      <c r="O1138">
        <v>37219</v>
      </c>
      <c r="P1138" t="s">
        <v>4244</v>
      </c>
      <c r="Q1138" s="2">
        <v>1.61</v>
      </c>
      <c r="R1138" s="2">
        <v>463</v>
      </c>
      <c r="S1138" s="2">
        <v>150</v>
      </c>
      <c r="T1138" t="s">
        <v>4245</v>
      </c>
      <c r="U1138" s="6">
        <v>2545</v>
      </c>
      <c r="V1138" s="2">
        <v>47037017300</v>
      </c>
      <c r="W1138" s="2" t="s">
        <v>68</v>
      </c>
      <c r="X1138" s="1">
        <v>45658</v>
      </c>
      <c r="Y1138" s="2">
        <v>305900</v>
      </c>
      <c r="Z1138" s="2">
        <v>0</v>
      </c>
      <c r="AA1138" s="2">
        <v>305900</v>
      </c>
    </row>
    <row r="1139" spans="1:27" x14ac:dyDescent="0.3">
      <c r="A1139" s="3">
        <v>16</v>
      </c>
      <c r="B1139" s="2" t="str">
        <f>"11901040800"</f>
        <v>11901040800</v>
      </c>
      <c r="C1139" s="2" t="s">
        <v>4246</v>
      </c>
      <c r="D1139" t="s">
        <v>29</v>
      </c>
      <c r="E1139" s="2" t="s">
        <v>30</v>
      </c>
      <c r="F1139" s="2">
        <v>37210</v>
      </c>
      <c r="G1139" s="2" t="s">
        <v>253</v>
      </c>
      <c r="H1139" t="s">
        <v>4239</v>
      </c>
      <c r="I1139" s="6">
        <v>15894</v>
      </c>
      <c r="J1139" s="2" t="s">
        <v>4247</v>
      </c>
      <c r="K1139" s="2" t="s">
        <v>34</v>
      </c>
      <c r="L1139" t="s">
        <v>35</v>
      </c>
      <c r="M1139" t="s">
        <v>29</v>
      </c>
      <c r="N1139" t="s">
        <v>30</v>
      </c>
      <c r="O1139">
        <v>37219</v>
      </c>
      <c r="P1139" t="s">
        <v>4248</v>
      </c>
      <c r="Q1139" s="2">
        <v>0.52</v>
      </c>
      <c r="R1139" s="2">
        <v>163</v>
      </c>
      <c r="S1139" s="2">
        <v>150</v>
      </c>
      <c r="T1139" t="s">
        <v>4247</v>
      </c>
      <c r="U1139" s="6">
        <v>15894</v>
      </c>
      <c r="V1139" s="2">
        <v>47037017300</v>
      </c>
      <c r="W1139" s="2" t="s">
        <v>68</v>
      </c>
      <c r="X1139" s="1">
        <v>45658</v>
      </c>
      <c r="Y1139" s="2">
        <v>978000</v>
      </c>
      <c r="Z1139" s="2">
        <v>0</v>
      </c>
      <c r="AA1139" s="2">
        <v>978000</v>
      </c>
    </row>
    <row r="1140" spans="1:27" x14ac:dyDescent="0.3">
      <c r="A1140" s="3">
        <v>16</v>
      </c>
      <c r="B1140" s="2" t="str">
        <f>"11901038700"</f>
        <v>11901038700</v>
      </c>
      <c r="C1140" s="2" t="s">
        <v>4249</v>
      </c>
      <c r="D1140" t="s">
        <v>29</v>
      </c>
      <c r="E1140" s="2" t="s">
        <v>30</v>
      </c>
      <c r="F1140" s="2">
        <v>37210</v>
      </c>
      <c r="G1140" s="2" t="s">
        <v>253</v>
      </c>
      <c r="H1140" t="s">
        <v>4239</v>
      </c>
      <c r="I1140" s="6">
        <v>15894</v>
      </c>
      <c r="J1140" s="2" t="s">
        <v>4247</v>
      </c>
      <c r="K1140" s="2" t="s">
        <v>34</v>
      </c>
      <c r="L1140" t="s">
        <v>35</v>
      </c>
      <c r="M1140" t="s">
        <v>29</v>
      </c>
      <c r="N1140" t="s">
        <v>30</v>
      </c>
      <c r="O1140">
        <v>37219</v>
      </c>
      <c r="P1140" t="s">
        <v>4250</v>
      </c>
      <c r="Q1140" s="2">
        <v>0.36</v>
      </c>
      <c r="R1140" s="2">
        <v>113</v>
      </c>
      <c r="S1140" s="2">
        <v>150</v>
      </c>
      <c r="T1140" t="s">
        <v>4247</v>
      </c>
      <c r="U1140" s="6">
        <v>15894</v>
      </c>
      <c r="V1140" s="2">
        <v>47037017300</v>
      </c>
      <c r="W1140" s="2" t="s">
        <v>68</v>
      </c>
      <c r="X1140" s="1">
        <v>45658</v>
      </c>
      <c r="Y1140" s="2">
        <v>187500</v>
      </c>
      <c r="Z1140" s="2">
        <v>0</v>
      </c>
      <c r="AA1140" s="2">
        <v>187500</v>
      </c>
    </row>
    <row r="1141" spans="1:27" x14ac:dyDescent="0.3">
      <c r="A1141" s="3">
        <v>16</v>
      </c>
      <c r="B1141" s="2" t="str">
        <f>"10508024701"</f>
        <v>10508024701</v>
      </c>
      <c r="C1141" s="2" t="s">
        <v>4251</v>
      </c>
      <c r="D1141" t="s">
        <v>29</v>
      </c>
      <c r="E1141" s="2" t="s">
        <v>30</v>
      </c>
      <c r="F1141" s="2">
        <v>37210</v>
      </c>
      <c r="G1141" s="2" t="s">
        <v>41</v>
      </c>
      <c r="H1141" t="s">
        <v>176</v>
      </c>
      <c r="I1141" s="6">
        <v>35118</v>
      </c>
      <c r="J1141" s="2" t="s">
        <v>4252</v>
      </c>
      <c r="K1141" s="2">
        <v>5600</v>
      </c>
      <c r="L1141" t="s">
        <v>178</v>
      </c>
      <c r="M1141" t="s">
        <v>29</v>
      </c>
      <c r="N1141" t="s">
        <v>30</v>
      </c>
      <c r="O1141">
        <v>37246</v>
      </c>
      <c r="P1141" t="s">
        <v>4253</v>
      </c>
      <c r="Q1141" s="2">
        <v>0.61</v>
      </c>
      <c r="R1141" s="2">
        <v>0</v>
      </c>
      <c r="S1141" s="2">
        <v>306</v>
      </c>
      <c r="T1141" t="s">
        <v>4254</v>
      </c>
      <c r="U1141" s="6">
        <v>25651</v>
      </c>
      <c r="V1141" s="2">
        <v>47037017200</v>
      </c>
      <c r="W1141" s="2" t="s">
        <v>68</v>
      </c>
      <c r="X1141" s="1">
        <v>45658</v>
      </c>
      <c r="Y1141" s="2">
        <v>332200</v>
      </c>
      <c r="Z1141" s="2">
        <v>0</v>
      </c>
      <c r="AA1141" s="2">
        <v>332200</v>
      </c>
    </row>
    <row r="1142" spans="1:27" x14ac:dyDescent="0.3">
      <c r="A1142" s="3">
        <v>16</v>
      </c>
      <c r="B1142" s="2" t="str">
        <f>"10615004300"</f>
        <v>10615004300</v>
      </c>
      <c r="C1142" s="2" t="s">
        <v>4255</v>
      </c>
      <c r="D1142" t="s">
        <v>29</v>
      </c>
      <c r="E1142" s="2" t="s">
        <v>30</v>
      </c>
      <c r="F1142" s="2">
        <v>37217</v>
      </c>
      <c r="G1142" s="2" t="s">
        <v>152</v>
      </c>
      <c r="H1142" t="s">
        <v>176</v>
      </c>
      <c r="I1142" s="6">
        <v>21816</v>
      </c>
      <c r="J1142" s="2" t="s">
        <v>4256</v>
      </c>
      <c r="K1142" s="2" t="s">
        <v>34</v>
      </c>
      <c r="L1142" t="s">
        <v>178</v>
      </c>
      <c r="M1142" t="s">
        <v>29</v>
      </c>
      <c r="N1142" t="s">
        <v>30</v>
      </c>
      <c r="O1142">
        <v>37246</v>
      </c>
      <c r="P1142" t="s">
        <v>4257</v>
      </c>
      <c r="Q1142" s="2">
        <v>1.01</v>
      </c>
      <c r="R1142" s="2">
        <v>136</v>
      </c>
      <c r="S1142" s="2">
        <v>293</v>
      </c>
      <c r="T1142" t="s">
        <v>4256</v>
      </c>
      <c r="U1142" s="6">
        <v>21816</v>
      </c>
      <c r="V1142" s="2">
        <v>47037015802</v>
      </c>
      <c r="W1142" s="2" t="s">
        <v>68</v>
      </c>
      <c r="X1142" s="1">
        <v>45658</v>
      </c>
      <c r="Y1142" s="2">
        <v>104200</v>
      </c>
      <c r="Z1142" s="2">
        <v>0</v>
      </c>
      <c r="AA1142" s="2">
        <v>104200</v>
      </c>
    </row>
    <row r="1143" spans="1:27" x14ac:dyDescent="0.3">
      <c r="A1143" s="3">
        <v>16</v>
      </c>
      <c r="B1143" s="2" t="str">
        <f>"12001003300"</f>
        <v>12001003300</v>
      </c>
      <c r="C1143" s="2" t="s">
        <v>4258</v>
      </c>
      <c r="D1143" t="s">
        <v>29</v>
      </c>
      <c r="E1143" s="2" t="s">
        <v>30</v>
      </c>
      <c r="F1143" s="2">
        <v>37217</v>
      </c>
      <c r="G1143" s="2" t="s">
        <v>64</v>
      </c>
      <c r="H1143" t="s">
        <v>176</v>
      </c>
      <c r="I1143" s="6">
        <v>26891</v>
      </c>
      <c r="J1143" s="2" t="s">
        <v>4259</v>
      </c>
      <c r="K1143" s="2" t="s">
        <v>34</v>
      </c>
      <c r="L1143" t="s">
        <v>178</v>
      </c>
      <c r="M1143" t="s">
        <v>29</v>
      </c>
      <c r="N1143" t="s">
        <v>30</v>
      </c>
      <c r="O1143">
        <v>37246</v>
      </c>
      <c r="P1143" t="s">
        <v>4260</v>
      </c>
      <c r="Q1143" s="2">
        <v>0.33</v>
      </c>
      <c r="R1143" s="2">
        <v>120</v>
      </c>
      <c r="S1143" s="2">
        <v>25</v>
      </c>
      <c r="T1143" t="s">
        <v>4259</v>
      </c>
      <c r="U1143" s="6">
        <v>26891</v>
      </c>
      <c r="V1143" s="2">
        <v>47037015802</v>
      </c>
      <c r="W1143" s="2" t="s">
        <v>68</v>
      </c>
      <c r="X1143" s="1">
        <v>45658</v>
      </c>
      <c r="Y1143" s="2">
        <v>9000</v>
      </c>
      <c r="Z1143" s="2">
        <v>0</v>
      </c>
      <c r="AA1143" s="2">
        <v>9000</v>
      </c>
    </row>
    <row r="1144" spans="1:27" x14ac:dyDescent="0.3">
      <c r="A1144" s="3">
        <v>16</v>
      </c>
      <c r="B1144" s="2" t="str">
        <f>"12001003200"</f>
        <v>12001003200</v>
      </c>
      <c r="C1144" s="2" t="s">
        <v>4261</v>
      </c>
      <c r="D1144" t="s">
        <v>29</v>
      </c>
      <c r="E1144" s="2" t="s">
        <v>30</v>
      </c>
      <c r="F1144" s="2">
        <v>37217</v>
      </c>
      <c r="G1144" s="2" t="s">
        <v>152</v>
      </c>
      <c r="H1144" t="s">
        <v>176</v>
      </c>
      <c r="I1144" s="6">
        <v>26891</v>
      </c>
      <c r="J1144" s="2" t="s">
        <v>4259</v>
      </c>
      <c r="K1144" s="2" t="s">
        <v>34</v>
      </c>
      <c r="L1144" t="s">
        <v>178</v>
      </c>
      <c r="M1144" t="s">
        <v>29</v>
      </c>
      <c r="N1144" t="s">
        <v>30</v>
      </c>
      <c r="O1144">
        <v>37246</v>
      </c>
      <c r="P1144" t="s">
        <v>4260</v>
      </c>
      <c r="Q1144" s="2">
        <v>0.51</v>
      </c>
      <c r="R1144" s="2">
        <v>109</v>
      </c>
      <c r="S1144" s="2">
        <v>212</v>
      </c>
      <c r="T1144" t="s">
        <v>4259</v>
      </c>
      <c r="U1144" s="6">
        <v>26891</v>
      </c>
      <c r="V1144" s="2">
        <v>47037015802</v>
      </c>
      <c r="W1144" s="2" t="s">
        <v>68</v>
      </c>
      <c r="X1144" s="1">
        <v>45658</v>
      </c>
      <c r="Y1144" s="2">
        <v>95000</v>
      </c>
      <c r="Z1144" s="2">
        <v>0</v>
      </c>
      <c r="AA1144" s="2">
        <v>95000</v>
      </c>
    </row>
    <row r="1145" spans="1:27" x14ac:dyDescent="0.3">
      <c r="A1145" s="3">
        <v>16</v>
      </c>
      <c r="B1145" s="2" t="str">
        <f>"11911000800"</f>
        <v>11911000800</v>
      </c>
      <c r="C1145" s="2" t="s">
        <v>4262</v>
      </c>
      <c r="D1145" t="s">
        <v>29</v>
      </c>
      <c r="E1145" s="2" t="s">
        <v>30</v>
      </c>
      <c r="F1145" s="2">
        <v>37210</v>
      </c>
      <c r="G1145" s="2" t="s">
        <v>152</v>
      </c>
      <c r="H1145" t="s">
        <v>176</v>
      </c>
      <c r="I1145" s="6">
        <v>19771</v>
      </c>
      <c r="J1145" s="2" t="s">
        <v>4263</v>
      </c>
      <c r="K1145" s="2" t="s">
        <v>34</v>
      </c>
      <c r="L1145" t="s">
        <v>178</v>
      </c>
      <c r="M1145" t="s">
        <v>29</v>
      </c>
      <c r="N1145" t="s">
        <v>30</v>
      </c>
      <c r="O1145">
        <v>37246</v>
      </c>
      <c r="P1145" t="s">
        <v>4264</v>
      </c>
      <c r="Q1145" s="2">
        <v>0.18</v>
      </c>
      <c r="R1145" s="2">
        <v>126</v>
      </c>
      <c r="S1145" s="2">
        <v>65</v>
      </c>
      <c r="T1145" t="s">
        <v>4263</v>
      </c>
      <c r="U1145" s="6">
        <v>19771</v>
      </c>
      <c r="V1145" s="2">
        <v>47037017401</v>
      </c>
      <c r="W1145" s="2" t="s">
        <v>68</v>
      </c>
      <c r="X1145" s="1">
        <v>45658</v>
      </c>
      <c r="Y1145" s="2">
        <v>1500</v>
      </c>
      <c r="Z1145" s="2">
        <v>0</v>
      </c>
      <c r="AA1145" s="2">
        <v>1500</v>
      </c>
    </row>
    <row r="1146" spans="1:27" x14ac:dyDescent="0.3">
      <c r="A1146" s="3">
        <v>16</v>
      </c>
      <c r="B1146" s="2" t="str">
        <f>"11912009901"</f>
        <v>11912009901</v>
      </c>
      <c r="C1146" s="2" t="s">
        <v>4265</v>
      </c>
      <c r="D1146" t="s">
        <v>29</v>
      </c>
      <c r="E1146" s="2" t="s">
        <v>30</v>
      </c>
      <c r="F1146" s="2">
        <v>37211</v>
      </c>
      <c r="G1146" s="2" t="s">
        <v>152</v>
      </c>
      <c r="H1146" t="s">
        <v>176</v>
      </c>
      <c r="I1146" s="6">
        <v>18924</v>
      </c>
      <c r="J1146" s="2" t="s">
        <v>4266</v>
      </c>
      <c r="K1146" s="2" t="s">
        <v>34</v>
      </c>
      <c r="L1146" t="s">
        <v>178</v>
      </c>
      <c r="M1146" t="s">
        <v>29</v>
      </c>
      <c r="N1146" t="s">
        <v>30</v>
      </c>
      <c r="O1146">
        <v>37246</v>
      </c>
      <c r="P1146" t="s">
        <v>4267</v>
      </c>
      <c r="Q1146" s="2">
        <v>0.23</v>
      </c>
      <c r="R1146" s="2">
        <v>0</v>
      </c>
      <c r="S1146" s="2">
        <v>0</v>
      </c>
      <c r="T1146" t="s">
        <v>4266</v>
      </c>
      <c r="U1146" s="6">
        <v>18924</v>
      </c>
      <c r="V1146" s="2">
        <v>47037015700</v>
      </c>
      <c r="W1146" s="2" t="s">
        <v>68</v>
      </c>
      <c r="X1146" s="1">
        <v>45658</v>
      </c>
      <c r="Y1146" s="2">
        <v>57500</v>
      </c>
      <c r="Z1146" s="2">
        <v>0</v>
      </c>
      <c r="AA1146" s="2">
        <v>57500</v>
      </c>
    </row>
    <row r="1147" spans="1:27" x14ac:dyDescent="0.3">
      <c r="A1147" s="3">
        <v>16</v>
      </c>
      <c r="B1147" s="2" t="str">
        <f>"13305006300"</f>
        <v>13305006300</v>
      </c>
      <c r="C1147" s="2" t="s">
        <v>4268</v>
      </c>
      <c r="D1147" t="s">
        <v>29</v>
      </c>
      <c r="E1147" s="2" t="s">
        <v>30</v>
      </c>
      <c r="F1147" s="2">
        <v>37211</v>
      </c>
      <c r="G1147" s="2" t="s">
        <v>152</v>
      </c>
      <c r="H1147" t="s">
        <v>176</v>
      </c>
      <c r="I1147" s="6">
        <v>24222</v>
      </c>
      <c r="J1147" s="2" t="s">
        <v>4269</v>
      </c>
      <c r="K1147" s="2" t="s">
        <v>34</v>
      </c>
      <c r="L1147" t="s">
        <v>934</v>
      </c>
      <c r="M1147" t="s">
        <v>29</v>
      </c>
      <c r="N1147" t="s">
        <v>30</v>
      </c>
      <c r="O1147">
        <v>37246</v>
      </c>
      <c r="P1147" t="s">
        <v>4270</v>
      </c>
      <c r="Q1147" s="2">
        <v>2.73</v>
      </c>
      <c r="R1147" s="2">
        <v>250</v>
      </c>
      <c r="S1147" s="2">
        <v>481</v>
      </c>
      <c r="T1147" t="s">
        <v>4269</v>
      </c>
      <c r="U1147" s="6">
        <v>24222</v>
      </c>
      <c r="V1147" s="2">
        <v>47037017500</v>
      </c>
      <c r="W1147" s="2" t="s">
        <v>68</v>
      </c>
      <c r="X1147" s="1">
        <v>45658</v>
      </c>
      <c r="Y1147" s="2">
        <v>2189600</v>
      </c>
      <c r="Z1147" s="2">
        <v>0</v>
      </c>
      <c r="AA1147" s="2">
        <v>2189600</v>
      </c>
    </row>
    <row r="1148" spans="1:27" x14ac:dyDescent="0.3">
      <c r="A1148" s="3">
        <v>16</v>
      </c>
      <c r="B1148" s="2" t="str">
        <f>"12001003100"</f>
        <v>12001003100</v>
      </c>
      <c r="C1148" s="2" t="s">
        <v>4271</v>
      </c>
      <c r="D1148" t="s">
        <v>29</v>
      </c>
      <c r="E1148" s="2" t="s">
        <v>30</v>
      </c>
      <c r="F1148" s="2">
        <v>37217</v>
      </c>
      <c r="G1148" s="2" t="s">
        <v>152</v>
      </c>
      <c r="H1148" t="s">
        <v>176</v>
      </c>
      <c r="I1148" s="6">
        <v>26891</v>
      </c>
      <c r="J1148" s="2" t="s">
        <v>4259</v>
      </c>
      <c r="K1148" s="2" t="s">
        <v>34</v>
      </c>
      <c r="L1148" t="s">
        <v>178</v>
      </c>
      <c r="M1148" t="s">
        <v>29</v>
      </c>
      <c r="N1148" t="s">
        <v>30</v>
      </c>
      <c r="O1148">
        <v>37246</v>
      </c>
      <c r="P1148" t="s">
        <v>4272</v>
      </c>
      <c r="Q1148" s="2">
        <v>1.37</v>
      </c>
      <c r="R1148" s="2">
        <v>130</v>
      </c>
      <c r="S1148" s="2">
        <v>200</v>
      </c>
      <c r="T1148" t="s">
        <v>4259</v>
      </c>
      <c r="U1148" s="6">
        <v>26891</v>
      </c>
      <c r="V1148" s="2">
        <v>47037015802</v>
      </c>
      <c r="W1148" s="2" t="s">
        <v>68</v>
      </c>
      <c r="X1148" s="1">
        <v>45658</v>
      </c>
      <c r="Y1148" s="2">
        <v>139500</v>
      </c>
      <c r="Z1148" s="2">
        <v>0</v>
      </c>
      <c r="AA1148" s="2">
        <v>139500</v>
      </c>
    </row>
    <row r="1149" spans="1:27" x14ac:dyDescent="0.3">
      <c r="A1149" s="3">
        <v>16</v>
      </c>
      <c r="B1149" s="2" t="str">
        <f>"13300014200"</f>
        <v>13300014200</v>
      </c>
      <c r="C1149" s="2" t="s">
        <v>4273</v>
      </c>
      <c r="D1149" t="s">
        <v>29</v>
      </c>
      <c r="E1149" s="2" t="s">
        <v>30</v>
      </c>
      <c r="F1149" s="2">
        <v>37211</v>
      </c>
      <c r="G1149" s="2" t="s">
        <v>64</v>
      </c>
      <c r="H1149" t="s">
        <v>176</v>
      </c>
      <c r="I1149" s="6">
        <v>19572</v>
      </c>
      <c r="J1149" s="2" t="s">
        <v>4274</v>
      </c>
      <c r="K1149" s="2" t="s">
        <v>34</v>
      </c>
      <c r="L1149" t="s">
        <v>178</v>
      </c>
      <c r="M1149" t="s">
        <v>29</v>
      </c>
      <c r="N1149" t="s">
        <v>30</v>
      </c>
      <c r="O1149">
        <v>37246</v>
      </c>
      <c r="P1149" t="s">
        <v>4275</v>
      </c>
      <c r="Q1149" s="2">
        <v>0.52</v>
      </c>
      <c r="R1149" s="2">
        <v>0</v>
      </c>
      <c r="S1149" s="2">
        <v>200</v>
      </c>
      <c r="T1149" t="s">
        <v>4276</v>
      </c>
      <c r="U1149" s="6">
        <v>19547</v>
      </c>
      <c r="V1149" s="2">
        <v>47037017402</v>
      </c>
      <c r="W1149" s="2" t="s">
        <v>68</v>
      </c>
      <c r="X1149" s="1">
        <v>45658</v>
      </c>
      <c r="Y1149" s="2">
        <v>4800</v>
      </c>
      <c r="Z1149" s="2">
        <v>0</v>
      </c>
      <c r="AA1149" s="2">
        <v>4800</v>
      </c>
    </row>
    <row r="1150" spans="1:27" x14ac:dyDescent="0.3">
      <c r="A1150" s="3">
        <v>16</v>
      </c>
      <c r="B1150" s="2" t="str">
        <f>"11909014400"</f>
        <v>11909014400</v>
      </c>
      <c r="C1150" s="2" t="s">
        <v>4277</v>
      </c>
      <c r="D1150" t="s">
        <v>29</v>
      </c>
      <c r="E1150" s="2" t="s">
        <v>30</v>
      </c>
      <c r="F1150" s="2">
        <v>37211</v>
      </c>
      <c r="G1150" s="2" t="s">
        <v>200</v>
      </c>
      <c r="H1150" t="s">
        <v>4278</v>
      </c>
      <c r="I1150" s="6">
        <v>12908</v>
      </c>
      <c r="J1150" s="2" t="s">
        <v>4279</v>
      </c>
      <c r="K1150" s="2" t="s">
        <v>34</v>
      </c>
      <c r="L1150" t="s">
        <v>35</v>
      </c>
      <c r="M1150" t="s">
        <v>29</v>
      </c>
      <c r="N1150" t="s">
        <v>30</v>
      </c>
      <c r="O1150">
        <v>37219</v>
      </c>
      <c r="P1150" t="s">
        <v>4280</v>
      </c>
      <c r="Q1150" s="2">
        <v>8.67</v>
      </c>
      <c r="R1150" s="2">
        <v>0</v>
      </c>
      <c r="S1150" s="2">
        <v>0</v>
      </c>
      <c r="T1150" t="s">
        <v>278</v>
      </c>
      <c r="U1150" s="6">
        <v>36579</v>
      </c>
      <c r="V1150" s="2">
        <v>47037017300</v>
      </c>
      <c r="W1150" s="2" t="s">
        <v>68</v>
      </c>
      <c r="X1150" s="1">
        <v>45658</v>
      </c>
      <c r="Y1150" s="2">
        <v>13595900</v>
      </c>
      <c r="Z1150" s="2">
        <v>0</v>
      </c>
      <c r="AA1150" s="2">
        <v>13595900</v>
      </c>
    </row>
    <row r="1151" spans="1:27" x14ac:dyDescent="0.3">
      <c r="A1151" s="3">
        <v>16</v>
      </c>
      <c r="B1151" s="2" t="str">
        <f>"11912013800"</f>
        <v>11912013800</v>
      </c>
      <c r="C1151" s="2" t="s">
        <v>4281</v>
      </c>
      <c r="D1151" t="s">
        <v>29</v>
      </c>
      <c r="E1151" s="2" t="s">
        <v>30</v>
      </c>
      <c r="F1151" s="2">
        <v>37211</v>
      </c>
      <c r="G1151" s="2" t="s">
        <v>64</v>
      </c>
      <c r="H1151" t="s">
        <v>4282</v>
      </c>
      <c r="I1151" s="6">
        <v>29550</v>
      </c>
      <c r="J1151" s="2" t="s">
        <v>4283</v>
      </c>
      <c r="K1151" s="2" t="s">
        <v>34</v>
      </c>
      <c r="L1151" t="s">
        <v>35</v>
      </c>
      <c r="M1151" t="s">
        <v>29</v>
      </c>
      <c r="N1151" t="s">
        <v>30</v>
      </c>
      <c r="O1151">
        <v>37219</v>
      </c>
      <c r="P1151" t="s">
        <v>4284</v>
      </c>
      <c r="Q1151" s="2">
        <v>23.8</v>
      </c>
      <c r="R1151" s="2">
        <v>0</v>
      </c>
      <c r="S1151" s="2">
        <v>0</v>
      </c>
      <c r="T1151" t="s">
        <v>4285</v>
      </c>
      <c r="U1151" s="6">
        <v>25611</v>
      </c>
      <c r="V1151" s="2">
        <v>47037015802</v>
      </c>
      <c r="W1151" s="2" t="s">
        <v>68</v>
      </c>
      <c r="X1151" s="1">
        <v>45658</v>
      </c>
      <c r="Y1151" s="2">
        <v>131500</v>
      </c>
      <c r="Z1151" s="2">
        <v>0</v>
      </c>
      <c r="AA1151" s="2">
        <v>131500</v>
      </c>
    </row>
    <row r="1152" spans="1:27" x14ac:dyDescent="0.3">
      <c r="A1152" s="3">
        <v>16</v>
      </c>
      <c r="B1152" s="2" t="str">
        <f>"11902002600"</f>
        <v>11902002600</v>
      </c>
      <c r="C1152" s="2" t="s">
        <v>4286</v>
      </c>
      <c r="D1152" t="s">
        <v>29</v>
      </c>
      <c r="E1152" s="2" t="s">
        <v>30</v>
      </c>
      <c r="F1152" s="2">
        <v>37210</v>
      </c>
      <c r="G1152" s="2" t="s">
        <v>64</v>
      </c>
      <c r="H1152" t="s">
        <v>211</v>
      </c>
      <c r="I1152" s="6">
        <v>28460</v>
      </c>
      <c r="J1152" s="2" t="s">
        <v>4287</v>
      </c>
      <c r="K1152" s="2">
        <v>286</v>
      </c>
      <c r="L1152" t="s">
        <v>35</v>
      </c>
      <c r="M1152" t="s">
        <v>29</v>
      </c>
      <c r="N1152" t="s">
        <v>30</v>
      </c>
      <c r="O1152">
        <v>37219</v>
      </c>
      <c r="P1152" t="s">
        <v>4288</v>
      </c>
      <c r="Q1152" s="2">
        <v>0.02</v>
      </c>
      <c r="R1152" s="2">
        <v>65</v>
      </c>
      <c r="S1152" s="2">
        <v>19</v>
      </c>
      <c r="T1152" t="s">
        <v>278</v>
      </c>
      <c r="U1152" s="6">
        <v>33605</v>
      </c>
      <c r="V1152" s="2">
        <v>47037015900</v>
      </c>
      <c r="W1152" s="2" t="s">
        <v>68</v>
      </c>
      <c r="X1152" s="1">
        <v>45658</v>
      </c>
      <c r="Y1152" s="2">
        <v>500</v>
      </c>
      <c r="Z1152" s="2">
        <v>0</v>
      </c>
      <c r="AA1152" s="2">
        <v>500</v>
      </c>
    </row>
    <row r="1153" spans="1:27" x14ac:dyDescent="0.3">
      <c r="A1153" s="3">
        <v>16</v>
      </c>
      <c r="B1153" s="2" t="str">
        <f>"11903008300"</f>
        <v>11903008300</v>
      </c>
      <c r="C1153" s="2" t="s">
        <v>4289</v>
      </c>
      <c r="D1153" t="s">
        <v>29</v>
      </c>
      <c r="E1153" s="2" t="s">
        <v>30</v>
      </c>
      <c r="F1153" s="2">
        <v>37211</v>
      </c>
      <c r="G1153" s="2" t="s">
        <v>64</v>
      </c>
      <c r="H1153" t="s">
        <v>211</v>
      </c>
      <c r="I1153" s="6">
        <v>27984</v>
      </c>
      <c r="J1153" s="2" t="s">
        <v>4290</v>
      </c>
      <c r="K1153" s="2">
        <v>308</v>
      </c>
      <c r="L1153" t="s">
        <v>35</v>
      </c>
      <c r="M1153" t="s">
        <v>29</v>
      </c>
      <c r="N1153" t="s">
        <v>30</v>
      </c>
      <c r="O1153">
        <v>37219</v>
      </c>
      <c r="P1153" t="s">
        <v>4291</v>
      </c>
      <c r="Q1153" s="2">
        <v>0.01</v>
      </c>
      <c r="R1153" s="2">
        <v>50</v>
      </c>
      <c r="S1153" s="2">
        <v>979</v>
      </c>
      <c r="T1153" t="s">
        <v>4292</v>
      </c>
      <c r="U1153" s="6">
        <v>20601</v>
      </c>
      <c r="V1153" s="2">
        <v>47037015802</v>
      </c>
      <c r="W1153" s="2" t="s">
        <v>68</v>
      </c>
      <c r="X1153" s="1">
        <v>45658</v>
      </c>
      <c r="Y1153" s="2">
        <v>900</v>
      </c>
      <c r="Z1153" s="2">
        <v>0</v>
      </c>
      <c r="AA1153" s="2">
        <v>900</v>
      </c>
    </row>
    <row r="1154" spans="1:27" x14ac:dyDescent="0.3">
      <c r="A1154" s="3">
        <v>16</v>
      </c>
      <c r="B1154" s="2" t="str">
        <f>"11902002500"</f>
        <v>11902002500</v>
      </c>
      <c r="C1154" s="2" t="s">
        <v>4293</v>
      </c>
      <c r="D1154" t="s">
        <v>29</v>
      </c>
      <c r="E1154" s="2" t="s">
        <v>30</v>
      </c>
      <c r="F1154" s="2">
        <v>37210</v>
      </c>
      <c r="G1154" s="2" t="s">
        <v>64</v>
      </c>
      <c r="H1154" t="s">
        <v>211</v>
      </c>
      <c r="I1154" s="6">
        <v>28593</v>
      </c>
      <c r="J1154" s="2" t="s">
        <v>4294</v>
      </c>
      <c r="K1154" s="2">
        <v>359</v>
      </c>
      <c r="L1154" t="s">
        <v>35</v>
      </c>
      <c r="M1154" t="s">
        <v>29</v>
      </c>
      <c r="N1154" t="s">
        <v>30</v>
      </c>
      <c r="O1154">
        <v>37219</v>
      </c>
      <c r="P1154" t="s">
        <v>4295</v>
      </c>
      <c r="Q1154" s="2">
        <v>0.05</v>
      </c>
      <c r="R1154" s="2">
        <v>70</v>
      </c>
      <c r="S1154" s="2">
        <v>40</v>
      </c>
      <c r="T1154" t="s">
        <v>278</v>
      </c>
      <c r="U1154" s="6">
        <v>33605</v>
      </c>
      <c r="V1154" s="2">
        <v>47037015900</v>
      </c>
      <c r="W1154" s="2" t="s">
        <v>68</v>
      </c>
      <c r="X1154" s="1">
        <v>45658</v>
      </c>
      <c r="Y1154" s="2">
        <v>500</v>
      </c>
      <c r="Z1154" s="2">
        <v>0</v>
      </c>
      <c r="AA1154" s="2">
        <v>500</v>
      </c>
    </row>
    <row r="1155" spans="1:27" x14ac:dyDescent="0.3">
      <c r="A1155" s="3">
        <v>16</v>
      </c>
      <c r="B1155" s="2" t="str">
        <f>"11903009200"</f>
        <v>11903009200</v>
      </c>
      <c r="C1155" s="2" t="s">
        <v>4296</v>
      </c>
      <c r="D1155" t="s">
        <v>29</v>
      </c>
      <c r="E1155" s="2" t="s">
        <v>30</v>
      </c>
      <c r="F1155" s="2">
        <v>37211</v>
      </c>
      <c r="G1155" s="2" t="s">
        <v>64</v>
      </c>
      <c r="H1155" t="s">
        <v>211</v>
      </c>
      <c r="I1155" s="6">
        <v>38156</v>
      </c>
      <c r="J1155" s="2" t="s">
        <v>4297</v>
      </c>
      <c r="K1155" s="2">
        <v>130500</v>
      </c>
      <c r="L1155" t="s">
        <v>35</v>
      </c>
      <c r="M1155" t="s">
        <v>29</v>
      </c>
      <c r="N1155" t="s">
        <v>30</v>
      </c>
      <c r="O1155">
        <v>37219</v>
      </c>
      <c r="P1155" t="s">
        <v>4298</v>
      </c>
      <c r="Q1155" s="2">
        <v>1.34</v>
      </c>
      <c r="R1155" s="2">
        <v>121</v>
      </c>
      <c r="S1155" s="2">
        <v>376</v>
      </c>
      <c r="T1155" t="s">
        <v>4299</v>
      </c>
      <c r="U1155" s="6">
        <v>24229</v>
      </c>
      <c r="V1155" s="2">
        <v>47037015802</v>
      </c>
      <c r="W1155" s="2" t="s">
        <v>68</v>
      </c>
      <c r="X1155" s="1">
        <v>45658</v>
      </c>
      <c r="Y1155" s="2">
        <v>72000</v>
      </c>
      <c r="Z1155" s="2">
        <v>0</v>
      </c>
      <c r="AA1155" s="2">
        <v>72000</v>
      </c>
    </row>
    <row r="1156" spans="1:27" x14ac:dyDescent="0.3">
      <c r="A1156" s="3">
        <v>16</v>
      </c>
      <c r="B1156" s="2" t="str">
        <f>"11902002700"</f>
        <v>11902002700</v>
      </c>
      <c r="C1156" s="2" t="s">
        <v>4300</v>
      </c>
      <c r="D1156" t="s">
        <v>29</v>
      </c>
      <c r="E1156" s="2" t="s">
        <v>30</v>
      </c>
      <c r="F1156" s="2">
        <v>37210</v>
      </c>
      <c r="G1156" s="2" t="s">
        <v>64</v>
      </c>
      <c r="H1156" t="s">
        <v>211</v>
      </c>
      <c r="I1156" s="6">
        <v>28460</v>
      </c>
      <c r="J1156" s="2" t="s">
        <v>4301</v>
      </c>
      <c r="K1156" s="2">
        <v>286</v>
      </c>
      <c r="L1156" t="s">
        <v>35</v>
      </c>
      <c r="M1156" t="s">
        <v>29</v>
      </c>
      <c r="N1156" t="s">
        <v>30</v>
      </c>
      <c r="O1156">
        <v>37219</v>
      </c>
      <c r="P1156" t="s">
        <v>4302</v>
      </c>
      <c r="Q1156" s="2">
        <v>0.01</v>
      </c>
      <c r="R1156" s="2">
        <v>50</v>
      </c>
      <c r="S1156" s="2">
        <v>19</v>
      </c>
      <c r="T1156" t="s">
        <v>4303</v>
      </c>
      <c r="U1156" s="6">
        <v>20661</v>
      </c>
      <c r="V1156" s="2">
        <v>47037015900</v>
      </c>
      <c r="W1156" s="2" t="s">
        <v>68</v>
      </c>
      <c r="X1156" s="1">
        <v>45658</v>
      </c>
      <c r="Y1156" s="2">
        <v>500</v>
      </c>
      <c r="Z1156" s="2">
        <v>0</v>
      </c>
      <c r="AA1156" s="2">
        <v>500</v>
      </c>
    </row>
    <row r="1157" spans="1:27" x14ac:dyDescent="0.3">
      <c r="A1157" s="3">
        <v>16</v>
      </c>
      <c r="B1157" s="2" t="str">
        <f>"11903009400"</f>
        <v>11903009400</v>
      </c>
      <c r="C1157" s="2" t="s">
        <v>4304</v>
      </c>
      <c r="D1157" t="s">
        <v>29</v>
      </c>
      <c r="E1157" s="2" t="s">
        <v>30</v>
      </c>
      <c r="F1157" s="2">
        <v>37211</v>
      </c>
      <c r="G1157" s="2" t="s">
        <v>64</v>
      </c>
      <c r="H1157" t="s">
        <v>211</v>
      </c>
      <c r="I1157" s="6">
        <v>38225</v>
      </c>
      <c r="J1157" s="2" t="s">
        <v>4305</v>
      </c>
      <c r="K1157" s="2">
        <v>135500</v>
      </c>
      <c r="L1157" t="s">
        <v>35</v>
      </c>
      <c r="M1157" t="s">
        <v>29</v>
      </c>
      <c r="N1157" t="s">
        <v>30</v>
      </c>
      <c r="O1157">
        <v>37219</v>
      </c>
      <c r="P1157" t="s">
        <v>4306</v>
      </c>
      <c r="Q1157" s="2">
        <v>1.27</v>
      </c>
      <c r="R1157" s="2">
        <v>116</v>
      </c>
      <c r="S1157" s="2">
        <v>377</v>
      </c>
      <c r="T1157" t="s">
        <v>4299</v>
      </c>
      <c r="U1157" s="6">
        <v>24229</v>
      </c>
      <c r="V1157" s="2">
        <v>47037015802</v>
      </c>
      <c r="W1157" s="2" t="s">
        <v>68</v>
      </c>
      <c r="X1157" s="1">
        <v>45658</v>
      </c>
      <c r="Y1157" s="2">
        <v>67400</v>
      </c>
      <c r="Z1157" s="2">
        <v>0</v>
      </c>
      <c r="AA1157" s="2">
        <v>67400</v>
      </c>
    </row>
    <row r="1158" spans="1:27" x14ac:dyDescent="0.3">
      <c r="A1158" s="3">
        <v>16</v>
      </c>
      <c r="B1158" s="2" t="str">
        <f>"11903009300"</f>
        <v>11903009300</v>
      </c>
      <c r="C1158" s="2" t="s">
        <v>4307</v>
      </c>
      <c r="D1158" t="s">
        <v>29</v>
      </c>
      <c r="E1158" s="2" t="s">
        <v>30</v>
      </c>
      <c r="F1158" s="2">
        <v>37211</v>
      </c>
      <c r="G1158" s="2" t="s">
        <v>64</v>
      </c>
      <c r="H1158" t="s">
        <v>211</v>
      </c>
      <c r="I1158" s="6">
        <v>38160</v>
      </c>
      <c r="J1158" s="2" t="s">
        <v>4308</v>
      </c>
      <c r="K1158" s="2">
        <v>135000</v>
      </c>
      <c r="L1158" t="s">
        <v>35</v>
      </c>
      <c r="M1158" t="s">
        <v>29</v>
      </c>
      <c r="N1158" t="s">
        <v>30</v>
      </c>
      <c r="O1158">
        <v>37219</v>
      </c>
      <c r="P1158" t="s">
        <v>4309</v>
      </c>
      <c r="Q1158" s="2">
        <v>1.3</v>
      </c>
      <c r="R1158" s="2">
        <v>119</v>
      </c>
      <c r="S1158" s="2">
        <v>377</v>
      </c>
      <c r="T1158" t="s">
        <v>4310</v>
      </c>
      <c r="U1158" s="6">
        <v>23414</v>
      </c>
      <c r="V1158" s="2">
        <v>47037015802</v>
      </c>
      <c r="W1158" s="2" t="s">
        <v>68</v>
      </c>
      <c r="X1158" s="1">
        <v>45658</v>
      </c>
      <c r="Y1158" s="2">
        <v>69400</v>
      </c>
      <c r="Z1158" s="2">
        <v>0</v>
      </c>
      <c r="AA1158" s="2">
        <v>69400</v>
      </c>
    </row>
    <row r="1159" spans="1:27" x14ac:dyDescent="0.3">
      <c r="A1159" s="3">
        <v>16</v>
      </c>
      <c r="B1159" s="2" t="str">
        <f>"11903009100"</f>
        <v>11903009100</v>
      </c>
      <c r="C1159" s="2" t="s">
        <v>4311</v>
      </c>
      <c r="D1159" t="s">
        <v>29</v>
      </c>
      <c r="E1159" s="2" t="s">
        <v>30</v>
      </c>
      <c r="F1159" s="2">
        <v>37211</v>
      </c>
      <c r="G1159" s="2" t="s">
        <v>64</v>
      </c>
      <c r="H1159" t="s">
        <v>211</v>
      </c>
      <c r="I1159" s="6">
        <v>38156</v>
      </c>
      <c r="J1159" s="2" t="s">
        <v>4312</v>
      </c>
      <c r="K1159" s="2">
        <v>144500</v>
      </c>
      <c r="L1159" t="s">
        <v>35</v>
      </c>
      <c r="M1159" t="s">
        <v>29</v>
      </c>
      <c r="N1159" t="s">
        <v>30</v>
      </c>
      <c r="O1159">
        <v>37219</v>
      </c>
      <c r="P1159" t="s">
        <v>4313</v>
      </c>
      <c r="Q1159" s="2">
        <v>1.37</v>
      </c>
      <c r="R1159" s="2">
        <v>113</v>
      </c>
      <c r="S1159" s="2">
        <v>429</v>
      </c>
      <c r="T1159" t="s">
        <v>4299</v>
      </c>
      <c r="U1159" s="6">
        <v>24229</v>
      </c>
      <c r="V1159" s="2">
        <v>47037015802</v>
      </c>
      <c r="W1159" s="2" t="s">
        <v>68</v>
      </c>
      <c r="X1159" s="1">
        <v>45658</v>
      </c>
      <c r="Y1159" s="2">
        <v>74000</v>
      </c>
      <c r="Z1159" s="2">
        <v>0</v>
      </c>
      <c r="AA1159" s="2">
        <v>74000</v>
      </c>
    </row>
    <row r="1160" spans="1:27" x14ac:dyDescent="0.3">
      <c r="A1160" s="3">
        <v>16</v>
      </c>
      <c r="B1160" s="2" t="str">
        <f>"11903009000"</f>
        <v>11903009000</v>
      </c>
      <c r="C1160" s="2" t="s">
        <v>4314</v>
      </c>
      <c r="D1160" t="s">
        <v>29</v>
      </c>
      <c r="E1160" s="2" t="s">
        <v>30</v>
      </c>
      <c r="F1160" s="2">
        <v>37211</v>
      </c>
      <c r="G1160" s="2" t="s">
        <v>64</v>
      </c>
      <c r="H1160" t="s">
        <v>211</v>
      </c>
      <c r="I1160" s="6">
        <v>38156</v>
      </c>
      <c r="J1160" s="2" t="s">
        <v>4315</v>
      </c>
      <c r="K1160" s="2">
        <v>124000</v>
      </c>
      <c r="L1160" t="s">
        <v>35</v>
      </c>
      <c r="M1160" t="s">
        <v>29</v>
      </c>
      <c r="N1160" t="s">
        <v>30</v>
      </c>
      <c r="O1160">
        <v>37219</v>
      </c>
      <c r="P1160" t="s">
        <v>4316</v>
      </c>
      <c r="Q1160" s="2">
        <v>1.1499999999999999</v>
      </c>
      <c r="R1160" s="2">
        <v>86</v>
      </c>
      <c r="S1160" s="2">
        <v>463</v>
      </c>
      <c r="T1160" t="s">
        <v>4317</v>
      </c>
      <c r="U1160" s="6">
        <v>26938</v>
      </c>
      <c r="V1160" s="2">
        <v>47037015802</v>
      </c>
      <c r="W1160" s="2" t="s">
        <v>68</v>
      </c>
      <c r="X1160" s="1">
        <v>45658</v>
      </c>
      <c r="Y1160" s="2">
        <v>59400</v>
      </c>
      <c r="Z1160" s="2">
        <v>0</v>
      </c>
      <c r="AA1160" s="2">
        <v>59400</v>
      </c>
    </row>
    <row r="1161" spans="1:27" x14ac:dyDescent="0.3">
      <c r="A1161" s="3">
        <v>16</v>
      </c>
      <c r="B1161" s="2" t="str">
        <f>"11903008900"</f>
        <v>11903008900</v>
      </c>
      <c r="C1161" s="2" t="s">
        <v>4318</v>
      </c>
      <c r="D1161" t="s">
        <v>29</v>
      </c>
      <c r="E1161" s="2" t="s">
        <v>30</v>
      </c>
      <c r="F1161" s="2">
        <v>37211</v>
      </c>
      <c r="G1161" s="2" t="s">
        <v>64</v>
      </c>
      <c r="H1161" t="s">
        <v>211</v>
      </c>
      <c r="I1161" s="6">
        <v>39988</v>
      </c>
      <c r="J1161" s="2" t="s">
        <v>4319</v>
      </c>
      <c r="K1161" s="2">
        <v>0</v>
      </c>
      <c r="L1161" t="s">
        <v>35</v>
      </c>
      <c r="M1161" t="s">
        <v>29</v>
      </c>
      <c r="N1161" t="s">
        <v>30</v>
      </c>
      <c r="O1161">
        <v>37219</v>
      </c>
      <c r="P1161" t="s">
        <v>4320</v>
      </c>
      <c r="Q1161" s="2">
        <v>1.1100000000000001</v>
      </c>
      <c r="R1161" s="2">
        <v>83</v>
      </c>
      <c r="S1161" s="2">
        <v>465</v>
      </c>
      <c r="T1161" t="s">
        <v>4321</v>
      </c>
      <c r="U1161" s="6">
        <v>22011</v>
      </c>
      <c r="V1161" s="2">
        <v>47037015802</v>
      </c>
      <c r="W1161" s="2" t="s">
        <v>68</v>
      </c>
      <c r="X1161" s="1">
        <v>45658</v>
      </c>
      <c r="Y1161" s="2">
        <v>56800</v>
      </c>
      <c r="Z1161" s="2">
        <v>0</v>
      </c>
      <c r="AA1161" s="2">
        <v>56800</v>
      </c>
    </row>
    <row r="1162" spans="1:27" x14ac:dyDescent="0.3">
      <c r="A1162" s="3">
        <v>16</v>
      </c>
      <c r="B1162" s="2" t="str">
        <f>"11903008800"</f>
        <v>11903008800</v>
      </c>
      <c r="C1162" s="2" t="s">
        <v>4322</v>
      </c>
      <c r="D1162" t="s">
        <v>29</v>
      </c>
      <c r="E1162" s="2" t="s">
        <v>30</v>
      </c>
      <c r="F1162" s="2">
        <v>37211</v>
      </c>
      <c r="G1162" s="2" t="s">
        <v>64</v>
      </c>
      <c r="H1162" t="s">
        <v>211</v>
      </c>
      <c r="I1162" s="6">
        <v>40962</v>
      </c>
      <c r="J1162" s="2" t="s">
        <v>4323</v>
      </c>
      <c r="K1162" s="2">
        <v>0</v>
      </c>
      <c r="L1162" t="s">
        <v>35</v>
      </c>
      <c r="M1162" t="s">
        <v>29</v>
      </c>
      <c r="N1162" t="s">
        <v>30</v>
      </c>
      <c r="O1162">
        <v>37219</v>
      </c>
      <c r="P1162" t="s">
        <v>4324</v>
      </c>
      <c r="Q1162" s="2">
        <v>1.22</v>
      </c>
      <c r="R1162" s="2">
        <v>88</v>
      </c>
      <c r="S1162" s="2">
        <v>465</v>
      </c>
      <c r="T1162" t="s">
        <v>4325</v>
      </c>
      <c r="U1162" s="6">
        <v>26445</v>
      </c>
      <c r="V1162" s="2">
        <v>47037015802</v>
      </c>
      <c r="W1162" s="2" t="s">
        <v>68</v>
      </c>
      <c r="X1162" s="1">
        <v>45658</v>
      </c>
      <c r="Y1162" s="2">
        <v>64100</v>
      </c>
      <c r="Z1162" s="2">
        <v>0</v>
      </c>
      <c r="AA1162" s="2">
        <v>64100</v>
      </c>
    </row>
    <row r="1163" spans="1:27" x14ac:dyDescent="0.3">
      <c r="A1163" s="3">
        <v>16</v>
      </c>
      <c r="B1163" s="2" t="str">
        <f>"11903008700"</f>
        <v>11903008700</v>
      </c>
      <c r="C1163" s="2" t="s">
        <v>4326</v>
      </c>
      <c r="D1163" t="s">
        <v>29</v>
      </c>
      <c r="E1163" s="2" t="s">
        <v>30</v>
      </c>
      <c r="F1163" s="2">
        <v>37211</v>
      </c>
      <c r="G1163" s="2" t="s">
        <v>64</v>
      </c>
      <c r="H1163" t="s">
        <v>211</v>
      </c>
      <c r="I1163" s="6">
        <v>38159</v>
      </c>
      <c r="J1163" s="2" t="s">
        <v>4327</v>
      </c>
      <c r="K1163" s="2">
        <v>137000</v>
      </c>
      <c r="L1163" t="s">
        <v>35</v>
      </c>
      <c r="M1163" t="s">
        <v>29</v>
      </c>
      <c r="N1163" t="s">
        <v>30</v>
      </c>
      <c r="O1163">
        <v>37219</v>
      </c>
      <c r="P1163" t="s">
        <v>4328</v>
      </c>
      <c r="Q1163" s="2">
        <v>1.1100000000000001</v>
      </c>
      <c r="R1163" s="2">
        <v>88</v>
      </c>
      <c r="S1163" s="2">
        <v>439</v>
      </c>
      <c r="T1163" t="s">
        <v>4329</v>
      </c>
      <c r="U1163" s="6">
        <v>26197</v>
      </c>
      <c r="V1163" s="2">
        <v>47037015802</v>
      </c>
      <c r="W1163" s="2" t="s">
        <v>68</v>
      </c>
      <c r="X1163" s="1">
        <v>45658</v>
      </c>
      <c r="Y1163" s="2">
        <v>56800</v>
      </c>
      <c r="Z1163" s="2">
        <v>0</v>
      </c>
      <c r="AA1163" s="2">
        <v>56800</v>
      </c>
    </row>
    <row r="1164" spans="1:27" x14ac:dyDescent="0.3">
      <c r="A1164" s="3">
        <v>16</v>
      </c>
      <c r="B1164" s="2" t="str">
        <f>"11903008500"</f>
        <v>11903008500</v>
      </c>
      <c r="C1164" s="2" t="s">
        <v>4289</v>
      </c>
      <c r="D1164" t="s">
        <v>29</v>
      </c>
      <c r="E1164" s="2" t="s">
        <v>30</v>
      </c>
      <c r="F1164" s="2">
        <v>37217</v>
      </c>
      <c r="G1164" s="2" t="s">
        <v>64</v>
      </c>
      <c r="H1164" t="s">
        <v>211</v>
      </c>
      <c r="I1164" s="6">
        <v>27415</v>
      </c>
      <c r="J1164" s="2" t="s">
        <v>4330</v>
      </c>
      <c r="K1164" s="2">
        <v>167</v>
      </c>
      <c r="L1164" t="s">
        <v>35</v>
      </c>
      <c r="M1164" t="s">
        <v>29</v>
      </c>
      <c r="N1164" t="s">
        <v>30</v>
      </c>
      <c r="O1164">
        <v>37219</v>
      </c>
      <c r="P1164" t="s">
        <v>4331</v>
      </c>
      <c r="Q1164" s="2">
        <v>0.1</v>
      </c>
      <c r="R1164" s="2">
        <v>131</v>
      </c>
      <c r="S1164" s="2">
        <v>40</v>
      </c>
      <c r="T1164" t="s">
        <v>4332</v>
      </c>
      <c r="U1164" s="6">
        <v>20845</v>
      </c>
      <c r="V1164" s="2">
        <v>47037015802</v>
      </c>
      <c r="W1164" s="2" t="s">
        <v>68</v>
      </c>
      <c r="X1164" s="1">
        <v>45658</v>
      </c>
      <c r="Y1164" s="2">
        <v>900</v>
      </c>
      <c r="Z1164" s="2">
        <v>0</v>
      </c>
      <c r="AA1164" s="2">
        <v>900</v>
      </c>
    </row>
    <row r="1165" spans="1:27" x14ac:dyDescent="0.3">
      <c r="A1165" s="3">
        <v>16</v>
      </c>
      <c r="B1165" s="2" t="str">
        <f>"11903008400"</f>
        <v>11903008400</v>
      </c>
      <c r="C1165" s="2" t="s">
        <v>4289</v>
      </c>
      <c r="D1165" t="s">
        <v>29</v>
      </c>
      <c r="E1165" s="2" t="s">
        <v>30</v>
      </c>
      <c r="F1165" s="2">
        <v>37211</v>
      </c>
      <c r="G1165" s="2" t="s">
        <v>64</v>
      </c>
      <c r="H1165" t="s">
        <v>211</v>
      </c>
      <c r="I1165" s="6">
        <v>27662</v>
      </c>
      <c r="J1165" s="2" t="s">
        <v>4333</v>
      </c>
      <c r="K1165" s="2">
        <v>148</v>
      </c>
      <c r="L1165" t="s">
        <v>35</v>
      </c>
      <c r="M1165" t="s">
        <v>29</v>
      </c>
      <c r="N1165" t="s">
        <v>30</v>
      </c>
      <c r="O1165">
        <v>37219</v>
      </c>
      <c r="P1165" t="s">
        <v>4334</v>
      </c>
      <c r="Q1165" s="2">
        <v>0.05</v>
      </c>
      <c r="R1165" s="2">
        <v>150</v>
      </c>
      <c r="S1165" s="2">
        <v>34</v>
      </c>
      <c r="T1165" t="s">
        <v>4335</v>
      </c>
      <c r="U1165" s="6">
        <v>20601</v>
      </c>
      <c r="V1165" s="2">
        <v>47037015802</v>
      </c>
      <c r="W1165" s="2" t="s">
        <v>68</v>
      </c>
      <c r="X1165" s="1">
        <v>45658</v>
      </c>
      <c r="Y1165" s="2">
        <v>900</v>
      </c>
      <c r="Z1165" s="2">
        <v>0</v>
      </c>
      <c r="AA1165" s="2">
        <v>900</v>
      </c>
    </row>
    <row r="1166" spans="1:27" x14ac:dyDescent="0.3">
      <c r="A1166" s="3">
        <v>16</v>
      </c>
      <c r="B1166" s="2" t="str">
        <f>"11903008600"</f>
        <v>11903008600</v>
      </c>
      <c r="C1166" s="2" t="s">
        <v>4336</v>
      </c>
      <c r="D1166" t="s">
        <v>29</v>
      </c>
      <c r="E1166" s="2" t="s">
        <v>30</v>
      </c>
      <c r="F1166" s="2">
        <v>37211</v>
      </c>
      <c r="G1166" s="2" t="s">
        <v>64</v>
      </c>
      <c r="H1166" t="s">
        <v>211</v>
      </c>
      <c r="I1166" s="6">
        <v>40969</v>
      </c>
      <c r="J1166" s="2" t="s">
        <v>4337</v>
      </c>
      <c r="K1166" s="2">
        <v>0</v>
      </c>
      <c r="L1166" t="s">
        <v>35</v>
      </c>
      <c r="M1166" t="s">
        <v>29</v>
      </c>
      <c r="N1166" t="s">
        <v>30</v>
      </c>
      <c r="O1166">
        <v>37219</v>
      </c>
      <c r="P1166" t="s">
        <v>4338</v>
      </c>
      <c r="Q1166" s="2">
        <v>1.19</v>
      </c>
      <c r="R1166" s="2">
        <v>95</v>
      </c>
      <c r="S1166" s="2">
        <v>408</v>
      </c>
      <c r="T1166" t="s">
        <v>4339</v>
      </c>
      <c r="U1166" s="6">
        <v>25127</v>
      </c>
      <c r="V1166" s="2">
        <v>47037015802</v>
      </c>
      <c r="W1166" s="2" t="s">
        <v>68</v>
      </c>
      <c r="X1166" s="1">
        <v>45658</v>
      </c>
      <c r="Y1166" s="2">
        <v>62100</v>
      </c>
      <c r="Z1166" s="2">
        <v>0</v>
      </c>
      <c r="AA1166" s="2">
        <v>62100</v>
      </c>
    </row>
    <row r="1167" spans="1:27" x14ac:dyDescent="0.3">
      <c r="A1167" s="3">
        <v>16</v>
      </c>
      <c r="B1167" s="2" t="str">
        <f>"11903008200"</f>
        <v>11903008200</v>
      </c>
      <c r="C1167" s="2" t="s">
        <v>4340</v>
      </c>
      <c r="D1167" t="s">
        <v>29</v>
      </c>
      <c r="E1167" s="2" t="s">
        <v>30</v>
      </c>
      <c r="F1167" s="2">
        <v>37210</v>
      </c>
      <c r="G1167" s="2" t="s">
        <v>64</v>
      </c>
      <c r="H1167" t="s">
        <v>211</v>
      </c>
      <c r="I1167" s="6">
        <v>27079</v>
      </c>
      <c r="J1167" s="2" t="s">
        <v>4341</v>
      </c>
      <c r="K1167" s="2">
        <v>151</v>
      </c>
      <c r="L1167" t="s">
        <v>35</v>
      </c>
      <c r="M1167" t="s">
        <v>29</v>
      </c>
      <c r="N1167" t="s">
        <v>30</v>
      </c>
      <c r="O1167">
        <v>37219</v>
      </c>
      <c r="P1167" t="s">
        <v>4342</v>
      </c>
      <c r="Q1167" s="2">
        <v>0.01</v>
      </c>
      <c r="R1167" s="2">
        <v>24</v>
      </c>
      <c r="S1167" s="2">
        <v>8</v>
      </c>
      <c r="T1167" t="s">
        <v>4343</v>
      </c>
      <c r="U1167" s="6">
        <v>20608</v>
      </c>
      <c r="V1167" s="2">
        <v>47037015900</v>
      </c>
      <c r="W1167" s="2" t="s">
        <v>68</v>
      </c>
      <c r="X1167" s="1">
        <v>45658</v>
      </c>
      <c r="Y1167" s="2">
        <v>100</v>
      </c>
      <c r="Z1167" s="2">
        <v>0</v>
      </c>
      <c r="AA1167" s="2">
        <v>100</v>
      </c>
    </row>
    <row r="1168" spans="1:27" x14ac:dyDescent="0.3">
      <c r="A1168" s="3">
        <v>16</v>
      </c>
      <c r="B1168" s="2" t="str">
        <f>"11907004100"</f>
        <v>11907004100</v>
      </c>
      <c r="C1168" s="2" t="s">
        <v>4344</v>
      </c>
      <c r="D1168" t="s">
        <v>29</v>
      </c>
      <c r="E1168" s="2" t="s">
        <v>30</v>
      </c>
      <c r="F1168" s="2">
        <v>37211</v>
      </c>
      <c r="G1168" s="2" t="s">
        <v>2543</v>
      </c>
      <c r="H1168" t="s">
        <v>211</v>
      </c>
      <c r="I1168" s="6">
        <v>39699</v>
      </c>
      <c r="J1168" s="2" t="s">
        <v>4345</v>
      </c>
      <c r="K1168" s="2">
        <v>0</v>
      </c>
      <c r="L1168" t="s">
        <v>35</v>
      </c>
      <c r="M1168" t="s">
        <v>29</v>
      </c>
      <c r="N1168" t="s">
        <v>30</v>
      </c>
      <c r="O1168">
        <v>37219</v>
      </c>
      <c r="P1168" t="s">
        <v>4346</v>
      </c>
      <c r="Q1168" s="2">
        <v>1.7</v>
      </c>
      <c r="R1168" s="2">
        <v>125</v>
      </c>
      <c r="S1168" s="2">
        <v>420</v>
      </c>
      <c r="T1168" t="s">
        <v>4347</v>
      </c>
      <c r="U1168" s="6">
        <v>33148</v>
      </c>
      <c r="V1168" s="2">
        <v>47037015802</v>
      </c>
      <c r="W1168" s="2" t="s">
        <v>68</v>
      </c>
      <c r="X1168" s="1">
        <v>45658</v>
      </c>
      <c r="Y1168" s="2">
        <v>95900</v>
      </c>
      <c r="Z1168" s="2">
        <v>0</v>
      </c>
      <c r="AA1168" s="2">
        <v>95900</v>
      </c>
    </row>
    <row r="1169" spans="1:27" x14ac:dyDescent="0.3">
      <c r="A1169" s="3">
        <v>16</v>
      </c>
      <c r="B1169" s="2" t="str">
        <f>"11907004000"</f>
        <v>11907004000</v>
      </c>
      <c r="C1169" s="2" t="s">
        <v>4348</v>
      </c>
      <c r="D1169" t="s">
        <v>29</v>
      </c>
      <c r="E1169" s="2" t="s">
        <v>30</v>
      </c>
      <c r="F1169" s="2">
        <v>37211</v>
      </c>
      <c r="G1169" s="2" t="s">
        <v>64</v>
      </c>
      <c r="H1169" t="s">
        <v>211</v>
      </c>
      <c r="I1169" s="6">
        <v>38156</v>
      </c>
      <c r="J1169" s="2" t="s">
        <v>4349</v>
      </c>
      <c r="K1169" s="2">
        <v>171000</v>
      </c>
      <c r="L1169" t="s">
        <v>35</v>
      </c>
      <c r="M1169" t="s">
        <v>29</v>
      </c>
      <c r="N1169" t="s">
        <v>30</v>
      </c>
      <c r="O1169">
        <v>37219</v>
      </c>
      <c r="P1169" t="s">
        <v>4350</v>
      </c>
      <c r="Q1169" s="2">
        <v>1.31</v>
      </c>
      <c r="R1169" s="2">
        <v>124</v>
      </c>
      <c r="S1169" s="2">
        <v>429</v>
      </c>
      <c r="T1169" t="s">
        <v>4347</v>
      </c>
      <c r="U1169" s="6">
        <v>33148</v>
      </c>
      <c r="V1169" s="2">
        <v>47037015802</v>
      </c>
      <c r="W1169" s="2" t="s">
        <v>68</v>
      </c>
      <c r="X1169" s="1">
        <v>45658</v>
      </c>
      <c r="Y1169" s="2">
        <v>70000</v>
      </c>
      <c r="Z1169" s="2">
        <v>0</v>
      </c>
      <c r="AA1169" s="2">
        <v>70000</v>
      </c>
    </row>
    <row r="1170" spans="1:27" x14ac:dyDescent="0.3">
      <c r="A1170" s="3">
        <v>16</v>
      </c>
      <c r="B1170" s="2" t="str">
        <f>"11907003900"</f>
        <v>11907003900</v>
      </c>
      <c r="C1170" s="2" t="s">
        <v>4351</v>
      </c>
      <c r="D1170" t="s">
        <v>29</v>
      </c>
      <c r="E1170" s="2" t="s">
        <v>30</v>
      </c>
      <c r="F1170" s="2">
        <v>37211</v>
      </c>
      <c r="G1170" s="2" t="s">
        <v>64</v>
      </c>
      <c r="H1170" t="s">
        <v>211</v>
      </c>
      <c r="I1170" s="6">
        <v>39990</v>
      </c>
      <c r="J1170" s="2" t="s">
        <v>4352</v>
      </c>
      <c r="K1170" s="2">
        <v>0</v>
      </c>
      <c r="L1170" t="s">
        <v>35</v>
      </c>
      <c r="M1170" t="s">
        <v>29</v>
      </c>
      <c r="N1170" t="s">
        <v>30</v>
      </c>
      <c r="O1170">
        <v>37219</v>
      </c>
      <c r="P1170" t="s">
        <v>4353</v>
      </c>
      <c r="Q1170" s="2">
        <v>1.27</v>
      </c>
      <c r="R1170" s="2">
        <v>98</v>
      </c>
      <c r="S1170" s="2">
        <v>446</v>
      </c>
      <c r="T1170" t="s">
        <v>4354</v>
      </c>
      <c r="U1170" s="6">
        <v>22505</v>
      </c>
      <c r="V1170" s="2">
        <v>47037015802</v>
      </c>
      <c r="W1170" s="2" t="s">
        <v>68</v>
      </c>
      <c r="X1170" s="1">
        <v>45658</v>
      </c>
      <c r="Y1170" s="2">
        <v>67400</v>
      </c>
      <c r="Z1170" s="2">
        <v>0</v>
      </c>
      <c r="AA1170" s="2">
        <v>67400</v>
      </c>
    </row>
    <row r="1171" spans="1:27" x14ac:dyDescent="0.3">
      <c r="A1171" s="3">
        <v>16</v>
      </c>
      <c r="B1171" s="2" t="str">
        <f>"11907003800"</f>
        <v>11907003800</v>
      </c>
      <c r="C1171" s="2" t="s">
        <v>4355</v>
      </c>
      <c r="D1171" t="s">
        <v>29</v>
      </c>
      <c r="E1171" s="2" t="s">
        <v>30</v>
      </c>
      <c r="F1171" s="2">
        <v>37211</v>
      </c>
      <c r="G1171" s="2" t="s">
        <v>64</v>
      </c>
      <c r="H1171" t="s">
        <v>211</v>
      </c>
      <c r="I1171" s="6">
        <v>38211</v>
      </c>
      <c r="J1171" s="2" t="s">
        <v>4356</v>
      </c>
      <c r="K1171" s="2">
        <v>140000</v>
      </c>
      <c r="L1171" t="s">
        <v>35</v>
      </c>
      <c r="M1171" t="s">
        <v>29</v>
      </c>
      <c r="N1171" t="s">
        <v>30</v>
      </c>
      <c r="O1171">
        <v>37219</v>
      </c>
      <c r="P1171" t="s">
        <v>4357</v>
      </c>
      <c r="Q1171" s="2">
        <v>0.88</v>
      </c>
      <c r="R1171" s="2">
        <v>82</v>
      </c>
      <c r="S1171" s="2">
        <v>385</v>
      </c>
      <c r="T1171" t="s">
        <v>4358</v>
      </c>
      <c r="U1171" s="6">
        <v>21712</v>
      </c>
      <c r="V1171" s="2">
        <v>47037015802</v>
      </c>
      <c r="W1171" s="2" t="s">
        <v>68</v>
      </c>
      <c r="X1171" s="1">
        <v>45658</v>
      </c>
      <c r="Y1171" s="2">
        <v>49500</v>
      </c>
      <c r="Z1171" s="2">
        <v>0</v>
      </c>
      <c r="AA1171" s="2">
        <v>49500</v>
      </c>
    </row>
    <row r="1172" spans="1:27" x14ac:dyDescent="0.3">
      <c r="A1172" s="3">
        <v>16</v>
      </c>
      <c r="B1172" s="2" t="str">
        <f>"11907003700"</f>
        <v>11907003700</v>
      </c>
      <c r="C1172" s="2" t="s">
        <v>4359</v>
      </c>
      <c r="D1172" t="s">
        <v>29</v>
      </c>
      <c r="E1172" s="2" t="s">
        <v>30</v>
      </c>
      <c r="F1172" s="2">
        <v>37211</v>
      </c>
      <c r="G1172" s="2" t="s">
        <v>64</v>
      </c>
      <c r="H1172" t="s">
        <v>211</v>
      </c>
      <c r="I1172" s="6">
        <v>40127</v>
      </c>
      <c r="J1172" s="2" t="s">
        <v>4360</v>
      </c>
      <c r="K1172" s="2">
        <v>177000</v>
      </c>
      <c r="L1172" t="s">
        <v>35</v>
      </c>
      <c r="M1172" t="s">
        <v>29</v>
      </c>
      <c r="N1172" t="s">
        <v>30</v>
      </c>
      <c r="O1172">
        <v>37219</v>
      </c>
      <c r="P1172" t="s">
        <v>4361</v>
      </c>
      <c r="Q1172" s="2">
        <v>0.96</v>
      </c>
      <c r="R1172" s="2">
        <v>80</v>
      </c>
      <c r="S1172" s="2">
        <v>425</v>
      </c>
      <c r="T1172" t="s">
        <v>4362</v>
      </c>
      <c r="U1172" s="6">
        <v>26333</v>
      </c>
      <c r="V1172" s="2">
        <v>47037015802</v>
      </c>
      <c r="W1172" s="2" t="s">
        <v>68</v>
      </c>
      <c r="X1172" s="1">
        <v>45658</v>
      </c>
      <c r="Y1172" s="2">
        <v>49500</v>
      </c>
      <c r="Z1172" s="2">
        <v>0</v>
      </c>
      <c r="AA1172" s="2">
        <v>49500</v>
      </c>
    </row>
    <row r="1173" spans="1:27" x14ac:dyDescent="0.3">
      <c r="A1173" s="3">
        <v>16</v>
      </c>
      <c r="B1173" s="2" t="str">
        <f>"11907003600"</f>
        <v>11907003600</v>
      </c>
      <c r="C1173" s="2" t="s">
        <v>4363</v>
      </c>
      <c r="D1173" t="s">
        <v>29</v>
      </c>
      <c r="E1173" s="2" t="s">
        <v>30</v>
      </c>
      <c r="F1173" s="2">
        <v>37211</v>
      </c>
      <c r="G1173" s="2" t="s">
        <v>64</v>
      </c>
      <c r="H1173" t="s">
        <v>211</v>
      </c>
      <c r="I1173" s="6">
        <v>38470</v>
      </c>
      <c r="J1173" s="2" t="s">
        <v>4364</v>
      </c>
      <c r="K1173" s="2">
        <v>126000</v>
      </c>
      <c r="L1173" t="s">
        <v>35</v>
      </c>
      <c r="M1173" t="s">
        <v>29</v>
      </c>
      <c r="N1173" t="s">
        <v>30</v>
      </c>
      <c r="O1173">
        <v>37219</v>
      </c>
      <c r="P1173" t="s">
        <v>4365</v>
      </c>
      <c r="Q1173" s="2">
        <v>1.05</v>
      </c>
      <c r="R1173" s="2">
        <v>79</v>
      </c>
      <c r="S1173" s="2">
        <v>467</v>
      </c>
      <c r="T1173" t="s">
        <v>4366</v>
      </c>
      <c r="U1173" s="6">
        <v>27305</v>
      </c>
      <c r="V1173" s="2">
        <v>47037015802</v>
      </c>
      <c r="W1173" s="2" t="s">
        <v>68</v>
      </c>
      <c r="X1173" s="1">
        <v>45658</v>
      </c>
      <c r="Y1173" s="2">
        <v>52800</v>
      </c>
      <c r="Z1173" s="2">
        <v>0</v>
      </c>
      <c r="AA1173" s="2">
        <v>52800</v>
      </c>
    </row>
    <row r="1174" spans="1:27" x14ac:dyDescent="0.3">
      <c r="A1174" s="3">
        <v>16</v>
      </c>
      <c r="B1174" s="2" t="str">
        <f>"11907004200"</f>
        <v>11907004200</v>
      </c>
      <c r="C1174" s="2" t="s">
        <v>4195</v>
      </c>
      <c r="D1174" t="s">
        <v>29</v>
      </c>
      <c r="E1174" s="2" t="s">
        <v>30</v>
      </c>
      <c r="F1174" s="2">
        <v>37211</v>
      </c>
      <c r="G1174" s="2" t="s">
        <v>64</v>
      </c>
      <c r="H1174" t="s">
        <v>211</v>
      </c>
      <c r="I1174" s="6">
        <v>29195</v>
      </c>
      <c r="J1174" s="2" t="s">
        <v>4367</v>
      </c>
      <c r="K1174" s="2">
        <v>126</v>
      </c>
      <c r="L1174" t="s">
        <v>35</v>
      </c>
      <c r="M1174" t="s">
        <v>29</v>
      </c>
      <c r="N1174" t="s">
        <v>30</v>
      </c>
      <c r="O1174">
        <v>37219</v>
      </c>
      <c r="P1174" t="s">
        <v>4368</v>
      </c>
      <c r="Q1174" s="2">
        <v>0.01</v>
      </c>
      <c r="R1174" s="2">
        <v>19</v>
      </c>
      <c r="S1174" s="2">
        <v>72</v>
      </c>
      <c r="T1174" t="s">
        <v>4369</v>
      </c>
      <c r="U1174" s="6">
        <v>20601</v>
      </c>
      <c r="V1174" s="2">
        <v>47037015802</v>
      </c>
      <c r="W1174" s="2" t="s">
        <v>68</v>
      </c>
      <c r="X1174" s="1">
        <v>45658</v>
      </c>
      <c r="Y1174" s="2">
        <v>900</v>
      </c>
      <c r="Z1174" s="2">
        <v>0</v>
      </c>
      <c r="AA1174" s="2">
        <v>900</v>
      </c>
    </row>
    <row r="1175" spans="1:27" x14ac:dyDescent="0.3">
      <c r="A1175" s="3">
        <v>16</v>
      </c>
      <c r="B1175" s="2" t="str">
        <f>"11907003500"</f>
        <v>11907003500</v>
      </c>
      <c r="C1175" s="2" t="s">
        <v>4370</v>
      </c>
      <c r="D1175" t="s">
        <v>29</v>
      </c>
      <c r="E1175" s="2" t="s">
        <v>30</v>
      </c>
      <c r="F1175" s="2">
        <v>37211</v>
      </c>
      <c r="G1175" s="2" t="s">
        <v>64</v>
      </c>
      <c r="H1175" t="s">
        <v>211</v>
      </c>
      <c r="I1175" s="6">
        <v>38156</v>
      </c>
      <c r="J1175" s="2" t="s">
        <v>4371</v>
      </c>
      <c r="K1175" s="2">
        <v>118000</v>
      </c>
      <c r="L1175" t="s">
        <v>35</v>
      </c>
      <c r="M1175" t="s">
        <v>29</v>
      </c>
      <c r="N1175" t="s">
        <v>30</v>
      </c>
      <c r="O1175">
        <v>37219</v>
      </c>
      <c r="P1175" t="s">
        <v>4372</v>
      </c>
      <c r="Q1175" s="2">
        <v>1.44</v>
      </c>
      <c r="R1175" s="2">
        <v>88</v>
      </c>
      <c r="S1175" s="2">
        <v>467</v>
      </c>
      <c r="T1175" t="s">
        <v>4373</v>
      </c>
      <c r="U1175" s="6">
        <v>21318</v>
      </c>
      <c r="V1175" s="2">
        <v>47037015802</v>
      </c>
      <c r="W1175" s="2" t="s">
        <v>68</v>
      </c>
      <c r="X1175" s="1">
        <v>45658</v>
      </c>
      <c r="Y1175" s="2">
        <v>78600</v>
      </c>
      <c r="Z1175" s="2">
        <v>0</v>
      </c>
      <c r="AA1175" s="2">
        <v>78600</v>
      </c>
    </row>
    <row r="1176" spans="1:27" x14ac:dyDescent="0.3">
      <c r="A1176" s="3">
        <v>16</v>
      </c>
      <c r="B1176" s="2" t="str">
        <f>"11907003400"</f>
        <v>11907003400</v>
      </c>
      <c r="C1176" s="2" t="s">
        <v>4374</v>
      </c>
      <c r="D1176" t="s">
        <v>29</v>
      </c>
      <c r="E1176" s="2" t="s">
        <v>30</v>
      </c>
      <c r="F1176" s="2">
        <v>37211</v>
      </c>
      <c r="G1176" s="2" t="s">
        <v>64</v>
      </c>
      <c r="H1176" t="s">
        <v>211</v>
      </c>
      <c r="I1176" s="6">
        <v>38156</v>
      </c>
      <c r="J1176" s="2" t="s">
        <v>4375</v>
      </c>
      <c r="K1176" s="2">
        <v>136000</v>
      </c>
      <c r="L1176" t="s">
        <v>35</v>
      </c>
      <c r="M1176" t="s">
        <v>29</v>
      </c>
      <c r="N1176" t="s">
        <v>30</v>
      </c>
      <c r="O1176">
        <v>37219</v>
      </c>
      <c r="P1176" t="s">
        <v>4376</v>
      </c>
      <c r="Q1176" s="2">
        <v>1.41</v>
      </c>
      <c r="R1176" s="2">
        <v>91</v>
      </c>
      <c r="S1176" s="2">
        <v>448</v>
      </c>
      <c r="T1176" t="s">
        <v>4377</v>
      </c>
      <c r="U1176" s="6">
        <v>21303</v>
      </c>
      <c r="V1176" s="2">
        <v>47037015802</v>
      </c>
      <c r="W1176" s="2" t="s">
        <v>68</v>
      </c>
      <c r="X1176" s="1">
        <v>45658</v>
      </c>
      <c r="Y1176" s="2">
        <v>76700</v>
      </c>
      <c r="Z1176" s="2">
        <v>0</v>
      </c>
      <c r="AA1176" s="2">
        <v>76700</v>
      </c>
    </row>
    <row r="1177" spans="1:27" x14ac:dyDescent="0.3">
      <c r="A1177" s="3">
        <v>16</v>
      </c>
      <c r="B1177" s="2" t="str">
        <f>"12000008900"</f>
        <v>12000008900</v>
      </c>
      <c r="C1177" s="2" t="s">
        <v>4378</v>
      </c>
      <c r="D1177" t="s">
        <v>29</v>
      </c>
      <c r="E1177" s="2" t="s">
        <v>30</v>
      </c>
      <c r="F1177" s="2">
        <v>37211</v>
      </c>
      <c r="G1177" s="2" t="s">
        <v>64</v>
      </c>
      <c r="H1177" t="s">
        <v>4379</v>
      </c>
      <c r="I1177" s="6">
        <v>29550</v>
      </c>
      <c r="J1177" s="2" t="s">
        <v>4283</v>
      </c>
      <c r="K1177" s="2" t="s">
        <v>34</v>
      </c>
      <c r="L1177" t="s">
        <v>35</v>
      </c>
      <c r="M1177" t="s">
        <v>29</v>
      </c>
      <c r="N1177" t="s">
        <v>30</v>
      </c>
      <c r="O1177">
        <v>37219</v>
      </c>
      <c r="P1177" t="s">
        <v>4380</v>
      </c>
      <c r="Q1177" s="2">
        <v>5</v>
      </c>
      <c r="R1177" s="2">
        <v>0</v>
      </c>
      <c r="S1177" s="2">
        <v>0</v>
      </c>
      <c r="T1177" t="s">
        <v>4285</v>
      </c>
      <c r="U1177" s="6">
        <v>25611</v>
      </c>
      <c r="V1177" s="2">
        <v>47037015700</v>
      </c>
      <c r="W1177" s="2" t="s">
        <v>68</v>
      </c>
      <c r="X1177" s="1">
        <v>45658</v>
      </c>
      <c r="Y1177" s="2">
        <v>55000</v>
      </c>
      <c r="Z1177" s="2">
        <v>0</v>
      </c>
      <c r="AA1177" s="2">
        <v>55000</v>
      </c>
    </row>
    <row r="1178" spans="1:27" x14ac:dyDescent="0.3">
      <c r="A1178" s="3">
        <v>16</v>
      </c>
      <c r="B1178" s="2" t="str">
        <f>"11906001000"</f>
        <v>11906001000</v>
      </c>
      <c r="C1178" s="2" t="s">
        <v>4381</v>
      </c>
      <c r="D1178" t="s">
        <v>29</v>
      </c>
      <c r="E1178" s="2" t="s">
        <v>30</v>
      </c>
      <c r="F1178" s="2">
        <v>37210</v>
      </c>
      <c r="G1178" s="2" t="s">
        <v>64</v>
      </c>
      <c r="H1178" t="s">
        <v>1332</v>
      </c>
      <c r="I1178" s="6">
        <v>16424</v>
      </c>
      <c r="J1178" s="2" t="s">
        <v>4382</v>
      </c>
      <c r="K1178" s="2" t="s">
        <v>34</v>
      </c>
      <c r="L1178" t="s">
        <v>35</v>
      </c>
      <c r="M1178" t="s">
        <v>29</v>
      </c>
      <c r="N1178" t="s">
        <v>30</v>
      </c>
      <c r="O1178">
        <v>37219</v>
      </c>
      <c r="P1178" t="s">
        <v>4383</v>
      </c>
      <c r="Q1178" s="2">
        <v>0.09</v>
      </c>
      <c r="R1178" s="2">
        <v>25</v>
      </c>
      <c r="S1178" s="2">
        <v>158</v>
      </c>
      <c r="T1178" t="s">
        <v>4382</v>
      </c>
      <c r="U1178" s="6">
        <v>16424</v>
      </c>
      <c r="V1178" s="2">
        <v>47037017300</v>
      </c>
      <c r="W1178" s="2" t="s">
        <v>68</v>
      </c>
      <c r="X1178" s="1">
        <v>45658</v>
      </c>
      <c r="Y1178" s="2">
        <v>2500</v>
      </c>
      <c r="Z1178" s="2">
        <v>0</v>
      </c>
      <c r="AA1178" s="2">
        <v>2500</v>
      </c>
    </row>
    <row r="1179" spans="1:27" x14ac:dyDescent="0.3">
      <c r="A1179" s="3">
        <v>16</v>
      </c>
      <c r="B1179" s="2" t="str">
        <f>"11906001100"</f>
        <v>11906001100</v>
      </c>
      <c r="C1179" s="2" t="s">
        <v>4381</v>
      </c>
      <c r="D1179" t="s">
        <v>29</v>
      </c>
      <c r="E1179" s="2" t="s">
        <v>30</v>
      </c>
      <c r="F1179" s="2">
        <v>37210</v>
      </c>
      <c r="G1179" s="2" t="s">
        <v>64</v>
      </c>
      <c r="H1179" t="s">
        <v>1332</v>
      </c>
      <c r="I1179" s="6">
        <v>16424</v>
      </c>
      <c r="J1179" s="2" t="s">
        <v>4382</v>
      </c>
      <c r="K1179" s="2" t="s">
        <v>34</v>
      </c>
      <c r="L1179" t="s">
        <v>35</v>
      </c>
      <c r="M1179" t="s">
        <v>29</v>
      </c>
      <c r="N1179" t="s">
        <v>30</v>
      </c>
      <c r="O1179">
        <v>37219</v>
      </c>
      <c r="P1179" t="s">
        <v>4384</v>
      </c>
      <c r="Q1179" s="2">
        <v>0.09</v>
      </c>
      <c r="R1179" s="2">
        <v>25</v>
      </c>
      <c r="S1179" s="2">
        <v>150</v>
      </c>
      <c r="T1179" t="s">
        <v>4382</v>
      </c>
      <c r="U1179" s="6">
        <v>16424</v>
      </c>
      <c r="V1179" s="2">
        <v>47037017300</v>
      </c>
      <c r="W1179" s="2" t="s">
        <v>68</v>
      </c>
      <c r="X1179" s="1">
        <v>45658</v>
      </c>
      <c r="Y1179" s="2">
        <v>2500</v>
      </c>
      <c r="Z1179" s="2">
        <v>0</v>
      </c>
      <c r="AA1179" s="2">
        <v>2500</v>
      </c>
    </row>
    <row r="1180" spans="1:27" x14ac:dyDescent="0.3">
      <c r="A1180" s="3">
        <v>16</v>
      </c>
      <c r="B1180" s="2" t="str">
        <f>"11916001200"</f>
        <v>11916001200</v>
      </c>
      <c r="C1180" s="2" t="s">
        <v>4385</v>
      </c>
      <c r="D1180" t="s">
        <v>29</v>
      </c>
      <c r="E1180" s="2" t="s">
        <v>30</v>
      </c>
      <c r="F1180" s="2">
        <v>37211</v>
      </c>
      <c r="G1180" s="2" t="s">
        <v>64</v>
      </c>
      <c r="H1180" t="s">
        <v>1332</v>
      </c>
      <c r="I1180" s="6">
        <v>32463</v>
      </c>
      <c r="J1180" s="2" t="s">
        <v>4386</v>
      </c>
      <c r="K1180" s="2">
        <v>2500</v>
      </c>
      <c r="L1180" t="s">
        <v>35</v>
      </c>
      <c r="M1180" t="s">
        <v>29</v>
      </c>
      <c r="N1180" t="s">
        <v>30</v>
      </c>
      <c r="O1180">
        <v>37219</v>
      </c>
      <c r="P1180" t="s">
        <v>4387</v>
      </c>
      <c r="Q1180" s="2">
        <v>0.44</v>
      </c>
      <c r="R1180" s="2">
        <v>290</v>
      </c>
      <c r="S1180" s="2">
        <v>238</v>
      </c>
      <c r="T1180" t="s">
        <v>4388</v>
      </c>
      <c r="U1180" s="6">
        <v>15377</v>
      </c>
      <c r="V1180" s="2">
        <v>47037015700</v>
      </c>
      <c r="W1180" s="2" t="s">
        <v>68</v>
      </c>
      <c r="X1180" s="1">
        <v>45658</v>
      </c>
      <c r="Y1180" s="2">
        <v>1000</v>
      </c>
      <c r="Z1180" s="2">
        <v>0</v>
      </c>
      <c r="AA1180" s="2">
        <v>1000</v>
      </c>
    </row>
    <row r="1181" spans="1:27" x14ac:dyDescent="0.3">
      <c r="A1181" s="3">
        <v>16</v>
      </c>
      <c r="B1181" s="2" t="str">
        <f>"11916001700"</f>
        <v>11916001700</v>
      </c>
      <c r="C1181" s="2" t="s">
        <v>4389</v>
      </c>
      <c r="D1181" t="s">
        <v>29</v>
      </c>
      <c r="E1181" s="2" t="s">
        <v>30</v>
      </c>
      <c r="F1181" s="2">
        <v>37211</v>
      </c>
      <c r="G1181" s="2" t="s">
        <v>152</v>
      </c>
      <c r="H1181" t="s">
        <v>4390</v>
      </c>
      <c r="I1181" s="6">
        <v>22790</v>
      </c>
      <c r="J1181" s="2" t="s">
        <v>4391</v>
      </c>
      <c r="K1181" s="2" t="s">
        <v>34</v>
      </c>
      <c r="L1181" t="s">
        <v>35</v>
      </c>
      <c r="M1181" t="s">
        <v>29</v>
      </c>
      <c r="N1181" t="s">
        <v>30</v>
      </c>
      <c r="O1181">
        <v>37219</v>
      </c>
      <c r="P1181" t="s">
        <v>4392</v>
      </c>
      <c r="Q1181" s="2">
        <v>12.91</v>
      </c>
      <c r="R1181" s="2">
        <v>0</v>
      </c>
      <c r="S1181" s="2">
        <v>0</v>
      </c>
      <c r="T1181" t="s">
        <v>4393</v>
      </c>
      <c r="U1181" s="6">
        <v>37330</v>
      </c>
      <c r="V1181" s="2">
        <v>47037015700</v>
      </c>
      <c r="W1181" s="2" t="s">
        <v>68</v>
      </c>
      <c r="X1181" s="1">
        <v>45658</v>
      </c>
      <c r="Y1181" s="2">
        <v>3066100</v>
      </c>
      <c r="Z1181" s="2">
        <v>0</v>
      </c>
      <c r="AA1181" s="2">
        <v>3066100</v>
      </c>
    </row>
    <row r="1182" spans="1:27" x14ac:dyDescent="0.3">
      <c r="A1182" s="3">
        <v>16</v>
      </c>
      <c r="B1182" s="2" t="str">
        <f>"13303005400"</f>
        <v>13303005400</v>
      </c>
      <c r="C1182" s="2" t="s">
        <v>4394</v>
      </c>
      <c r="D1182" t="s">
        <v>29</v>
      </c>
      <c r="E1182" s="2" t="s">
        <v>30</v>
      </c>
      <c r="F1182" s="2">
        <v>37211</v>
      </c>
      <c r="G1182" s="2" t="s">
        <v>253</v>
      </c>
      <c r="H1182" t="s">
        <v>4395</v>
      </c>
      <c r="I1182" s="6">
        <v>27395</v>
      </c>
      <c r="J1182" s="2" t="s">
        <v>4396</v>
      </c>
      <c r="K1182" s="2" t="s">
        <v>34</v>
      </c>
      <c r="L1182" t="s">
        <v>35</v>
      </c>
      <c r="M1182" t="s">
        <v>29</v>
      </c>
      <c r="N1182" t="s">
        <v>30</v>
      </c>
      <c r="O1182">
        <v>37219</v>
      </c>
      <c r="P1182" t="s">
        <v>4397</v>
      </c>
      <c r="Q1182" s="2">
        <v>33.71</v>
      </c>
      <c r="R1182" s="2">
        <v>0</v>
      </c>
      <c r="S1182" s="2">
        <v>0</v>
      </c>
      <c r="T1182" t="s">
        <v>278</v>
      </c>
      <c r="U1182" s="6">
        <v>36581</v>
      </c>
      <c r="V1182" s="2">
        <v>47037017402</v>
      </c>
      <c r="W1182" s="2" t="s">
        <v>68</v>
      </c>
      <c r="X1182" s="1">
        <v>45658</v>
      </c>
      <c r="Y1182" s="2">
        <v>2553300</v>
      </c>
      <c r="Z1182" s="2">
        <v>0</v>
      </c>
      <c r="AA1182" s="2">
        <v>2553300</v>
      </c>
    </row>
    <row r="1183" spans="1:27" x14ac:dyDescent="0.3">
      <c r="A1183" s="3">
        <v>16</v>
      </c>
      <c r="B1183" s="2" t="str">
        <f>"13303006500"</f>
        <v>13303006500</v>
      </c>
      <c r="C1183" s="2" t="s">
        <v>4398</v>
      </c>
      <c r="D1183" t="s">
        <v>29</v>
      </c>
      <c r="E1183" s="2" t="s">
        <v>30</v>
      </c>
      <c r="F1183" s="2">
        <v>37211</v>
      </c>
      <c r="G1183" s="2" t="s">
        <v>253</v>
      </c>
      <c r="H1183" t="s">
        <v>4395</v>
      </c>
      <c r="I1183" s="6">
        <v>25517</v>
      </c>
      <c r="J1183" s="2" t="s">
        <v>4399</v>
      </c>
      <c r="K1183" s="2" t="s">
        <v>34</v>
      </c>
      <c r="L1183" t="s">
        <v>35</v>
      </c>
      <c r="M1183" t="s">
        <v>29</v>
      </c>
      <c r="N1183" t="s">
        <v>30</v>
      </c>
      <c r="O1183">
        <v>37219</v>
      </c>
      <c r="P1183" t="s">
        <v>4400</v>
      </c>
      <c r="Q1183" s="2">
        <v>11.74</v>
      </c>
      <c r="R1183" s="2">
        <v>0</v>
      </c>
      <c r="S1183" s="2">
        <v>0</v>
      </c>
      <c r="T1183" t="s">
        <v>198</v>
      </c>
      <c r="U1183" s="6">
        <v>27760</v>
      </c>
      <c r="V1183" s="2">
        <v>47037017402</v>
      </c>
      <c r="W1183" s="2" t="s">
        <v>68</v>
      </c>
      <c r="X1183" s="1">
        <v>45658</v>
      </c>
      <c r="Y1183" s="2">
        <v>905500</v>
      </c>
      <c r="Z1183" s="2">
        <v>0</v>
      </c>
      <c r="AA1183" s="2">
        <v>905500</v>
      </c>
    </row>
    <row r="1184" spans="1:27" x14ac:dyDescent="0.3">
      <c r="A1184" s="3">
        <v>16</v>
      </c>
      <c r="B1184" s="2" t="str">
        <f>"11913009900"</f>
        <v>11913009900</v>
      </c>
      <c r="C1184" s="2" t="s">
        <v>4401</v>
      </c>
      <c r="D1184" t="s">
        <v>29</v>
      </c>
      <c r="E1184" s="2" t="s">
        <v>30</v>
      </c>
      <c r="F1184" s="2">
        <v>37211</v>
      </c>
      <c r="G1184" s="2" t="s">
        <v>200</v>
      </c>
      <c r="H1184" t="s">
        <v>4402</v>
      </c>
      <c r="I1184" s="6">
        <v>19576</v>
      </c>
      <c r="J1184" s="2" t="s">
        <v>4403</v>
      </c>
      <c r="K1184" s="2" t="s">
        <v>34</v>
      </c>
      <c r="L1184" t="s">
        <v>35</v>
      </c>
      <c r="M1184" t="s">
        <v>29</v>
      </c>
      <c r="N1184" t="s">
        <v>30</v>
      </c>
      <c r="O1184">
        <v>37219</v>
      </c>
      <c r="P1184" t="s">
        <v>4404</v>
      </c>
      <c r="Q1184" s="2">
        <v>0.45</v>
      </c>
      <c r="R1184" s="2">
        <v>122</v>
      </c>
      <c r="S1184" s="2">
        <v>160</v>
      </c>
      <c r="T1184" t="s">
        <v>4403</v>
      </c>
      <c r="U1184" s="6">
        <v>19576</v>
      </c>
      <c r="V1184" s="2">
        <v>47037017500</v>
      </c>
      <c r="W1184" s="2" t="s">
        <v>68</v>
      </c>
      <c r="X1184" s="1">
        <v>45658</v>
      </c>
      <c r="Y1184" s="2">
        <v>390400</v>
      </c>
      <c r="Z1184" s="2">
        <v>0</v>
      </c>
      <c r="AA1184" s="2">
        <v>390400</v>
      </c>
    </row>
    <row r="1185" spans="1:27" x14ac:dyDescent="0.3">
      <c r="A1185" s="3">
        <v>16</v>
      </c>
      <c r="B1185" s="2" t="str">
        <f>"11913009800"</f>
        <v>11913009800</v>
      </c>
      <c r="C1185" s="2" t="s">
        <v>4405</v>
      </c>
      <c r="D1185" t="s">
        <v>29</v>
      </c>
      <c r="E1185" s="2" t="s">
        <v>30</v>
      </c>
      <c r="F1185" s="2">
        <v>37211</v>
      </c>
      <c r="G1185" s="2" t="s">
        <v>200</v>
      </c>
      <c r="H1185" t="s">
        <v>4402</v>
      </c>
      <c r="I1185" s="6">
        <v>19284</v>
      </c>
      <c r="J1185" s="2" t="s">
        <v>4406</v>
      </c>
      <c r="K1185" s="2" t="s">
        <v>34</v>
      </c>
      <c r="L1185" t="s">
        <v>35</v>
      </c>
      <c r="M1185" t="s">
        <v>29</v>
      </c>
      <c r="N1185" t="s">
        <v>30</v>
      </c>
      <c r="O1185">
        <v>37219</v>
      </c>
      <c r="P1185" t="s">
        <v>4407</v>
      </c>
      <c r="Q1185" s="2">
        <v>0.28999999999999998</v>
      </c>
      <c r="R1185" s="2">
        <v>38</v>
      </c>
      <c r="S1185" s="2">
        <v>130</v>
      </c>
      <c r="T1185" t="s">
        <v>4406</v>
      </c>
      <c r="U1185" s="6">
        <v>19284</v>
      </c>
      <c r="V1185" s="2">
        <v>47037017500</v>
      </c>
      <c r="W1185" s="2" t="s">
        <v>68</v>
      </c>
      <c r="X1185" s="1">
        <v>45658</v>
      </c>
      <c r="Y1185" s="2">
        <v>252600</v>
      </c>
      <c r="Z1185" s="2">
        <v>0</v>
      </c>
      <c r="AA1185" s="2">
        <v>252600</v>
      </c>
    </row>
    <row r="1186" spans="1:27" x14ac:dyDescent="0.3">
      <c r="A1186" s="3">
        <v>16</v>
      </c>
      <c r="B1186" s="2" t="str">
        <f>"11906020600"</f>
        <v>11906020600</v>
      </c>
      <c r="C1186" s="2" t="s">
        <v>4408</v>
      </c>
      <c r="D1186" t="s">
        <v>29</v>
      </c>
      <c r="E1186" s="2" t="s">
        <v>30</v>
      </c>
      <c r="F1186" s="2">
        <v>37210</v>
      </c>
      <c r="G1186" s="2" t="s">
        <v>41</v>
      </c>
      <c r="H1186" t="s">
        <v>4409</v>
      </c>
      <c r="I1186" s="6">
        <v>17866</v>
      </c>
      <c r="J1186" s="2" t="s">
        <v>4410</v>
      </c>
      <c r="K1186" s="2" t="s">
        <v>34</v>
      </c>
      <c r="L1186" t="s">
        <v>35</v>
      </c>
      <c r="M1186" t="s">
        <v>29</v>
      </c>
      <c r="N1186" t="s">
        <v>30</v>
      </c>
      <c r="O1186">
        <v>37219</v>
      </c>
      <c r="P1186" t="s">
        <v>4411</v>
      </c>
      <c r="Q1186" s="2">
        <v>9.89</v>
      </c>
      <c r="R1186" s="2">
        <v>0</v>
      </c>
      <c r="S1186" s="2">
        <v>0</v>
      </c>
      <c r="T1186" t="s">
        <v>278</v>
      </c>
      <c r="U1186" s="6">
        <v>36588</v>
      </c>
      <c r="V1186" s="2">
        <v>47037017300</v>
      </c>
      <c r="W1186" s="2" t="s">
        <v>68</v>
      </c>
      <c r="X1186" s="1">
        <v>45658</v>
      </c>
      <c r="Y1186" s="2">
        <v>1060100</v>
      </c>
      <c r="Z1186" s="2">
        <v>0</v>
      </c>
      <c r="AA1186" s="2">
        <v>1060100</v>
      </c>
    </row>
    <row r="1187" spans="1:27" x14ac:dyDescent="0.3">
      <c r="A1187" s="3">
        <v>16</v>
      </c>
      <c r="B1187" s="2" t="str">
        <f>"13302030500"</f>
        <v>13302030500</v>
      </c>
      <c r="C1187" s="2" t="s">
        <v>4412</v>
      </c>
      <c r="D1187" t="s">
        <v>29</v>
      </c>
      <c r="E1187" s="2" t="s">
        <v>30</v>
      </c>
      <c r="F1187" s="2">
        <v>37211</v>
      </c>
      <c r="G1187" s="2" t="s">
        <v>253</v>
      </c>
      <c r="H1187" t="s">
        <v>4413</v>
      </c>
      <c r="I1187" s="6">
        <v>27395</v>
      </c>
      <c r="J1187" s="2" t="s">
        <v>4414</v>
      </c>
      <c r="K1187" s="2" t="s">
        <v>34</v>
      </c>
      <c r="L1187" t="s">
        <v>35</v>
      </c>
      <c r="M1187" t="s">
        <v>29</v>
      </c>
      <c r="N1187" t="s">
        <v>30</v>
      </c>
      <c r="O1187">
        <v>37219</v>
      </c>
      <c r="P1187" t="s">
        <v>4415</v>
      </c>
      <c r="Q1187" s="2">
        <v>18.52</v>
      </c>
      <c r="R1187" s="2">
        <v>0</v>
      </c>
      <c r="S1187" s="2">
        <v>0</v>
      </c>
      <c r="T1187" t="s">
        <v>4416</v>
      </c>
      <c r="U1187" s="6">
        <v>24442</v>
      </c>
      <c r="V1187" s="2">
        <v>47037017402</v>
      </c>
      <c r="W1187" s="2" t="s">
        <v>68</v>
      </c>
      <c r="X1187" s="1">
        <v>45658</v>
      </c>
      <c r="Y1187" s="2">
        <v>1599400</v>
      </c>
      <c r="Z1187" s="2">
        <v>0</v>
      </c>
      <c r="AA1187" s="2">
        <v>1599400</v>
      </c>
    </row>
    <row r="1188" spans="1:27" x14ac:dyDescent="0.3">
      <c r="A1188" s="3">
        <v>16</v>
      </c>
      <c r="B1188" s="2" t="str">
        <f>"10512005000"</f>
        <v>10512005000</v>
      </c>
      <c r="C1188" s="2" t="s">
        <v>4417</v>
      </c>
      <c r="D1188" t="s">
        <v>29</v>
      </c>
      <c r="E1188" s="2" t="s">
        <v>30</v>
      </c>
      <c r="F1188" s="2">
        <v>37210</v>
      </c>
      <c r="G1188" s="2" t="s">
        <v>1343</v>
      </c>
      <c r="H1188" t="s">
        <v>4418</v>
      </c>
      <c r="I1188" s="6">
        <v>27570</v>
      </c>
      <c r="J1188" s="2" t="s">
        <v>4419</v>
      </c>
      <c r="K1188" s="2" t="s">
        <v>34</v>
      </c>
      <c r="L1188" t="s">
        <v>35</v>
      </c>
      <c r="M1188" t="s">
        <v>29</v>
      </c>
      <c r="N1188" t="s">
        <v>30</v>
      </c>
      <c r="O1188">
        <v>37219</v>
      </c>
      <c r="P1188" t="s">
        <v>4420</v>
      </c>
      <c r="Q1188" s="2">
        <v>11.28</v>
      </c>
      <c r="R1188" s="2">
        <v>0</v>
      </c>
      <c r="S1188" s="2">
        <v>0</v>
      </c>
      <c r="T1188" t="s">
        <v>278</v>
      </c>
      <c r="U1188" s="6">
        <v>36588</v>
      </c>
      <c r="V1188" s="2">
        <v>47037017200</v>
      </c>
      <c r="W1188" s="2" t="s">
        <v>68</v>
      </c>
      <c r="X1188" s="1">
        <v>45658</v>
      </c>
      <c r="Y1188" s="2">
        <v>8191700</v>
      </c>
      <c r="Z1188" s="2">
        <v>3228500</v>
      </c>
      <c r="AA1188" s="2">
        <v>4963200</v>
      </c>
    </row>
    <row r="1189" spans="1:27" x14ac:dyDescent="0.3">
      <c r="A1189" s="3">
        <v>16</v>
      </c>
      <c r="B1189" s="2" t="str">
        <f>"11904004100"</f>
        <v>11904004100</v>
      </c>
      <c r="C1189" s="2" t="s">
        <v>4421</v>
      </c>
      <c r="D1189" t="s">
        <v>29</v>
      </c>
      <c r="E1189" s="2" t="s">
        <v>30</v>
      </c>
      <c r="F1189" s="2">
        <v>37211</v>
      </c>
      <c r="G1189" s="2" t="s">
        <v>194</v>
      </c>
      <c r="H1189" t="s">
        <v>280</v>
      </c>
      <c r="I1189" s="6">
        <v>44988</v>
      </c>
      <c r="J1189" s="2" t="s">
        <v>4422</v>
      </c>
      <c r="K1189" s="2" t="s">
        <v>34</v>
      </c>
      <c r="L1189" t="s">
        <v>315</v>
      </c>
      <c r="M1189" t="s">
        <v>29</v>
      </c>
      <c r="N1189" t="s">
        <v>30</v>
      </c>
      <c r="O1189">
        <v>37208</v>
      </c>
      <c r="P1189" t="s">
        <v>4423</v>
      </c>
      <c r="Q1189" s="2">
        <v>0.51</v>
      </c>
      <c r="R1189" s="2">
        <v>166</v>
      </c>
      <c r="S1189" s="2">
        <v>204</v>
      </c>
      <c r="T1189" t="s">
        <v>4424</v>
      </c>
      <c r="U1189" s="6">
        <v>19884</v>
      </c>
      <c r="V1189" s="2">
        <v>47037015802</v>
      </c>
      <c r="W1189" s="2" t="s">
        <v>68</v>
      </c>
      <c r="X1189" s="1">
        <v>45658</v>
      </c>
      <c r="Y1189" s="2">
        <v>76500</v>
      </c>
      <c r="Z1189" s="2">
        <v>0</v>
      </c>
      <c r="AA1189" s="2">
        <v>76500</v>
      </c>
    </row>
    <row r="1190" spans="1:27" x14ac:dyDescent="0.3">
      <c r="A1190" s="3">
        <v>16</v>
      </c>
      <c r="B1190" s="2" t="str">
        <f>"11904003600"</f>
        <v>11904003600</v>
      </c>
      <c r="C1190" s="2" t="s">
        <v>4425</v>
      </c>
      <c r="D1190" t="s">
        <v>29</v>
      </c>
      <c r="E1190" s="2" t="s">
        <v>30</v>
      </c>
      <c r="F1190" s="2">
        <v>37211</v>
      </c>
      <c r="G1190" s="2" t="s">
        <v>64</v>
      </c>
      <c r="H1190" t="s">
        <v>280</v>
      </c>
      <c r="I1190" s="6">
        <v>43893</v>
      </c>
      <c r="J1190" s="2" t="s">
        <v>4426</v>
      </c>
      <c r="K1190" s="2" t="s">
        <v>34</v>
      </c>
      <c r="L1190" t="s">
        <v>315</v>
      </c>
      <c r="M1190" t="s">
        <v>29</v>
      </c>
      <c r="N1190" t="s">
        <v>30</v>
      </c>
      <c r="O1190">
        <v>37208</v>
      </c>
      <c r="P1190" t="s">
        <v>4427</v>
      </c>
      <c r="Q1190" s="2">
        <v>0.54</v>
      </c>
      <c r="R1190" s="2">
        <v>98</v>
      </c>
      <c r="S1190" s="2">
        <v>260</v>
      </c>
      <c r="T1190" t="s">
        <v>4428</v>
      </c>
      <c r="U1190" s="6">
        <v>26214</v>
      </c>
      <c r="V1190" s="2">
        <v>47037015802</v>
      </c>
      <c r="W1190" s="2" t="s">
        <v>68</v>
      </c>
      <c r="X1190" s="1">
        <v>45658</v>
      </c>
      <c r="Y1190" s="2">
        <v>76500</v>
      </c>
      <c r="Z1190" s="2">
        <v>0</v>
      </c>
      <c r="AA1190" s="2">
        <v>76500</v>
      </c>
    </row>
    <row r="1191" spans="1:27" x14ac:dyDescent="0.3">
      <c r="A1191" s="3">
        <v>16</v>
      </c>
      <c r="B1191" s="2" t="str">
        <f>"13301014600"</f>
        <v>13301014600</v>
      </c>
      <c r="C1191" s="2" t="s">
        <v>4429</v>
      </c>
      <c r="D1191" t="s">
        <v>29</v>
      </c>
      <c r="E1191" s="2" t="s">
        <v>30</v>
      </c>
      <c r="F1191" s="2">
        <v>37211</v>
      </c>
      <c r="G1191" s="2" t="s">
        <v>152</v>
      </c>
      <c r="H1191" t="s">
        <v>280</v>
      </c>
      <c r="I1191" s="6">
        <v>37679</v>
      </c>
      <c r="J1191" s="2" t="s">
        <v>4430</v>
      </c>
      <c r="K1191" s="2" t="s">
        <v>34</v>
      </c>
      <c r="L1191" t="s">
        <v>35</v>
      </c>
      <c r="M1191" t="s">
        <v>29</v>
      </c>
      <c r="N1191" t="s">
        <v>30</v>
      </c>
      <c r="O1191">
        <v>37219</v>
      </c>
      <c r="P1191" t="s">
        <v>4431</v>
      </c>
      <c r="Q1191" s="2">
        <v>2.13</v>
      </c>
      <c r="R1191" s="2">
        <v>0</v>
      </c>
      <c r="S1191" s="2">
        <v>0</v>
      </c>
      <c r="T1191" t="s">
        <v>4432</v>
      </c>
      <c r="U1191" s="6">
        <v>22734</v>
      </c>
      <c r="V1191" s="2">
        <v>47037017500</v>
      </c>
      <c r="W1191" s="2" t="s">
        <v>68</v>
      </c>
      <c r="X1191" s="1">
        <v>45658</v>
      </c>
      <c r="Y1191" s="2">
        <v>394000</v>
      </c>
      <c r="Z1191" s="2">
        <v>0</v>
      </c>
      <c r="AA1191" s="2">
        <v>394000</v>
      </c>
    </row>
    <row r="1192" spans="1:27" x14ac:dyDescent="0.3">
      <c r="A1192" s="3">
        <v>16</v>
      </c>
      <c r="B1192" s="2" t="str">
        <f>"11901050300"</f>
        <v>11901050300</v>
      </c>
      <c r="C1192" s="2" t="s">
        <v>4433</v>
      </c>
      <c r="D1192" t="s">
        <v>29</v>
      </c>
      <c r="E1192" s="2" t="s">
        <v>30</v>
      </c>
      <c r="F1192" s="2">
        <v>37210</v>
      </c>
      <c r="G1192" s="2" t="s">
        <v>64</v>
      </c>
      <c r="H1192" t="s">
        <v>4434</v>
      </c>
      <c r="I1192" s="6">
        <v>44358</v>
      </c>
      <c r="J1192" s="2" t="s">
        <v>4435</v>
      </c>
      <c r="K1192" s="2">
        <v>0</v>
      </c>
      <c r="L1192" t="s">
        <v>85</v>
      </c>
      <c r="M1192" t="s">
        <v>29</v>
      </c>
      <c r="N1192" t="s">
        <v>30</v>
      </c>
      <c r="O1192">
        <v>37219</v>
      </c>
      <c r="P1192" t="s">
        <v>4436</v>
      </c>
      <c r="Q1192" s="2">
        <v>0.14000000000000001</v>
      </c>
      <c r="R1192" s="2">
        <v>50</v>
      </c>
      <c r="S1192" s="2">
        <v>134</v>
      </c>
      <c r="T1192" t="s">
        <v>4435</v>
      </c>
      <c r="U1192" s="6">
        <v>44358</v>
      </c>
      <c r="V1192" s="2">
        <v>47037017200</v>
      </c>
      <c r="W1192" s="2" t="s">
        <v>837</v>
      </c>
      <c r="X1192" s="1">
        <v>45658</v>
      </c>
      <c r="Y1192" s="2">
        <v>108000</v>
      </c>
      <c r="Z1192" s="2">
        <v>0</v>
      </c>
      <c r="AA1192" s="2">
        <v>108000</v>
      </c>
    </row>
    <row r="1193" spans="1:27" x14ac:dyDescent="0.3">
      <c r="A1193" s="3">
        <v>16</v>
      </c>
      <c r="B1193" s="2" t="str">
        <f>"133040A02300CO"</f>
        <v>133040A02300CO</v>
      </c>
      <c r="C1193" s="2" t="s">
        <v>4437</v>
      </c>
      <c r="D1193" t="s">
        <v>29</v>
      </c>
      <c r="E1193" s="2" t="s">
        <v>30</v>
      </c>
      <c r="F1193" s="2">
        <v>37211</v>
      </c>
      <c r="G1193" s="2" t="s">
        <v>64</v>
      </c>
      <c r="H1193" t="s">
        <v>4438</v>
      </c>
      <c r="I1193" s="6">
        <v>44994</v>
      </c>
      <c r="J1193" s="2" t="s">
        <v>4439</v>
      </c>
      <c r="K1193" s="2">
        <v>0</v>
      </c>
      <c r="L1193" t="s">
        <v>85</v>
      </c>
      <c r="M1193" t="s">
        <v>29</v>
      </c>
      <c r="N1193" t="s">
        <v>30</v>
      </c>
      <c r="O1193">
        <v>37201</v>
      </c>
      <c r="P1193" t="s">
        <v>4440</v>
      </c>
      <c r="Q1193" s="2">
        <v>0.01</v>
      </c>
      <c r="R1193" s="2">
        <v>8</v>
      </c>
      <c r="S1193" s="2">
        <v>60</v>
      </c>
      <c r="T1193" t="s">
        <v>4441</v>
      </c>
      <c r="U1193" s="6">
        <v>37596</v>
      </c>
      <c r="V1193" s="2">
        <v>47037017402</v>
      </c>
      <c r="W1193" s="2" t="s">
        <v>68</v>
      </c>
      <c r="X1193" s="1">
        <v>45658</v>
      </c>
      <c r="Y1193" s="2">
        <v>200</v>
      </c>
      <c r="Z1193" s="2">
        <v>0</v>
      </c>
      <c r="AA1193" s="2">
        <v>200</v>
      </c>
    </row>
    <row r="1194" spans="1:27" x14ac:dyDescent="0.3">
      <c r="A1194" s="3">
        <v>16</v>
      </c>
      <c r="B1194" s="2" t="str">
        <f>"11904001300"</f>
        <v>11904001300</v>
      </c>
      <c r="C1194" s="2" t="s">
        <v>4442</v>
      </c>
      <c r="D1194" t="s">
        <v>29</v>
      </c>
      <c r="E1194" s="2" t="s">
        <v>30</v>
      </c>
      <c r="F1194" s="2">
        <v>37211</v>
      </c>
      <c r="G1194" s="2" t="s">
        <v>194</v>
      </c>
      <c r="H1194" t="s">
        <v>379</v>
      </c>
      <c r="I1194" s="6">
        <v>45336</v>
      </c>
      <c r="J1194" s="2" t="s">
        <v>4443</v>
      </c>
      <c r="K1194" s="2" t="s">
        <v>34</v>
      </c>
      <c r="L1194" t="s">
        <v>1104</v>
      </c>
      <c r="M1194" t="s">
        <v>29</v>
      </c>
      <c r="N1194" t="s">
        <v>30</v>
      </c>
      <c r="O1194">
        <v>37208</v>
      </c>
      <c r="P1194" t="s">
        <v>4444</v>
      </c>
      <c r="Q1194" s="2">
        <v>0.5</v>
      </c>
      <c r="R1194" s="2">
        <v>90</v>
      </c>
      <c r="S1194" s="2">
        <v>248</v>
      </c>
      <c r="T1194" t="s">
        <v>4445</v>
      </c>
      <c r="U1194" s="6">
        <v>19276</v>
      </c>
      <c r="V1194" s="2">
        <v>47037015802</v>
      </c>
      <c r="W1194" s="2" t="s">
        <v>68</v>
      </c>
      <c r="X1194" s="1">
        <v>45658</v>
      </c>
      <c r="Y1194" s="2">
        <v>76500</v>
      </c>
      <c r="Z1194" s="2">
        <v>0</v>
      </c>
      <c r="AA1194" s="2">
        <v>76500</v>
      </c>
    </row>
    <row r="1195" spans="1:27" x14ac:dyDescent="0.3">
      <c r="A1195" s="3">
        <v>16</v>
      </c>
      <c r="B1195" s="2" t="str">
        <f>"11904001200"</f>
        <v>11904001200</v>
      </c>
      <c r="C1195" s="2" t="s">
        <v>4446</v>
      </c>
      <c r="D1195" t="s">
        <v>29</v>
      </c>
      <c r="E1195" s="2" t="s">
        <v>30</v>
      </c>
      <c r="F1195" s="2">
        <v>37211</v>
      </c>
      <c r="G1195" s="2" t="s">
        <v>64</v>
      </c>
      <c r="H1195" t="s">
        <v>379</v>
      </c>
      <c r="I1195" s="6">
        <v>43872</v>
      </c>
      <c r="J1195" s="2" t="s">
        <v>4447</v>
      </c>
      <c r="K1195" s="2" t="s">
        <v>34</v>
      </c>
      <c r="L1195" t="s">
        <v>315</v>
      </c>
      <c r="M1195" t="s">
        <v>29</v>
      </c>
      <c r="N1195" t="s">
        <v>30</v>
      </c>
      <c r="O1195">
        <v>37208</v>
      </c>
      <c r="P1195" t="s">
        <v>4448</v>
      </c>
      <c r="Q1195" s="2">
        <v>0.52</v>
      </c>
      <c r="R1195" s="2">
        <v>98</v>
      </c>
      <c r="S1195" s="2">
        <v>246</v>
      </c>
      <c r="T1195" t="s">
        <v>4449</v>
      </c>
      <c r="U1195" s="6">
        <v>19282</v>
      </c>
      <c r="V1195" s="2">
        <v>47037015802</v>
      </c>
      <c r="W1195" s="2" t="s">
        <v>68</v>
      </c>
      <c r="X1195" s="1">
        <v>45658</v>
      </c>
      <c r="Y1195" s="2">
        <v>76500</v>
      </c>
      <c r="Z1195" s="2">
        <v>0</v>
      </c>
      <c r="AA1195" s="2">
        <v>76500</v>
      </c>
    </row>
    <row r="1196" spans="1:27" x14ac:dyDescent="0.3">
      <c r="A1196" s="3">
        <v>16</v>
      </c>
      <c r="B1196" s="2" t="str">
        <f>"11904001000"</f>
        <v>11904001000</v>
      </c>
      <c r="C1196" s="2" t="s">
        <v>4450</v>
      </c>
      <c r="D1196" t="s">
        <v>29</v>
      </c>
      <c r="E1196" s="2" t="s">
        <v>30</v>
      </c>
      <c r="F1196" s="2">
        <v>37211</v>
      </c>
      <c r="G1196" s="2" t="s">
        <v>194</v>
      </c>
      <c r="H1196" t="s">
        <v>379</v>
      </c>
      <c r="I1196" s="6">
        <v>45455</v>
      </c>
      <c r="J1196" s="2" t="s">
        <v>4451</v>
      </c>
      <c r="K1196" s="2">
        <v>0</v>
      </c>
      <c r="L1196" t="s">
        <v>85</v>
      </c>
      <c r="M1196" t="s">
        <v>29</v>
      </c>
      <c r="N1196" t="s">
        <v>30</v>
      </c>
      <c r="O1196">
        <v>37219</v>
      </c>
      <c r="P1196" t="s">
        <v>4452</v>
      </c>
      <c r="Q1196" s="2">
        <v>0.87</v>
      </c>
      <c r="R1196" s="2">
        <v>103</v>
      </c>
      <c r="S1196" s="2">
        <v>304</v>
      </c>
      <c r="T1196" t="s">
        <v>4453</v>
      </c>
      <c r="U1196" s="6">
        <v>20351</v>
      </c>
      <c r="V1196" s="2">
        <v>47037015802</v>
      </c>
      <c r="W1196" s="2" t="s">
        <v>68</v>
      </c>
      <c r="X1196" s="1">
        <v>45658</v>
      </c>
      <c r="Y1196" s="2">
        <v>399100</v>
      </c>
      <c r="Z1196" s="2">
        <v>306500</v>
      </c>
      <c r="AA1196" s="2">
        <v>92600</v>
      </c>
    </row>
    <row r="1197" spans="1:27" x14ac:dyDescent="0.3">
      <c r="A1197" s="3">
        <v>16</v>
      </c>
      <c r="B1197" s="2" t="str">
        <f>"11904001100"</f>
        <v>11904001100</v>
      </c>
      <c r="C1197" s="2" t="s">
        <v>4454</v>
      </c>
      <c r="D1197" t="s">
        <v>29</v>
      </c>
      <c r="E1197" s="2" t="s">
        <v>30</v>
      </c>
      <c r="F1197" s="2">
        <v>37211</v>
      </c>
      <c r="G1197" s="2" t="s">
        <v>64</v>
      </c>
      <c r="H1197" t="s">
        <v>379</v>
      </c>
      <c r="I1197" s="6">
        <v>44503</v>
      </c>
      <c r="J1197" s="2" t="s">
        <v>4455</v>
      </c>
      <c r="K1197" s="2" t="s">
        <v>34</v>
      </c>
      <c r="L1197" t="s">
        <v>315</v>
      </c>
      <c r="M1197" t="s">
        <v>29</v>
      </c>
      <c r="N1197" t="s">
        <v>30</v>
      </c>
      <c r="O1197">
        <v>37208</v>
      </c>
      <c r="P1197" t="s">
        <v>4456</v>
      </c>
      <c r="Q1197" s="2">
        <v>0.67</v>
      </c>
      <c r="R1197" s="2">
        <v>102</v>
      </c>
      <c r="S1197" s="2">
        <v>300</v>
      </c>
      <c r="T1197" t="s">
        <v>4457</v>
      </c>
      <c r="U1197" s="6">
        <v>19926</v>
      </c>
      <c r="V1197" s="2">
        <v>47037015802</v>
      </c>
      <c r="W1197" s="2" t="s">
        <v>68</v>
      </c>
      <c r="X1197" s="1">
        <v>45658</v>
      </c>
      <c r="Y1197" s="2">
        <v>76500</v>
      </c>
      <c r="Z1197" s="2">
        <v>0</v>
      </c>
      <c r="AA1197" s="2">
        <v>76500</v>
      </c>
    </row>
    <row r="1198" spans="1:27" x14ac:dyDescent="0.3">
      <c r="A1198" s="3">
        <v>16</v>
      </c>
      <c r="B1198" s="2" t="str">
        <f>"11904003700"</f>
        <v>11904003700</v>
      </c>
      <c r="C1198" s="2" t="s">
        <v>4458</v>
      </c>
      <c r="D1198" t="s">
        <v>29</v>
      </c>
      <c r="E1198" s="2" t="s">
        <v>30</v>
      </c>
      <c r="F1198" s="2">
        <v>37211</v>
      </c>
      <c r="G1198" s="2" t="s">
        <v>194</v>
      </c>
      <c r="H1198" t="s">
        <v>379</v>
      </c>
      <c r="I1198" s="6">
        <v>44967</v>
      </c>
      <c r="J1198" s="2" t="s">
        <v>4459</v>
      </c>
      <c r="K1198" s="2" t="s">
        <v>34</v>
      </c>
      <c r="L1198" t="s">
        <v>315</v>
      </c>
      <c r="M1198" t="s">
        <v>29</v>
      </c>
      <c r="N1198" t="s">
        <v>30</v>
      </c>
      <c r="O1198">
        <v>37208</v>
      </c>
      <c r="P1198" t="s">
        <v>4460</v>
      </c>
      <c r="Q1198" s="2">
        <v>0.47</v>
      </c>
      <c r="R1198" s="2">
        <v>95</v>
      </c>
      <c r="S1198" s="2">
        <v>227</v>
      </c>
      <c r="T1198" t="s">
        <v>4461</v>
      </c>
      <c r="U1198" s="6">
        <v>25381</v>
      </c>
      <c r="V1198" s="2">
        <v>47037015802</v>
      </c>
      <c r="W1198" s="2" t="s">
        <v>68</v>
      </c>
      <c r="X1198" s="1">
        <v>45658</v>
      </c>
      <c r="Y1198" s="2">
        <v>76500</v>
      </c>
      <c r="Z1198" s="2">
        <v>0</v>
      </c>
      <c r="AA1198" s="2">
        <v>76500</v>
      </c>
    </row>
    <row r="1199" spans="1:27" x14ac:dyDescent="0.3">
      <c r="A1199" s="3">
        <v>16</v>
      </c>
      <c r="B1199" s="2" t="str">
        <f>"11903009500"</f>
        <v>11903009500</v>
      </c>
      <c r="C1199" s="2" t="s">
        <v>4462</v>
      </c>
      <c r="D1199" t="s">
        <v>29</v>
      </c>
      <c r="E1199" s="2" t="s">
        <v>30</v>
      </c>
      <c r="F1199" s="2">
        <v>37211</v>
      </c>
      <c r="G1199" s="2" t="s">
        <v>194</v>
      </c>
      <c r="H1199" t="s">
        <v>379</v>
      </c>
      <c r="I1199" s="6">
        <v>44972</v>
      </c>
      <c r="J1199" s="2" t="s">
        <v>4463</v>
      </c>
      <c r="K1199" s="2">
        <v>0</v>
      </c>
      <c r="L1199" t="s">
        <v>315</v>
      </c>
      <c r="M1199" t="s">
        <v>29</v>
      </c>
      <c r="N1199" t="s">
        <v>30</v>
      </c>
      <c r="O1199">
        <v>37208</v>
      </c>
      <c r="P1199" t="s">
        <v>4464</v>
      </c>
      <c r="Q1199" s="2">
        <v>0.97</v>
      </c>
      <c r="R1199" s="2">
        <v>126</v>
      </c>
      <c r="S1199" s="2">
        <v>290</v>
      </c>
      <c r="T1199" t="s">
        <v>4465</v>
      </c>
      <c r="U1199" s="6">
        <v>23224</v>
      </c>
      <c r="V1199" s="2">
        <v>47037015802</v>
      </c>
      <c r="W1199" s="2" t="s">
        <v>68</v>
      </c>
      <c r="X1199" s="1">
        <v>45658</v>
      </c>
      <c r="Y1199" s="2">
        <v>79200</v>
      </c>
      <c r="Z1199" s="2">
        <v>0</v>
      </c>
      <c r="AA1199" s="2">
        <v>79200</v>
      </c>
    </row>
    <row r="1200" spans="1:27" x14ac:dyDescent="0.3">
      <c r="A1200" s="3">
        <v>16</v>
      </c>
      <c r="B1200" s="2" t="str">
        <f>"11907003100"</f>
        <v>11907003100</v>
      </c>
      <c r="C1200" s="2" t="s">
        <v>4466</v>
      </c>
      <c r="D1200" t="s">
        <v>29</v>
      </c>
      <c r="E1200" s="2" t="s">
        <v>30</v>
      </c>
      <c r="F1200" s="2">
        <v>37211</v>
      </c>
      <c r="G1200" s="2" t="s">
        <v>194</v>
      </c>
      <c r="H1200" t="s">
        <v>379</v>
      </c>
      <c r="I1200" s="6">
        <v>44435</v>
      </c>
      <c r="J1200" s="2" t="s">
        <v>4467</v>
      </c>
      <c r="K1200" s="2" t="s">
        <v>34</v>
      </c>
      <c r="L1200" t="s">
        <v>315</v>
      </c>
      <c r="M1200" t="s">
        <v>29</v>
      </c>
      <c r="N1200" t="s">
        <v>30</v>
      </c>
      <c r="O1200">
        <v>37208</v>
      </c>
      <c r="P1200" t="s">
        <v>4468</v>
      </c>
      <c r="Q1200" s="2">
        <v>0.83</v>
      </c>
      <c r="R1200" s="2">
        <v>126</v>
      </c>
      <c r="S1200" s="2">
        <v>305</v>
      </c>
      <c r="T1200" t="s">
        <v>4469</v>
      </c>
      <c r="U1200" s="6">
        <v>21409</v>
      </c>
      <c r="V1200" s="2">
        <v>47037015802</v>
      </c>
      <c r="W1200" s="2" t="s">
        <v>68</v>
      </c>
      <c r="X1200" s="1">
        <v>45658</v>
      </c>
      <c r="Y1200" s="2">
        <v>84200</v>
      </c>
      <c r="Z1200" s="2">
        <v>0</v>
      </c>
      <c r="AA1200" s="2">
        <v>84200</v>
      </c>
    </row>
    <row r="1201" spans="1:27" x14ac:dyDescent="0.3">
      <c r="A1201" s="3">
        <v>16</v>
      </c>
      <c r="B1201" s="2" t="str">
        <f>"11908003800"</f>
        <v>11908003800</v>
      </c>
      <c r="C1201" s="2" t="s">
        <v>4470</v>
      </c>
      <c r="D1201" t="s">
        <v>29</v>
      </c>
      <c r="E1201" s="2" t="s">
        <v>30</v>
      </c>
      <c r="F1201" s="2">
        <v>37211</v>
      </c>
      <c r="G1201" s="2" t="s">
        <v>194</v>
      </c>
      <c r="H1201" t="s">
        <v>379</v>
      </c>
      <c r="I1201" s="6">
        <v>44634</v>
      </c>
      <c r="J1201" s="2" t="s">
        <v>4471</v>
      </c>
      <c r="K1201" s="2" t="s">
        <v>34</v>
      </c>
      <c r="L1201" t="s">
        <v>315</v>
      </c>
      <c r="M1201" t="s">
        <v>29</v>
      </c>
      <c r="N1201" t="s">
        <v>30</v>
      </c>
      <c r="O1201">
        <v>37208</v>
      </c>
      <c r="P1201" t="s">
        <v>4472</v>
      </c>
      <c r="Q1201" s="2">
        <v>0.61</v>
      </c>
      <c r="R1201" s="2">
        <v>99</v>
      </c>
      <c r="S1201" s="2">
        <v>279</v>
      </c>
      <c r="T1201" t="s">
        <v>4473</v>
      </c>
      <c r="U1201" s="6">
        <v>21376</v>
      </c>
      <c r="V1201" s="2">
        <v>47037015802</v>
      </c>
      <c r="W1201" s="2" t="s">
        <v>68</v>
      </c>
      <c r="X1201" s="1">
        <v>45658</v>
      </c>
      <c r="Y1201" s="2">
        <v>76500</v>
      </c>
      <c r="Z1201" s="2">
        <v>0</v>
      </c>
      <c r="AA1201" s="2">
        <v>76500</v>
      </c>
    </row>
    <row r="1202" spans="1:27" x14ac:dyDescent="0.3">
      <c r="A1202" s="3">
        <v>16</v>
      </c>
      <c r="B1202" s="2" t="str">
        <f>"11908003900"</f>
        <v>11908003900</v>
      </c>
      <c r="C1202" s="2" t="s">
        <v>4474</v>
      </c>
      <c r="D1202" t="s">
        <v>29</v>
      </c>
      <c r="E1202" s="2" t="s">
        <v>30</v>
      </c>
      <c r="F1202" s="2">
        <v>37211</v>
      </c>
      <c r="G1202" s="2" t="s">
        <v>194</v>
      </c>
      <c r="H1202" t="s">
        <v>379</v>
      </c>
      <c r="I1202" s="6">
        <v>44314</v>
      </c>
      <c r="J1202" s="2" t="s">
        <v>4475</v>
      </c>
      <c r="K1202" s="2" t="s">
        <v>34</v>
      </c>
      <c r="L1202" t="s">
        <v>315</v>
      </c>
      <c r="M1202" t="s">
        <v>29</v>
      </c>
      <c r="N1202" t="s">
        <v>30</v>
      </c>
      <c r="O1202">
        <v>37208</v>
      </c>
      <c r="P1202" t="s">
        <v>4476</v>
      </c>
      <c r="Q1202" s="2">
        <v>0.6</v>
      </c>
      <c r="R1202" s="2">
        <v>90</v>
      </c>
      <c r="S1202" s="2">
        <v>282</v>
      </c>
      <c r="T1202" t="s">
        <v>4477</v>
      </c>
      <c r="U1202" s="6">
        <v>21597</v>
      </c>
      <c r="V1202" s="2">
        <v>47037015802</v>
      </c>
      <c r="W1202" s="2" t="s">
        <v>68</v>
      </c>
      <c r="X1202" s="1">
        <v>45658</v>
      </c>
      <c r="Y1202" s="2">
        <v>76500</v>
      </c>
      <c r="Z1202" s="2">
        <v>0</v>
      </c>
      <c r="AA1202" s="2">
        <v>76500</v>
      </c>
    </row>
    <row r="1203" spans="1:27" x14ac:dyDescent="0.3">
      <c r="A1203" s="3">
        <v>16</v>
      </c>
      <c r="B1203" s="2" t="str">
        <f>"11908004000"</f>
        <v>11908004000</v>
      </c>
      <c r="C1203" s="2" t="s">
        <v>4478</v>
      </c>
      <c r="D1203" t="s">
        <v>29</v>
      </c>
      <c r="E1203" s="2" t="s">
        <v>30</v>
      </c>
      <c r="F1203" s="2">
        <v>37211</v>
      </c>
      <c r="G1203" s="2" t="s">
        <v>64</v>
      </c>
      <c r="H1203" t="s">
        <v>379</v>
      </c>
      <c r="I1203" s="6">
        <v>43896</v>
      </c>
      <c r="J1203" s="2" t="s">
        <v>4479</v>
      </c>
      <c r="K1203" s="2" t="s">
        <v>34</v>
      </c>
      <c r="L1203" t="s">
        <v>315</v>
      </c>
      <c r="M1203" t="s">
        <v>29</v>
      </c>
      <c r="N1203" t="s">
        <v>30</v>
      </c>
      <c r="O1203">
        <v>37208</v>
      </c>
      <c r="P1203" t="s">
        <v>4480</v>
      </c>
      <c r="Q1203" s="2">
        <v>0.75</v>
      </c>
      <c r="R1203" s="2">
        <v>90</v>
      </c>
      <c r="S1203" s="2">
        <v>304</v>
      </c>
      <c r="T1203" t="s">
        <v>4481</v>
      </c>
      <c r="U1203" s="6">
        <v>21611</v>
      </c>
      <c r="V1203" s="2">
        <v>47037015802</v>
      </c>
      <c r="W1203" s="2" t="s">
        <v>68</v>
      </c>
      <c r="X1203" s="1">
        <v>45658</v>
      </c>
      <c r="Y1203" s="2">
        <v>84200</v>
      </c>
      <c r="Z1203" s="2">
        <v>0</v>
      </c>
      <c r="AA1203" s="2">
        <v>84200</v>
      </c>
    </row>
    <row r="1204" spans="1:27" x14ac:dyDescent="0.3">
      <c r="A1204" s="3">
        <v>16</v>
      </c>
      <c r="B1204" s="2" t="str">
        <f>"11908007800"</f>
        <v>11908007800</v>
      </c>
      <c r="C1204" s="2" t="s">
        <v>4482</v>
      </c>
      <c r="D1204" t="s">
        <v>29</v>
      </c>
      <c r="E1204" s="2" t="s">
        <v>30</v>
      </c>
      <c r="F1204" s="2">
        <v>37217</v>
      </c>
      <c r="G1204" s="2" t="s">
        <v>194</v>
      </c>
      <c r="H1204" t="s">
        <v>379</v>
      </c>
      <c r="I1204" s="6">
        <v>44627</v>
      </c>
      <c r="J1204" s="2" t="s">
        <v>4483</v>
      </c>
      <c r="K1204" s="2" t="s">
        <v>34</v>
      </c>
      <c r="L1204" t="s">
        <v>315</v>
      </c>
      <c r="M1204" t="s">
        <v>29</v>
      </c>
      <c r="N1204" t="s">
        <v>30</v>
      </c>
      <c r="O1204">
        <v>37208</v>
      </c>
      <c r="P1204" t="s">
        <v>4484</v>
      </c>
      <c r="Q1204" s="2">
        <v>0.82</v>
      </c>
      <c r="R1204" s="2">
        <v>120</v>
      </c>
      <c r="S1204" s="2">
        <v>446</v>
      </c>
      <c r="T1204" t="s">
        <v>4485</v>
      </c>
      <c r="U1204" s="6">
        <v>20800</v>
      </c>
      <c r="V1204" s="2">
        <v>47037015802</v>
      </c>
      <c r="W1204" s="2" t="s">
        <v>68</v>
      </c>
      <c r="X1204" s="1">
        <v>45658</v>
      </c>
      <c r="Y1204" s="2">
        <v>115000</v>
      </c>
      <c r="Z1204" s="2">
        <v>0</v>
      </c>
      <c r="AA1204" s="2">
        <v>115000</v>
      </c>
    </row>
    <row r="1205" spans="1:27" x14ac:dyDescent="0.3">
      <c r="A1205" s="3">
        <v>16</v>
      </c>
      <c r="B1205" s="2" t="str">
        <f>"11908007900"</f>
        <v>11908007900</v>
      </c>
      <c r="C1205" s="2" t="s">
        <v>4486</v>
      </c>
      <c r="D1205" t="s">
        <v>29</v>
      </c>
      <c r="E1205" s="2" t="s">
        <v>30</v>
      </c>
      <c r="F1205" s="2">
        <v>37217</v>
      </c>
      <c r="G1205" s="2" t="s">
        <v>194</v>
      </c>
      <c r="H1205" t="s">
        <v>379</v>
      </c>
      <c r="I1205" s="6">
        <v>44627</v>
      </c>
      <c r="J1205" s="2" t="s">
        <v>4487</v>
      </c>
      <c r="K1205" s="2" t="s">
        <v>34</v>
      </c>
      <c r="L1205" t="s">
        <v>315</v>
      </c>
      <c r="M1205" t="s">
        <v>29</v>
      </c>
      <c r="N1205" t="s">
        <v>30</v>
      </c>
      <c r="O1205">
        <v>37208</v>
      </c>
      <c r="P1205" t="s">
        <v>4488</v>
      </c>
      <c r="Q1205" s="2">
        <v>1.08</v>
      </c>
      <c r="R1205" s="2">
        <v>150</v>
      </c>
      <c r="S1205" s="2">
        <v>431</v>
      </c>
      <c r="T1205" t="s">
        <v>4489</v>
      </c>
      <c r="U1205" s="6">
        <v>26641</v>
      </c>
      <c r="V1205" s="2">
        <v>47037015802</v>
      </c>
      <c r="W1205" s="2" t="s">
        <v>68</v>
      </c>
      <c r="X1205" s="1">
        <v>45658</v>
      </c>
      <c r="Y1205" s="2">
        <v>120300</v>
      </c>
      <c r="Z1205" s="2">
        <v>0</v>
      </c>
      <c r="AA1205" s="2">
        <v>120300</v>
      </c>
    </row>
    <row r="1206" spans="1:27" x14ac:dyDescent="0.3">
      <c r="A1206" s="3">
        <v>16</v>
      </c>
      <c r="B1206" s="2" t="str">
        <f>"11908008000"</f>
        <v>11908008000</v>
      </c>
      <c r="C1206" s="2" t="s">
        <v>4490</v>
      </c>
      <c r="D1206" t="s">
        <v>29</v>
      </c>
      <c r="E1206" s="2" t="s">
        <v>30</v>
      </c>
      <c r="F1206" s="2">
        <v>37217</v>
      </c>
      <c r="G1206" s="2" t="s">
        <v>194</v>
      </c>
      <c r="H1206" t="s">
        <v>379</v>
      </c>
      <c r="I1206" s="6">
        <v>45091</v>
      </c>
      <c r="J1206" s="2" t="s">
        <v>4491</v>
      </c>
      <c r="K1206" s="2" t="s">
        <v>34</v>
      </c>
      <c r="L1206" t="s">
        <v>315</v>
      </c>
      <c r="M1206" t="s">
        <v>29</v>
      </c>
      <c r="N1206" t="s">
        <v>30</v>
      </c>
      <c r="O1206">
        <v>37208</v>
      </c>
      <c r="P1206" t="s">
        <v>4492</v>
      </c>
      <c r="Q1206" s="2">
        <v>0.88</v>
      </c>
      <c r="R1206" s="2">
        <v>120</v>
      </c>
      <c r="S1206" s="2">
        <v>349</v>
      </c>
      <c r="T1206" t="s">
        <v>4493</v>
      </c>
      <c r="U1206" s="6">
        <v>26927</v>
      </c>
      <c r="V1206" s="2">
        <v>47037015802</v>
      </c>
      <c r="W1206" s="2" t="s">
        <v>68</v>
      </c>
      <c r="X1206" s="1">
        <v>45658</v>
      </c>
      <c r="Y1206" s="2">
        <v>115000</v>
      </c>
      <c r="Z1206" s="2">
        <v>0</v>
      </c>
      <c r="AA1206" s="2">
        <v>115000</v>
      </c>
    </row>
    <row r="1207" spans="1:27" x14ac:dyDescent="0.3">
      <c r="A1207" s="3">
        <v>16</v>
      </c>
      <c r="B1207" s="2" t="str">
        <f>"11908008100"</f>
        <v>11908008100</v>
      </c>
      <c r="C1207" s="2" t="s">
        <v>4494</v>
      </c>
      <c r="D1207" t="s">
        <v>29</v>
      </c>
      <c r="E1207" s="2" t="s">
        <v>30</v>
      </c>
      <c r="F1207" s="2">
        <v>37217</v>
      </c>
      <c r="G1207" s="2" t="s">
        <v>64</v>
      </c>
      <c r="H1207" t="s">
        <v>379</v>
      </c>
      <c r="I1207" s="6">
        <v>43992</v>
      </c>
      <c r="J1207" s="2" t="s">
        <v>4495</v>
      </c>
      <c r="K1207" s="2" t="s">
        <v>34</v>
      </c>
      <c r="L1207" t="s">
        <v>315</v>
      </c>
      <c r="M1207" t="s">
        <v>29</v>
      </c>
      <c r="N1207" t="s">
        <v>30</v>
      </c>
      <c r="O1207">
        <v>37208</v>
      </c>
      <c r="P1207" t="s">
        <v>4496</v>
      </c>
      <c r="Q1207" s="2">
        <v>0.99</v>
      </c>
      <c r="R1207" s="2">
        <v>199</v>
      </c>
      <c r="S1207" s="2">
        <v>349</v>
      </c>
      <c r="T1207" t="s">
        <v>4497</v>
      </c>
      <c r="U1207" s="6">
        <v>26372</v>
      </c>
      <c r="V1207" s="2">
        <v>47037015802</v>
      </c>
      <c r="W1207" s="2" t="s">
        <v>68</v>
      </c>
      <c r="X1207" s="1">
        <v>45658</v>
      </c>
      <c r="Y1207" s="2">
        <v>115000</v>
      </c>
      <c r="Z1207" s="2">
        <v>0</v>
      </c>
      <c r="AA1207" s="2">
        <v>115000</v>
      </c>
    </row>
    <row r="1208" spans="1:27" x14ac:dyDescent="0.3">
      <c r="A1208" s="3">
        <v>16</v>
      </c>
      <c r="B1208" s="2" t="str">
        <f>"10600017400"</f>
        <v>10600017400</v>
      </c>
      <c r="C1208" s="2" t="s">
        <v>4498</v>
      </c>
      <c r="D1208" t="s">
        <v>29</v>
      </c>
      <c r="E1208" s="2" t="s">
        <v>30</v>
      </c>
      <c r="F1208" s="2">
        <v>37210</v>
      </c>
      <c r="G1208" s="2" t="s">
        <v>64</v>
      </c>
      <c r="H1208" t="s">
        <v>4499</v>
      </c>
      <c r="I1208" s="6">
        <v>41694</v>
      </c>
      <c r="J1208" s="2" t="s">
        <v>4500</v>
      </c>
      <c r="K1208" s="2">
        <v>0</v>
      </c>
      <c r="L1208" t="s">
        <v>4501</v>
      </c>
      <c r="M1208" t="s">
        <v>29</v>
      </c>
      <c r="N1208" t="s">
        <v>30</v>
      </c>
      <c r="O1208">
        <v>37204</v>
      </c>
      <c r="P1208" t="s">
        <v>4502</v>
      </c>
      <c r="Q1208" s="2">
        <v>18.940000000000001</v>
      </c>
      <c r="R1208" s="2">
        <v>802</v>
      </c>
      <c r="S1208" s="2">
        <v>0</v>
      </c>
      <c r="T1208" t="s">
        <v>4215</v>
      </c>
      <c r="U1208" s="6">
        <v>41627</v>
      </c>
      <c r="V1208" s="2">
        <v>47037015900</v>
      </c>
      <c r="W1208" s="2" t="s">
        <v>68</v>
      </c>
      <c r="X1208" s="1">
        <v>45658</v>
      </c>
      <c r="Y1208" s="2">
        <v>1856900</v>
      </c>
      <c r="Z1208" s="2">
        <v>0</v>
      </c>
      <c r="AA1208" s="2">
        <v>1856900</v>
      </c>
    </row>
    <row r="1209" spans="1:27" x14ac:dyDescent="0.3">
      <c r="A1209" s="3">
        <v>16</v>
      </c>
      <c r="B1209" s="2" t="str">
        <f>"10512003600"</f>
        <v>10512003600</v>
      </c>
      <c r="C1209" s="2" t="s">
        <v>4503</v>
      </c>
      <c r="D1209" t="s">
        <v>29</v>
      </c>
      <c r="E1209" s="2" t="s">
        <v>30</v>
      </c>
      <c r="F1209" s="2">
        <v>37210</v>
      </c>
      <c r="G1209" s="2" t="s">
        <v>1471</v>
      </c>
      <c r="H1209" t="s">
        <v>4504</v>
      </c>
      <c r="I1209" s="6">
        <v>45499</v>
      </c>
      <c r="J1209" s="2" t="s">
        <v>4505</v>
      </c>
      <c r="K1209" s="2" t="s">
        <v>34</v>
      </c>
      <c r="L1209" t="s">
        <v>35</v>
      </c>
      <c r="M1209" t="s">
        <v>29</v>
      </c>
      <c r="N1209" t="s">
        <v>30</v>
      </c>
      <c r="O1209">
        <v>37219</v>
      </c>
      <c r="P1209" t="s">
        <v>4506</v>
      </c>
      <c r="Q1209" s="2">
        <v>0.25</v>
      </c>
      <c r="R1209" s="2">
        <v>70</v>
      </c>
      <c r="S1209" s="2">
        <v>160</v>
      </c>
      <c r="T1209" t="s">
        <v>4419</v>
      </c>
      <c r="U1209" s="6">
        <v>27572</v>
      </c>
      <c r="V1209" s="2">
        <v>47037017200</v>
      </c>
      <c r="W1209" s="2" t="s">
        <v>68</v>
      </c>
      <c r="X1209" s="1">
        <v>45658</v>
      </c>
      <c r="Y1209" s="2">
        <v>1504000</v>
      </c>
      <c r="Z1209" s="2">
        <v>1231700</v>
      </c>
      <c r="AA1209" s="2">
        <v>272300</v>
      </c>
    </row>
    <row r="1210" spans="1:27" x14ac:dyDescent="0.3">
      <c r="A1210" s="3">
        <v>17</v>
      </c>
      <c r="B1210" s="2" t="str">
        <f>"10504031900"</f>
        <v>10504031900</v>
      </c>
      <c r="C1210" s="2" t="s">
        <v>4507</v>
      </c>
      <c r="D1210" t="s">
        <v>29</v>
      </c>
      <c r="E1210" s="2" t="s">
        <v>30</v>
      </c>
      <c r="F1210" s="2">
        <v>37210</v>
      </c>
      <c r="G1210" s="2" t="s">
        <v>1485</v>
      </c>
      <c r="H1210" t="s">
        <v>32</v>
      </c>
      <c r="I1210" s="6">
        <v>38435</v>
      </c>
      <c r="J1210" s="2" t="s">
        <v>4508</v>
      </c>
      <c r="K1210" s="2">
        <v>522</v>
      </c>
      <c r="L1210" t="s">
        <v>35</v>
      </c>
      <c r="M1210" t="s">
        <v>29</v>
      </c>
      <c r="N1210" t="s">
        <v>30</v>
      </c>
      <c r="O1210">
        <v>37219</v>
      </c>
      <c r="P1210" t="s">
        <v>4509</v>
      </c>
      <c r="Q1210" s="2">
        <v>0.05</v>
      </c>
      <c r="R1210" s="2">
        <v>30</v>
      </c>
      <c r="S1210" s="2">
        <v>85</v>
      </c>
      <c r="T1210" t="s">
        <v>4510</v>
      </c>
      <c r="U1210" s="6">
        <v>26078</v>
      </c>
      <c r="V1210" s="2">
        <v>47037016000</v>
      </c>
      <c r="W1210" s="2" t="s">
        <v>68</v>
      </c>
      <c r="X1210" s="1">
        <v>45658</v>
      </c>
      <c r="Y1210" s="2">
        <v>6600</v>
      </c>
      <c r="Z1210" s="2">
        <v>0</v>
      </c>
      <c r="AA1210" s="2">
        <v>6600</v>
      </c>
    </row>
    <row r="1211" spans="1:27" x14ac:dyDescent="0.3">
      <c r="A1211" s="3">
        <v>17</v>
      </c>
      <c r="B1211" s="2" t="str">
        <f>"10516020700"</f>
        <v>10516020700</v>
      </c>
      <c r="C1211" s="2" t="s">
        <v>4511</v>
      </c>
      <c r="D1211" t="s">
        <v>29</v>
      </c>
      <c r="E1211" s="2" t="s">
        <v>30</v>
      </c>
      <c r="F1211" s="2">
        <v>37211</v>
      </c>
      <c r="G1211" s="2" t="s">
        <v>41</v>
      </c>
      <c r="H1211" t="s">
        <v>32</v>
      </c>
      <c r="I1211" s="6">
        <v>42156</v>
      </c>
      <c r="J1211" s="2" t="s">
        <v>4512</v>
      </c>
      <c r="K1211" s="2">
        <v>0</v>
      </c>
      <c r="L1211" t="s">
        <v>35</v>
      </c>
      <c r="M1211" t="s">
        <v>29</v>
      </c>
      <c r="N1211" t="s">
        <v>30</v>
      </c>
      <c r="O1211">
        <v>37219</v>
      </c>
      <c r="P1211" t="s">
        <v>4513</v>
      </c>
      <c r="Q1211" s="2">
        <v>0.62</v>
      </c>
      <c r="R1211" s="2">
        <v>51</v>
      </c>
      <c r="S1211" s="2">
        <v>515</v>
      </c>
      <c r="T1211" t="s">
        <v>278</v>
      </c>
      <c r="U1211" s="6">
        <v>34336</v>
      </c>
      <c r="V1211" s="2">
        <v>47037017200</v>
      </c>
      <c r="W1211" s="2" t="s">
        <v>68</v>
      </c>
      <c r="X1211" s="1">
        <v>45658</v>
      </c>
      <c r="Y1211" s="2">
        <v>1615800</v>
      </c>
      <c r="Z1211" s="2">
        <v>0</v>
      </c>
      <c r="AA1211" s="2">
        <v>1615800</v>
      </c>
    </row>
    <row r="1212" spans="1:27" x14ac:dyDescent="0.3">
      <c r="A1212" s="3">
        <v>17</v>
      </c>
      <c r="B1212" s="2" t="str">
        <f>"10516020900"</f>
        <v>10516020900</v>
      </c>
      <c r="C1212" s="2" t="s">
        <v>4514</v>
      </c>
      <c r="D1212" t="s">
        <v>29</v>
      </c>
      <c r="E1212" s="2" t="s">
        <v>30</v>
      </c>
      <c r="F1212" s="2">
        <v>37211</v>
      </c>
      <c r="G1212" s="2" t="s">
        <v>41</v>
      </c>
      <c r="H1212" t="s">
        <v>32</v>
      </c>
      <c r="I1212" s="6">
        <v>42156</v>
      </c>
      <c r="J1212" s="2" t="s">
        <v>4512</v>
      </c>
      <c r="K1212" s="2">
        <v>0</v>
      </c>
      <c r="L1212" t="s">
        <v>35</v>
      </c>
      <c r="M1212" t="s">
        <v>29</v>
      </c>
      <c r="N1212" t="s">
        <v>30</v>
      </c>
      <c r="O1212">
        <v>37219</v>
      </c>
      <c r="P1212" t="s">
        <v>4515</v>
      </c>
      <c r="Q1212" s="2">
        <v>0.18</v>
      </c>
      <c r="R1212" s="2">
        <v>54</v>
      </c>
      <c r="S1212" s="2">
        <v>150</v>
      </c>
      <c r="T1212" t="s">
        <v>278</v>
      </c>
      <c r="U1212" s="6">
        <v>34336</v>
      </c>
      <c r="V1212" s="2">
        <v>47037017200</v>
      </c>
      <c r="W1212" s="2" t="s">
        <v>68</v>
      </c>
      <c r="X1212" s="1">
        <v>45658</v>
      </c>
      <c r="Y1212" s="2">
        <v>324000</v>
      </c>
      <c r="Z1212" s="2">
        <v>0</v>
      </c>
      <c r="AA1212" s="2">
        <v>324000</v>
      </c>
    </row>
    <row r="1213" spans="1:27" x14ac:dyDescent="0.3">
      <c r="A1213" s="3">
        <v>17</v>
      </c>
      <c r="B1213" s="2" t="str">
        <f>"10509028600"</f>
        <v>10509028600</v>
      </c>
      <c r="C1213" s="2" t="s">
        <v>4516</v>
      </c>
      <c r="D1213" t="s">
        <v>29</v>
      </c>
      <c r="E1213" s="2" t="s">
        <v>30</v>
      </c>
      <c r="F1213" s="2">
        <v>37203</v>
      </c>
      <c r="G1213" s="2" t="s">
        <v>64</v>
      </c>
      <c r="H1213" t="s">
        <v>32</v>
      </c>
      <c r="I1213" s="6">
        <v>42684</v>
      </c>
      <c r="J1213" s="2" t="s">
        <v>4517</v>
      </c>
      <c r="K1213" s="2" t="s">
        <v>34</v>
      </c>
      <c r="L1213" t="s">
        <v>35</v>
      </c>
      <c r="M1213" t="s">
        <v>29</v>
      </c>
      <c r="N1213" t="s">
        <v>30</v>
      </c>
      <c r="O1213">
        <v>37219</v>
      </c>
      <c r="P1213" t="s">
        <v>4518</v>
      </c>
      <c r="Q1213" s="2">
        <v>0.24</v>
      </c>
      <c r="R1213" s="2">
        <v>384</v>
      </c>
      <c r="S1213" s="2">
        <v>70</v>
      </c>
      <c r="T1213" t="s">
        <v>4519</v>
      </c>
      <c r="U1213" s="6">
        <v>43080</v>
      </c>
      <c r="V1213" s="2">
        <v>47037016200</v>
      </c>
      <c r="W1213" s="2" t="s">
        <v>68</v>
      </c>
      <c r="X1213" s="1">
        <v>45658</v>
      </c>
      <c r="Y1213" s="2">
        <v>480000</v>
      </c>
      <c r="Z1213" s="2">
        <v>0</v>
      </c>
      <c r="AA1213" s="2">
        <v>480000</v>
      </c>
    </row>
    <row r="1214" spans="1:27" x14ac:dyDescent="0.3">
      <c r="A1214" s="3">
        <v>17</v>
      </c>
      <c r="B1214" s="2" t="str">
        <f>"09316001900"</f>
        <v>09316001900</v>
      </c>
      <c r="C1214" s="2" t="s">
        <v>4520</v>
      </c>
      <c r="D1214" t="s">
        <v>29</v>
      </c>
      <c r="E1214" s="2" t="s">
        <v>30</v>
      </c>
      <c r="F1214" s="2">
        <v>37210</v>
      </c>
      <c r="G1214" s="2" t="s">
        <v>901</v>
      </c>
      <c r="H1214" t="s">
        <v>32</v>
      </c>
      <c r="I1214" s="6">
        <v>36220</v>
      </c>
      <c r="J1214" s="2" t="s">
        <v>4521</v>
      </c>
      <c r="K1214" s="2">
        <v>16000</v>
      </c>
      <c r="L1214" t="s">
        <v>35</v>
      </c>
      <c r="M1214" t="s">
        <v>29</v>
      </c>
      <c r="N1214" t="s">
        <v>30</v>
      </c>
      <c r="O1214">
        <v>37219</v>
      </c>
      <c r="P1214" t="s">
        <v>4522</v>
      </c>
      <c r="Q1214" s="2">
        <v>0.72</v>
      </c>
      <c r="R1214" s="2">
        <v>210</v>
      </c>
      <c r="S1214" s="2">
        <v>150</v>
      </c>
      <c r="T1214" t="s">
        <v>278</v>
      </c>
      <c r="U1214" s="6">
        <v>35678</v>
      </c>
      <c r="V1214" s="2">
        <v>47037014800</v>
      </c>
      <c r="W1214" s="2" t="s">
        <v>68</v>
      </c>
      <c r="X1214" s="1">
        <v>45658</v>
      </c>
      <c r="Y1214" s="2">
        <v>300000</v>
      </c>
      <c r="Z1214" s="2">
        <v>0</v>
      </c>
      <c r="AA1214" s="2">
        <v>300000</v>
      </c>
    </row>
    <row r="1215" spans="1:27" x14ac:dyDescent="0.3">
      <c r="A1215" s="3">
        <v>17</v>
      </c>
      <c r="B1215" s="2" t="str">
        <f>"10506025600"</f>
        <v>10506025600</v>
      </c>
      <c r="C1215" s="2" t="s">
        <v>4523</v>
      </c>
      <c r="D1215" t="s">
        <v>29</v>
      </c>
      <c r="E1215" s="2" t="s">
        <v>30</v>
      </c>
      <c r="F1215" s="2">
        <v>37203</v>
      </c>
      <c r="G1215" s="2" t="s">
        <v>1485</v>
      </c>
      <c r="H1215" t="s">
        <v>32</v>
      </c>
      <c r="I1215" s="6">
        <v>33</v>
      </c>
      <c r="J1215" s="2" t="s">
        <v>4524</v>
      </c>
      <c r="K1215" s="2">
        <v>0</v>
      </c>
      <c r="L1215" t="s">
        <v>35</v>
      </c>
      <c r="M1215" t="s">
        <v>29</v>
      </c>
      <c r="N1215" t="s">
        <v>30</v>
      </c>
      <c r="O1215">
        <v>37219</v>
      </c>
      <c r="P1215" t="s">
        <v>4525</v>
      </c>
      <c r="Q1215" s="2">
        <v>0.3</v>
      </c>
      <c r="R1215" s="2">
        <v>100</v>
      </c>
      <c r="S1215" s="2">
        <v>150</v>
      </c>
      <c r="T1215" t="s">
        <v>4524</v>
      </c>
      <c r="U1215" s="6">
        <v>33</v>
      </c>
      <c r="V1215" s="2">
        <v>47037016100</v>
      </c>
      <c r="W1215" s="2" t="s">
        <v>68</v>
      </c>
      <c r="X1215" s="1">
        <v>45658</v>
      </c>
      <c r="Y1215" s="2">
        <v>1960200</v>
      </c>
      <c r="Z1215" s="2">
        <v>0</v>
      </c>
      <c r="AA1215" s="2">
        <v>1960200</v>
      </c>
    </row>
    <row r="1216" spans="1:27" x14ac:dyDescent="0.3">
      <c r="A1216" s="3">
        <v>17</v>
      </c>
      <c r="B1216" s="2" t="str">
        <f>"09316028400"</f>
        <v>09316028400</v>
      </c>
      <c r="C1216" s="2" t="s">
        <v>4526</v>
      </c>
      <c r="D1216" t="s">
        <v>29</v>
      </c>
      <c r="E1216" s="2" t="s">
        <v>30</v>
      </c>
      <c r="F1216" s="2">
        <v>37210</v>
      </c>
      <c r="G1216" s="2" t="s">
        <v>64</v>
      </c>
      <c r="H1216" t="s">
        <v>99</v>
      </c>
      <c r="I1216" s="6">
        <v>35977</v>
      </c>
      <c r="J1216" s="2" t="s">
        <v>4527</v>
      </c>
      <c r="K1216" s="2">
        <v>325</v>
      </c>
      <c r="L1216" t="s">
        <v>35</v>
      </c>
      <c r="M1216" t="s">
        <v>29</v>
      </c>
      <c r="N1216" t="s">
        <v>30</v>
      </c>
      <c r="O1216">
        <v>37219</v>
      </c>
      <c r="P1216" t="s">
        <v>4528</v>
      </c>
      <c r="Q1216" s="2">
        <v>0.02</v>
      </c>
      <c r="R1216" s="2">
        <v>50</v>
      </c>
      <c r="S1216" s="2">
        <v>50</v>
      </c>
      <c r="T1216" t="s">
        <v>4529</v>
      </c>
      <c r="U1216" s="6">
        <v>21667</v>
      </c>
      <c r="V1216" s="2">
        <v>47037014800</v>
      </c>
      <c r="W1216" s="2" t="s">
        <v>68</v>
      </c>
      <c r="X1216" s="1">
        <v>45658</v>
      </c>
      <c r="Y1216" s="2">
        <v>800</v>
      </c>
      <c r="Z1216" s="2">
        <v>0</v>
      </c>
      <c r="AA1216" s="2">
        <v>800</v>
      </c>
    </row>
    <row r="1217" spans="1:27" x14ac:dyDescent="0.3">
      <c r="A1217" s="3">
        <v>17</v>
      </c>
      <c r="B1217" s="2" t="str">
        <f>"09316028500"</f>
        <v>09316028500</v>
      </c>
      <c r="C1217" s="2" t="s">
        <v>4526</v>
      </c>
      <c r="D1217" t="s">
        <v>29</v>
      </c>
      <c r="E1217" s="2" t="s">
        <v>30</v>
      </c>
      <c r="F1217" s="2">
        <v>37210</v>
      </c>
      <c r="G1217" s="2" t="s">
        <v>64</v>
      </c>
      <c r="H1217" t="s">
        <v>99</v>
      </c>
      <c r="I1217" s="6">
        <v>36508</v>
      </c>
      <c r="J1217" s="2" t="s">
        <v>4530</v>
      </c>
      <c r="K1217" s="2">
        <v>312</v>
      </c>
      <c r="L1217" t="s">
        <v>35</v>
      </c>
      <c r="M1217" t="s">
        <v>29</v>
      </c>
      <c r="N1217" t="s">
        <v>30</v>
      </c>
      <c r="O1217">
        <v>37219</v>
      </c>
      <c r="P1217" t="s">
        <v>4531</v>
      </c>
      <c r="Q1217" s="2">
        <v>0.04</v>
      </c>
      <c r="R1217" s="2">
        <v>45</v>
      </c>
      <c r="S1217" s="2">
        <v>49</v>
      </c>
      <c r="T1217" t="s">
        <v>4532</v>
      </c>
      <c r="U1217" s="6">
        <v>21894</v>
      </c>
      <c r="V1217" s="2">
        <v>47037014800</v>
      </c>
      <c r="W1217" s="2" t="s">
        <v>68</v>
      </c>
      <c r="X1217" s="1">
        <v>45658</v>
      </c>
      <c r="Y1217" s="2">
        <v>800</v>
      </c>
      <c r="Z1217" s="2">
        <v>0</v>
      </c>
      <c r="AA1217" s="2">
        <v>800</v>
      </c>
    </row>
    <row r="1218" spans="1:27" x14ac:dyDescent="0.3">
      <c r="A1218" s="3">
        <v>17</v>
      </c>
      <c r="B1218" s="2" t="str">
        <f>"10504031000"</f>
        <v>10504031000</v>
      </c>
      <c r="C1218" s="2" t="s">
        <v>4507</v>
      </c>
      <c r="D1218" t="s">
        <v>29</v>
      </c>
      <c r="E1218" s="2" t="s">
        <v>30</v>
      </c>
      <c r="F1218" s="2">
        <v>37210</v>
      </c>
      <c r="G1218" s="2" t="s">
        <v>41</v>
      </c>
      <c r="H1218" t="s">
        <v>99</v>
      </c>
      <c r="I1218" s="6">
        <v>41444</v>
      </c>
      <c r="J1218" s="2" t="s">
        <v>4533</v>
      </c>
      <c r="K1218" s="2">
        <v>498</v>
      </c>
      <c r="L1218" t="s">
        <v>4534</v>
      </c>
      <c r="M1218" t="s">
        <v>29</v>
      </c>
      <c r="N1218" t="s">
        <v>30</v>
      </c>
      <c r="O1218">
        <v>37219</v>
      </c>
      <c r="P1218" t="s">
        <v>4535</v>
      </c>
      <c r="Q1218" s="2">
        <v>0.02</v>
      </c>
      <c r="R1218" s="2">
        <v>25</v>
      </c>
      <c r="S1218" s="2">
        <v>85</v>
      </c>
      <c r="T1218" t="s">
        <v>4536</v>
      </c>
      <c r="U1218" s="6">
        <v>28004</v>
      </c>
      <c r="V1218" s="2">
        <v>47037016000</v>
      </c>
      <c r="W1218" s="2" t="s">
        <v>68</v>
      </c>
      <c r="X1218" s="1">
        <v>45658</v>
      </c>
      <c r="Y1218" s="2">
        <v>5500</v>
      </c>
      <c r="Z1218" s="2">
        <v>0</v>
      </c>
      <c r="AA1218" s="2">
        <v>5500</v>
      </c>
    </row>
    <row r="1219" spans="1:27" x14ac:dyDescent="0.3">
      <c r="A1219" s="3">
        <v>17</v>
      </c>
      <c r="B1219" s="2" t="str">
        <f>"10504031100"</f>
        <v>10504031100</v>
      </c>
      <c r="C1219" s="2" t="s">
        <v>4537</v>
      </c>
      <c r="D1219" t="s">
        <v>29</v>
      </c>
      <c r="E1219" s="2" t="s">
        <v>30</v>
      </c>
      <c r="F1219" s="2">
        <v>37210</v>
      </c>
      <c r="G1219" s="2" t="s">
        <v>1485</v>
      </c>
      <c r="H1219" t="s">
        <v>99</v>
      </c>
      <c r="I1219" s="6">
        <v>41444</v>
      </c>
      <c r="J1219" s="2" t="s">
        <v>4538</v>
      </c>
      <c r="K1219" s="2">
        <v>498</v>
      </c>
      <c r="L1219" t="s">
        <v>35</v>
      </c>
      <c r="M1219" t="s">
        <v>29</v>
      </c>
      <c r="N1219" t="s">
        <v>30</v>
      </c>
      <c r="O1219">
        <v>37219</v>
      </c>
      <c r="P1219" t="s">
        <v>4535</v>
      </c>
      <c r="Q1219" s="2">
        <v>0.09</v>
      </c>
      <c r="R1219" s="2">
        <v>50</v>
      </c>
      <c r="S1219" s="2">
        <v>85</v>
      </c>
      <c r="T1219" t="s">
        <v>4539</v>
      </c>
      <c r="U1219" s="6">
        <v>167</v>
      </c>
      <c r="V1219" s="2">
        <v>47037016000</v>
      </c>
      <c r="W1219" s="2" t="s">
        <v>68</v>
      </c>
      <c r="X1219" s="1">
        <v>45658</v>
      </c>
      <c r="Y1219" s="2">
        <v>11100</v>
      </c>
      <c r="Z1219" s="2">
        <v>0</v>
      </c>
      <c r="AA1219" s="2">
        <v>11100</v>
      </c>
    </row>
    <row r="1220" spans="1:27" x14ac:dyDescent="0.3">
      <c r="A1220" s="3">
        <v>17</v>
      </c>
      <c r="B1220" s="2" t="str">
        <f>"10504027700"</f>
        <v>10504027700</v>
      </c>
      <c r="C1220" s="2" t="s">
        <v>4540</v>
      </c>
      <c r="D1220" t="s">
        <v>29</v>
      </c>
      <c r="E1220" s="2" t="s">
        <v>30</v>
      </c>
      <c r="F1220" s="2">
        <v>37210</v>
      </c>
      <c r="G1220" s="2" t="s">
        <v>64</v>
      </c>
      <c r="H1220" t="s">
        <v>99</v>
      </c>
      <c r="I1220" s="6">
        <v>41198</v>
      </c>
      <c r="J1220" s="2" t="s">
        <v>4541</v>
      </c>
      <c r="K1220" s="2">
        <v>26284</v>
      </c>
      <c r="L1220" t="s">
        <v>35</v>
      </c>
      <c r="M1220" t="s">
        <v>29</v>
      </c>
      <c r="N1220" t="s">
        <v>30</v>
      </c>
      <c r="O1220">
        <v>37219</v>
      </c>
      <c r="P1220" t="s">
        <v>4542</v>
      </c>
      <c r="Q1220" s="2">
        <v>0.48</v>
      </c>
      <c r="R1220" s="2">
        <v>105</v>
      </c>
      <c r="S1220" s="2">
        <v>200</v>
      </c>
      <c r="T1220" t="s">
        <v>4543</v>
      </c>
      <c r="U1220" s="6">
        <v>24701</v>
      </c>
      <c r="V1220" s="2">
        <v>47037016000</v>
      </c>
      <c r="W1220" s="2" t="s">
        <v>68</v>
      </c>
      <c r="X1220" s="1">
        <v>45658</v>
      </c>
      <c r="Y1220" s="2">
        <v>546000</v>
      </c>
      <c r="Z1220" s="2">
        <v>0</v>
      </c>
      <c r="AA1220" s="2">
        <v>546000</v>
      </c>
    </row>
    <row r="1221" spans="1:27" x14ac:dyDescent="0.3">
      <c r="A1221" s="3">
        <v>17</v>
      </c>
      <c r="B1221" s="2" t="str">
        <f>"10504031200"</f>
        <v>10504031200</v>
      </c>
      <c r="C1221" s="2" t="s">
        <v>4537</v>
      </c>
      <c r="D1221" t="s">
        <v>29</v>
      </c>
      <c r="E1221" s="2" t="s">
        <v>30</v>
      </c>
      <c r="F1221" s="2">
        <v>37210</v>
      </c>
      <c r="G1221" s="2" t="s">
        <v>1485</v>
      </c>
      <c r="H1221" t="s">
        <v>99</v>
      </c>
      <c r="I1221" s="6">
        <v>41444</v>
      </c>
      <c r="J1221" s="2" t="s">
        <v>4544</v>
      </c>
      <c r="K1221" s="2">
        <v>498</v>
      </c>
      <c r="L1221" t="s">
        <v>35</v>
      </c>
      <c r="M1221" t="s">
        <v>29</v>
      </c>
      <c r="N1221" t="s">
        <v>30</v>
      </c>
      <c r="O1221">
        <v>37219</v>
      </c>
      <c r="P1221" t="s">
        <v>4535</v>
      </c>
      <c r="Q1221" s="2">
        <v>0.05</v>
      </c>
      <c r="R1221" s="2">
        <v>25</v>
      </c>
      <c r="S1221" s="2">
        <v>85</v>
      </c>
      <c r="T1221" t="s">
        <v>4545</v>
      </c>
      <c r="U1221" s="6">
        <v>230</v>
      </c>
      <c r="V1221" s="2">
        <v>47037016000</v>
      </c>
      <c r="W1221" s="2" t="s">
        <v>68</v>
      </c>
      <c r="X1221" s="1">
        <v>45658</v>
      </c>
      <c r="Y1221" s="2">
        <v>5500</v>
      </c>
      <c r="Z1221" s="2">
        <v>0</v>
      </c>
      <c r="AA1221" s="2">
        <v>5500</v>
      </c>
    </row>
    <row r="1222" spans="1:27" x14ac:dyDescent="0.3">
      <c r="A1222" s="3">
        <v>17</v>
      </c>
      <c r="B1222" s="2" t="str">
        <f>"10504031300"</f>
        <v>10504031300</v>
      </c>
      <c r="C1222" s="2" t="s">
        <v>4537</v>
      </c>
      <c r="D1222" t="s">
        <v>29</v>
      </c>
      <c r="E1222" s="2" t="s">
        <v>30</v>
      </c>
      <c r="F1222" s="2">
        <v>37210</v>
      </c>
      <c r="G1222" s="2" t="s">
        <v>1485</v>
      </c>
      <c r="H1222" t="s">
        <v>99</v>
      </c>
      <c r="I1222" s="6">
        <v>41444</v>
      </c>
      <c r="J1222" s="2" t="s">
        <v>4546</v>
      </c>
      <c r="K1222" s="2">
        <v>498</v>
      </c>
      <c r="L1222" t="s">
        <v>35</v>
      </c>
      <c r="M1222" t="s">
        <v>29</v>
      </c>
      <c r="N1222" t="s">
        <v>30</v>
      </c>
      <c r="O1222">
        <v>37219</v>
      </c>
      <c r="P1222" t="s">
        <v>4547</v>
      </c>
      <c r="Q1222" s="2">
        <v>0.05</v>
      </c>
      <c r="R1222" s="2">
        <v>25</v>
      </c>
      <c r="S1222" s="2">
        <v>85</v>
      </c>
      <c r="T1222" t="s">
        <v>4548</v>
      </c>
      <c r="U1222" s="6">
        <v>127</v>
      </c>
      <c r="V1222" s="2">
        <v>47037016000</v>
      </c>
      <c r="W1222" s="2" t="s">
        <v>68</v>
      </c>
      <c r="X1222" s="1">
        <v>45658</v>
      </c>
      <c r="Y1222" s="2">
        <v>5500</v>
      </c>
      <c r="Z1222" s="2">
        <v>0</v>
      </c>
      <c r="AA1222" s="2">
        <v>5500</v>
      </c>
    </row>
    <row r="1223" spans="1:27" x14ac:dyDescent="0.3">
      <c r="A1223" s="3">
        <v>17</v>
      </c>
      <c r="B1223" s="2" t="str">
        <f>"10504031400"</f>
        <v>10504031400</v>
      </c>
      <c r="C1223" s="2" t="s">
        <v>4537</v>
      </c>
      <c r="D1223" t="s">
        <v>29</v>
      </c>
      <c r="E1223" s="2" t="s">
        <v>30</v>
      </c>
      <c r="F1223" s="2">
        <v>37210</v>
      </c>
      <c r="G1223" s="2" t="s">
        <v>1485</v>
      </c>
      <c r="H1223" t="s">
        <v>99</v>
      </c>
      <c r="I1223" s="6">
        <v>41444</v>
      </c>
      <c r="J1223" s="2" t="s">
        <v>4549</v>
      </c>
      <c r="K1223" s="2">
        <v>498</v>
      </c>
      <c r="L1223" t="s">
        <v>35</v>
      </c>
      <c r="M1223" t="s">
        <v>29</v>
      </c>
      <c r="N1223" t="s">
        <v>30</v>
      </c>
      <c r="O1223">
        <v>37219</v>
      </c>
      <c r="P1223" t="s">
        <v>4509</v>
      </c>
      <c r="Q1223" s="2">
        <v>0.05</v>
      </c>
      <c r="R1223" s="2">
        <v>25</v>
      </c>
      <c r="S1223" s="2">
        <v>85</v>
      </c>
      <c r="T1223" t="s">
        <v>4550</v>
      </c>
      <c r="U1223" s="6">
        <v>6013</v>
      </c>
      <c r="V1223" s="2">
        <v>47037016000</v>
      </c>
      <c r="W1223" s="2" t="s">
        <v>68</v>
      </c>
      <c r="X1223" s="1">
        <v>45658</v>
      </c>
      <c r="Y1223" s="2">
        <v>5500</v>
      </c>
      <c r="Z1223" s="2">
        <v>0</v>
      </c>
      <c r="AA1223" s="2">
        <v>5500</v>
      </c>
    </row>
    <row r="1224" spans="1:27" x14ac:dyDescent="0.3">
      <c r="A1224" s="3">
        <v>17</v>
      </c>
      <c r="B1224" s="2" t="str">
        <f>"10504031700"</f>
        <v>10504031700</v>
      </c>
      <c r="C1224" s="2" t="s">
        <v>4537</v>
      </c>
      <c r="D1224" t="s">
        <v>29</v>
      </c>
      <c r="E1224" s="2" t="s">
        <v>30</v>
      </c>
      <c r="F1224" s="2">
        <v>37210</v>
      </c>
      <c r="G1224" s="2" t="s">
        <v>1485</v>
      </c>
      <c r="H1224" t="s">
        <v>99</v>
      </c>
      <c r="I1224" s="6">
        <v>41444</v>
      </c>
      <c r="J1224" s="2" t="s">
        <v>4551</v>
      </c>
      <c r="K1224" s="2">
        <v>498</v>
      </c>
      <c r="L1224" t="s">
        <v>35</v>
      </c>
      <c r="M1224" t="s">
        <v>29</v>
      </c>
      <c r="N1224" t="s">
        <v>30</v>
      </c>
      <c r="O1224">
        <v>37219</v>
      </c>
      <c r="P1224" t="s">
        <v>4552</v>
      </c>
      <c r="Q1224" s="2">
        <v>0.05</v>
      </c>
      <c r="R1224" s="2">
        <v>20</v>
      </c>
      <c r="S1224" s="2">
        <v>85</v>
      </c>
      <c r="T1224" t="s">
        <v>4553</v>
      </c>
      <c r="U1224" s="6">
        <v>191</v>
      </c>
      <c r="V1224" s="2">
        <v>47037016000</v>
      </c>
      <c r="W1224" s="2" t="s">
        <v>68</v>
      </c>
      <c r="X1224" s="1">
        <v>45658</v>
      </c>
      <c r="Y1224" s="2">
        <v>5000</v>
      </c>
      <c r="Z1224" s="2">
        <v>0</v>
      </c>
      <c r="AA1224" s="2">
        <v>5000</v>
      </c>
    </row>
    <row r="1225" spans="1:27" x14ac:dyDescent="0.3">
      <c r="A1225" s="3">
        <v>17</v>
      </c>
      <c r="B1225" s="2" t="str">
        <f>"09315037000"</f>
        <v>09315037000</v>
      </c>
      <c r="C1225" s="2" t="s">
        <v>4554</v>
      </c>
      <c r="D1225" t="s">
        <v>29</v>
      </c>
      <c r="E1225" s="2" t="s">
        <v>30</v>
      </c>
      <c r="F1225" s="2">
        <v>37210</v>
      </c>
      <c r="G1225" s="2" t="s">
        <v>41</v>
      </c>
      <c r="H1225" t="s">
        <v>99</v>
      </c>
      <c r="I1225" s="6">
        <v>33127</v>
      </c>
      <c r="J1225" s="2" t="s">
        <v>4555</v>
      </c>
      <c r="K1225" s="2">
        <v>984</v>
      </c>
      <c r="L1225" t="s">
        <v>35</v>
      </c>
      <c r="M1225" t="s">
        <v>29</v>
      </c>
      <c r="N1225" t="s">
        <v>30</v>
      </c>
      <c r="O1225">
        <v>37219</v>
      </c>
      <c r="P1225" t="s">
        <v>4556</v>
      </c>
      <c r="Q1225" s="2">
        <v>0.04</v>
      </c>
      <c r="R1225" s="2">
        <v>68</v>
      </c>
      <c r="S1225" s="2">
        <v>48</v>
      </c>
      <c r="T1225" t="s">
        <v>4557</v>
      </c>
      <c r="U1225" s="6">
        <v>34191</v>
      </c>
      <c r="V1225" s="2">
        <v>47037016000</v>
      </c>
      <c r="W1225" s="2" t="s">
        <v>68</v>
      </c>
      <c r="X1225" s="1">
        <v>45658</v>
      </c>
      <c r="Y1225" s="2">
        <v>69700</v>
      </c>
      <c r="Z1225" s="2">
        <v>0</v>
      </c>
      <c r="AA1225" s="2">
        <v>69700</v>
      </c>
    </row>
    <row r="1226" spans="1:27" x14ac:dyDescent="0.3">
      <c r="A1226" s="3">
        <v>17</v>
      </c>
      <c r="B1226" s="2" t="str">
        <f>"10511015101"</f>
        <v>10511015101</v>
      </c>
      <c r="C1226" s="2" t="s">
        <v>4558</v>
      </c>
      <c r="D1226" t="s">
        <v>29</v>
      </c>
      <c r="E1226" s="2" t="s">
        <v>30</v>
      </c>
      <c r="F1226" s="2">
        <v>37203</v>
      </c>
      <c r="G1226" s="2" t="s">
        <v>64</v>
      </c>
      <c r="H1226" t="s">
        <v>99</v>
      </c>
      <c r="I1226" s="6">
        <v>28796</v>
      </c>
      <c r="J1226" s="2" t="s">
        <v>4559</v>
      </c>
      <c r="K1226" s="2">
        <v>0</v>
      </c>
      <c r="L1226" t="s">
        <v>35</v>
      </c>
      <c r="M1226" t="s">
        <v>29</v>
      </c>
      <c r="N1226" t="s">
        <v>30</v>
      </c>
      <c r="O1226">
        <v>37219</v>
      </c>
      <c r="P1226" t="s">
        <v>4560</v>
      </c>
      <c r="Q1226" s="2">
        <v>0.02</v>
      </c>
      <c r="R1226" s="2">
        <v>5</v>
      </c>
      <c r="S1226" s="2">
        <v>150</v>
      </c>
      <c r="T1226" t="s">
        <v>4561</v>
      </c>
      <c r="U1226" s="6">
        <v>493</v>
      </c>
      <c r="V1226" s="2">
        <v>47037016100</v>
      </c>
      <c r="W1226" s="2" t="s">
        <v>68</v>
      </c>
      <c r="X1226" s="1">
        <v>45658</v>
      </c>
      <c r="Y1226" s="2">
        <v>900</v>
      </c>
      <c r="Z1226" s="2">
        <v>0</v>
      </c>
      <c r="AA1226" s="2">
        <v>900</v>
      </c>
    </row>
    <row r="1227" spans="1:27" x14ac:dyDescent="0.3">
      <c r="A1227" s="3">
        <v>17</v>
      </c>
      <c r="B1227" s="2" t="str">
        <f>"10502019500"</f>
        <v>10502019500</v>
      </c>
      <c r="C1227" s="2" t="s">
        <v>4562</v>
      </c>
      <c r="D1227" t="s">
        <v>29</v>
      </c>
      <c r="E1227" s="2" t="s">
        <v>30</v>
      </c>
      <c r="F1227" s="2">
        <v>37203</v>
      </c>
      <c r="G1227" s="2" t="s">
        <v>147</v>
      </c>
      <c r="H1227" t="s">
        <v>4563</v>
      </c>
      <c r="I1227" s="6">
        <v>287</v>
      </c>
      <c r="J1227" s="2" t="s">
        <v>4564</v>
      </c>
      <c r="K1227" s="2" t="s">
        <v>34</v>
      </c>
      <c r="L1227" t="s">
        <v>35</v>
      </c>
      <c r="M1227" t="s">
        <v>29</v>
      </c>
      <c r="N1227" t="s">
        <v>30</v>
      </c>
      <c r="O1227">
        <v>37219</v>
      </c>
      <c r="P1227" t="s">
        <v>4565</v>
      </c>
      <c r="Q1227" s="2">
        <v>0.33</v>
      </c>
      <c r="R1227" s="2">
        <v>106</v>
      </c>
      <c r="S1227" s="2">
        <v>150</v>
      </c>
      <c r="T1227" t="s">
        <v>4566</v>
      </c>
      <c r="U1227" s="6">
        <v>30335</v>
      </c>
      <c r="V1227" s="2">
        <v>47037016200</v>
      </c>
      <c r="W1227" s="2" t="s">
        <v>68</v>
      </c>
      <c r="X1227" s="1">
        <v>45658</v>
      </c>
      <c r="Y1227" s="2">
        <v>2731300</v>
      </c>
      <c r="Z1227" s="2">
        <v>0</v>
      </c>
      <c r="AA1227" s="2">
        <v>2731300</v>
      </c>
    </row>
    <row r="1228" spans="1:27" x14ac:dyDescent="0.3">
      <c r="A1228" s="3">
        <v>17</v>
      </c>
      <c r="B1228" s="2" t="str">
        <f>"10502051100"</f>
        <v>10502051100</v>
      </c>
      <c r="C1228" s="2" t="s">
        <v>4567</v>
      </c>
      <c r="D1228" t="s">
        <v>29</v>
      </c>
      <c r="E1228" s="2" t="s">
        <v>30</v>
      </c>
      <c r="F1228" s="2">
        <v>37203</v>
      </c>
      <c r="G1228" s="2" t="s">
        <v>2490</v>
      </c>
      <c r="H1228" t="s">
        <v>2406</v>
      </c>
      <c r="I1228" s="6">
        <v>30812</v>
      </c>
      <c r="J1228" s="2" t="s">
        <v>4568</v>
      </c>
      <c r="K1228" s="2" t="s">
        <v>34</v>
      </c>
      <c r="L1228" t="s">
        <v>35</v>
      </c>
      <c r="M1228" t="s">
        <v>29</v>
      </c>
      <c r="N1228" t="s">
        <v>30</v>
      </c>
      <c r="O1228">
        <v>37219</v>
      </c>
      <c r="P1228" t="s">
        <v>4569</v>
      </c>
      <c r="Q1228" s="2">
        <v>0.14000000000000001</v>
      </c>
      <c r="R1228" s="2">
        <v>58</v>
      </c>
      <c r="S1228" s="2">
        <v>104</v>
      </c>
      <c r="T1228" t="s">
        <v>4570</v>
      </c>
      <c r="U1228" s="6">
        <v>30750</v>
      </c>
      <c r="V1228" s="2">
        <v>47037016200</v>
      </c>
      <c r="W1228" s="2" t="s">
        <v>68</v>
      </c>
      <c r="X1228" s="1">
        <v>45658</v>
      </c>
      <c r="Y1228" s="2">
        <v>626000</v>
      </c>
      <c r="Z1228" s="2">
        <v>16200</v>
      </c>
      <c r="AA1228" s="2">
        <v>609800</v>
      </c>
    </row>
    <row r="1229" spans="1:27" x14ac:dyDescent="0.3">
      <c r="A1229" s="3">
        <v>17</v>
      </c>
      <c r="B1229" s="2" t="str">
        <f>"10505016300"</f>
        <v>10505016300</v>
      </c>
      <c r="C1229" s="2" t="s">
        <v>4571</v>
      </c>
      <c r="D1229" t="s">
        <v>29</v>
      </c>
      <c r="E1229" s="2" t="s">
        <v>30</v>
      </c>
      <c r="F1229" s="2">
        <v>37203</v>
      </c>
      <c r="G1229" s="2" t="s">
        <v>200</v>
      </c>
      <c r="H1229" t="s">
        <v>4572</v>
      </c>
      <c r="I1229" s="6">
        <v>27892</v>
      </c>
      <c r="J1229" s="2" t="s">
        <v>4573</v>
      </c>
      <c r="K1229" s="2">
        <v>8000</v>
      </c>
      <c r="L1229" t="s">
        <v>35</v>
      </c>
      <c r="M1229" t="s">
        <v>29</v>
      </c>
      <c r="N1229" t="s">
        <v>30</v>
      </c>
      <c r="O1229">
        <v>37219</v>
      </c>
      <c r="P1229" t="s">
        <v>4574</v>
      </c>
      <c r="Q1229" s="2">
        <v>1.1100000000000001</v>
      </c>
      <c r="R1229" s="2">
        <v>221</v>
      </c>
      <c r="S1229" s="2">
        <v>191</v>
      </c>
      <c r="T1229" t="s">
        <v>278</v>
      </c>
      <c r="U1229" s="6">
        <v>30082</v>
      </c>
      <c r="V1229" s="2">
        <v>47037016300</v>
      </c>
      <c r="W1229" s="2" t="s">
        <v>68</v>
      </c>
      <c r="X1229" s="1">
        <v>45658</v>
      </c>
      <c r="Y1229" s="2">
        <v>716000</v>
      </c>
      <c r="Z1229" s="2">
        <v>0</v>
      </c>
      <c r="AA1229" s="2">
        <v>716000</v>
      </c>
    </row>
    <row r="1230" spans="1:27" x14ac:dyDescent="0.3">
      <c r="A1230" s="3">
        <v>17</v>
      </c>
      <c r="B1230" s="2" t="str">
        <f>"10512006200"</f>
        <v>10512006200</v>
      </c>
      <c r="C1230" s="2" t="s">
        <v>4575</v>
      </c>
      <c r="D1230" t="s">
        <v>29</v>
      </c>
      <c r="E1230" s="2" t="s">
        <v>30</v>
      </c>
      <c r="F1230" s="2">
        <v>37203</v>
      </c>
      <c r="G1230" s="2" t="s">
        <v>41</v>
      </c>
      <c r="H1230" t="s">
        <v>4576</v>
      </c>
      <c r="I1230" s="6">
        <v>4200</v>
      </c>
      <c r="J1230" s="2" t="s">
        <v>4577</v>
      </c>
      <c r="K1230" s="2" t="s">
        <v>34</v>
      </c>
      <c r="L1230" t="s">
        <v>35</v>
      </c>
      <c r="M1230" t="s">
        <v>29</v>
      </c>
      <c r="N1230" t="s">
        <v>30</v>
      </c>
      <c r="O1230">
        <v>37219</v>
      </c>
      <c r="P1230" t="s">
        <v>4578</v>
      </c>
      <c r="Q1230" s="2">
        <v>0.81</v>
      </c>
      <c r="R1230" s="2">
        <v>675</v>
      </c>
      <c r="S1230" s="2">
        <v>130</v>
      </c>
      <c r="T1230" t="s">
        <v>4577</v>
      </c>
      <c r="U1230" s="6">
        <v>4200</v>
      </c>
      <c r="V1230" s="2">
        <v>47037016100</v>
      </c>
      <c r="W1230" s="2" t="s">
        <v>68</v>
      </c>
      <c r="X1230" s="1">
        <v>45658</v>
      </c>
      <c r="Y1230" s="2">
        <v>2514000</v>
      </c>
      <c r="Z1230" s="2">
        <v>0</v>
      </c>
      <c r="AA1230" s="2">
        <v>2514000</v>
      </c>
    </row>
    <row r="1231" spans="1:27" x14ac:dyDescent="0.3">
      <c r="A1231" s="3">
        <v>17</v>
      </c>
      <c r="B1231" s="2" t="str">
        <f>"10511033100"</f>
        <v>10511033100</v>
      </c>
      <c r="C1231" s="2" t="s">
        <v>4579</v>
      </c>
      <c r="D1231" t="s">
        <v>29</v>
      </c>
      <c r="E1231" s="2" t="s">
        <v>30</v>
      </c>
      <c r="F1231" s="2">
        <v>37204</v>
      </c>
      <c r="G1231" s="2" t="s">
        <v>200</v>
      </c>
      <c r="H1231" t="s">
        <v>4580</v>
      </c>
      <c r="I1231" s="6">
        <v>4196</v>
      </c>
      <c r="J1231" s="2" t="s">
        <v>4577</v>
      </c>
      <c r="K1231" s="2">
        <v>0</v>
      </c>
      <c r="L1231" t="s">
        <v>85</v>
      </c>
      <c r="M1231" t="s">
        <v>29</v>
      </c>
      <c r="N1231" t="s">
        <v>30</v>
      </c>
      <c r="O1231">
        <v>37219</v>
      </c>
      <c r="P1231" t="s">
        <v>4581</v>
      </c>
      <c r="Q1231" s="2">
        <v>75.09</v>
      </c>
      <c r="R1231" s="2">
        <v>1026</v>
      </c>
      <c r="S1231" s="2">
        <v>0</v>
      </c>
      <c r="T1231" t="s">
        <v>4582</v>
      </c>
      <c r="U1231" s="6">
        <v>44517</v>
      </c>
      <c r="V1231" s="2">
        <v>47037016100</v>
      </c>
      <c r="W1231" s="2" t="s">
        <v>68</v>
      </c>
      <c r="X1231" s="1">
        <v>45658</v>
      </c>
      <c r="Y1231" s="2">
        <v>16534500</v>
      </c>
      <c r="Z1231" s="2">
        <v>0</v>
      </c>
      <c r="AA1231" s="2">
        <v>16534500</v>
      </c>
    </row>
    <row r="1232" spans="1:27" x14ac:dyDescent="0.3">
      <c r="A1232" s="3">
        <v>17</v>
      </c>
      <c r="B1232" s="2" t="str">
        <f>"10511033000"</f>
        <v>10511033000</v>
      </c>
      <c r="C1232" s="2" t="s">
        <v>4583</v>
      </c>
      <c r="D1232" t="s">
        <v>29</v>
      </c>
      <c r="E1232" s="2" t="s">
        <v>30</v>
      </c>
      <c r="F1232" s="2">
        <v>37203</v>
      </c>
      <c r="G1232" s="2" t="s">
        <v>200</v>
      </c>
      <c r="H1232" t="s">
        <v>4580</v>
      </c>
      <c r="I1232" s="6">
        <v>4196</v>
      </c>
      <c r="J1232" s="2" t="s">
        <v>4577</v>
      </c>
      <c r="K1232" s="2">
        <v>0</v>
      </c>
      <c r="L1232" t="s">
        <v>85</v>
      </c>
      <c r="M1232" t="s">
        <v>29</v>
      </c>
      <c r="N1232" t="s">
        <v>30</v>
      </c>
      <c r="O1232">
        <v>37219</v>
      </c>
      <c r="P1232" t="s">
        <v>4581</v>
      </c>
      <c r="Q1232" s="2">
        <v>10.72</v>
      </c>
      <c r="R1232" s="2">
        <v>550</v>
      </c>
      <c r="S1232" s="2">
        <v>0</v>
      </c>
      <c r="T1232" t="s">
        <v>4582</v>
      </c>
      <c r="U1232" s="6">
        <v>44517</v>
      </c>
      <c r="V1232" s="2">
        <v>47037016100</v>
      </c>
      <c r="W1232" s="2" t="s">
        <v>68</v>
      </c>
      <c r="X1232" s="1">
        <v>45658</v>
      </c>
      <c r="Y1232" s="2">
        <v>26966000</v>
      </c>
      <c r="Z1232" s="2">
        <v>0</v>
      </c>
      <c r="AA1232" s="2">
        <v>26966000</v>
      </c>
    </row>
    <row r="1233" spans="1:27" x14ac:dyDescent="0.3">
      <c r="A1233" s="3">
        <v>17</v>
      </c>
      <c r="B1233" s="2" t="str">
        <f>"10511030100"</f>
        <v>10511030100</v>
      </c>
      <c r="C1233" s="2" t="s">
        <v>4584</v>
      </c>
      <c r="D1233" t="s">
        <v>29</v>
      </c>
      <c r="E1233" s="2" t="s">
        <v>30</v>
      </c>
      <c r="F1233" s="2">
        <v>37203</v>
      </c>
      <c r="G1233" s="2" t="s">
        <v>200</v>
      </c>
      <c r="H1233" t="s">
        <v>4580</v>
      </c>
      <c r="I1233" s="6">
        <v>4196</v>
      </c>
      <c r="J1233" s="2" t="s">
        <v>4577</v>
      </c>
      <c r="K1233" s="2">
        <v>0</v>
      </c>
      <c r="L1233" t="s">
        <v>85</v>
      </c>
      <c r="M1233" t="s">
        <v>29</v>
      </c>
      <c r="N1233" t="s">
        <v>30</v>
      </c>
      <c r="O1233">
        <v>37219</v>
      </c>
      <c r="P1233" t="s">
        <v>4581</v>
      </c>
      <c r="Q1233" s="2">
        <v>28.42</v>
      </c>
      <c r="R1233" s="2">
        <v>1677</v>
      </c>
      <c r="S1233" s="2">
        <v>0</v>
      </c>
      <c r="T1233" t="s">
        <v>4582</v>
      </c>
      <c r="U1233" s="6">
        <v>44517</v>
      </c>
      <c r="V1233" s="2">
        <v>47037016100</v>
      </c>
      <c r="W1233" s="2" t="s">
        <v>68</v>
      </c>
      <c r="X1233" s="1">
        <v>45658</v>
      </c>
      <c r="Y1233" s="2">
        <v>3410400</v>
      </c>
      <c r="Z1233" s="2">
        <v>0</v>
      </c>
      <c r="AA1233" s="2">
        <v>3410400</v>
      </c>
    </row>
    <row r="1234" spans="1:27" x14ac:dyDescent="0.3">
      <c r="A1234" s="3">
        <v>17</v>
      </c>
      <c r="B1234" s="2" t="str">
        <f>"10503000300"</f>
        <v>10503000300</v>
      </c>
      <c r="C1234" s="2" t="s">
        <v>4585</v>
      </c>
      <c r="D1234" t="s">
        <v>29</v>
      </c>
      <c r="E1234" s="2" t="s">
        <v>30</v>
      </c>
      <c r="F1234" s="2">
        <v>37210</v>
      </c>
      <c r="G1234" s="2" t="s">
        <v>527</v>
      </c>
      <c r="H1234" t="s">
        <v>4586</v>
      </c>
      <c r="I1234" s="6">
        <v>17861</v>
      </c>
      <c r="J1234" s="2" t="s">
        <v>4587</v>
      </c>
      <c r="K1234" s="2" t="s">
        <v>34</v>
      </c>
      <c r="L1234" t="s">
        <v>35</v>
      </c>
      <c r="M1234" t="s">
        <v>29</v>
      </c>
      <c r="N1234" t="s">
        <v>30</v>
      </c>
      <c r="O1234">
        <v>37219</v>
      </c>
      <c r="P1234" t="s">
        <v>4588</v>
      </c>
      <c r="Q1234" s="2">
        <v>28.24</v>
      </c>
      <c r="R1234" s="2">
        <v>0</v>
      </c>
      <c r="S1234" s="2">
        <v>0</v>
      </c>
      <c r="T1234" t="s">
        <v>4587</v>
      </c>
      <c r="U1234" s="6">
        <v>17861</v>
      </c>
      <c r="V1234" s="2">
        <v>47037016000</v>
      </c>
      <c r="W1234" s="2" t="s">
        <v>68</v>
      </c>
      <c r="X1234" s="1">
        <v>45658</v>
      </c>
      <c r="Y1234" s="2">
        <v>4518400</v>
      </c>
      <c r="Z1234" s="2">
        <v>0</v>
      </c>
      <c r="AA1234" s="2">
        <v>4518400</v>
      </c>
    </row>
    <row r="1235" spans="1:27" x14ac:dyDescent="0.3">
      <c r="A1235" s="3">
        <v>17</v>
      </c>
      <c r="B1235" s="2" t="str">
        <f>"10505017600"</f>
        <v>10505017600</v>
      </c>
      <c r="C1235" s="2" t="s">
        <v>4589</v>
      </c>
      <c r="D1235" t="s">
        <v>29</v>
      </c>
      <c r="E1235" s="2" t="s">
        <v>30</v>
      </c>
      <c r="F1235" s="2">
        <v>37203</v>
      </c>
      <c r="G1235" s="2" t="s">
        <v>41</v>
      </c>
      <c r="H1235" t="s">
        <v>171</v>
      </c>
      <c r="I1235" s="6">
        <v>40963</v>
      </c>
      <c r="J1235" s="2" t="s">
        <v>4590</v>
      </c>
      <c r="K1235" s="2">
        <v>0</v>
      </c>
      <c r="L1235" t="s">
        <v>35</v>
      </c>
      <c r="M1235" t="s">
        <v>29</v>
      </c>
      <c r="N1235" t="s">
        <v>30</v>
      </c>
      <c r="O1235">
        <v>37219</v>
      </c>
      <c r="P1235" t="s">
        <v>4591</v>
      </c>
      <c r="Q1235" s="2">
        <v>4.42</v>
      </c>
      <c r="R1235" s="2">
        <v>350</v>
      </c>
      <c r="S1235" s="2">
        <v>322</v>
      </c>
      <c r="T1235" t="s">
        <v>4592</v>
      </c>
      <c r="U1235" s="6">
        <v>41682</v>
      </c>
      <c r="V1235" s="2">
        <v>47037016300</v>
      </c>
      <c r="W1235" s="2" t="s">
        <v>68</v>
      </c>
      <c r="X1235" s="1">
        <v>45658</v>
      </c>
      <c r="Y1235" s="2">
        <v>30805600</v>
      </c>
      <c r="Z1235" s="2">
        <v>0</v>
      </c>
      <c r="AA1235" s="2">
        <v>30805600</v>
      </c>
    </row>
    <row r="1236" spans="1:27" x14ac:dyDescent="0.3">
      <c r="A1236" s="3">
        <v>17</v>
      </c>
      <c r="B1236" s="2" t="str">
        <f>"09313006500"</f>
        <v>09313006500</v>
      </c>
      <c r="C1236" s="2" t="s">
        <v>4593</v>
      </c>
      <c r="D1236" t="s">
        <v>29</v>
      </c>
      <c r="E1236" s="2" t="s">
        <v>30</v>
      </c>
      <c r="F1236" s="2">
        <v>37203</v>
      </c>
      <c r="G1236" s="2" t="s">
        <v>152</v>
      </c>
      <c r="H1236" t="s">
        <v>176</v>
      </c>
      <c r="I1236" s="6">
        <v>22089</v>
      </c>
      <c r="J1236" s="2" t="s">
        <v>4594</v>
      </c>
      <c r="K1236" s="2">
        <v>1500</v>
      </c>
      <c r="L1236" t="s">
        <v>178</v>
      </c>
      <c r="M1236" t="s">
        <v>29</v>
      </c>
      <c r="N1236" t="s">
        <v>30</v>
      </c>
      <c r="O1236">
        <v>37246</v>
      </c>
      <c r="P1236" t="s">
        <v>4595</v>
      </c>
      <c r="Q1236" s="2">
        <v>0.13</v>
      </c>
      <c r="R1236" s="2">
        <v>48</v>
      </c>
      <c r="S1236" s="2">
        <v>130</v>
      </c>
      <c r="T1236" t="s">
        <v>4596</v>
      </c>
      <c r="U1236" s="6">
        <v>29097</v>
      </c>
      <c r="V1236" s="2">
        <v>47037019500</v>
      </c>
      <c r="W1236" s="2" t="s">
        <v>68</v>
      </c>
      <c r="X1236" s="1">
        <v>45658</v>
      </c>
      <c r="Y1236" s="2">
        <v>1053000</v>
      </c>
      <c r="Z1236" s="2">
        <v>0</v>
      </c>
      <c r="AA1236" s="2">
        <v>1053000</v>
      </c>
    </row>
    <row r="1237" spans="1:27" x14ac:dyDescent="0.3">
      <c r="A1237" s="3">
        <v>17</v>
      </c>
      <c r="B1237" s="2" t="str">
        <f>"10503013900"</f>
        <v>10503013900</v>
      </c>
      <c r="C1237" s="2" t="s">
        <v>4597</v>
      </c>
      <c r="D1237" t="s">
        <v>29</v>
      </c>
      <c r="E1237" s="2" t="s">
        <v>30</v>
      </c>
      <c r="F1237" s="2">
        <v>37210</v>
      </c>
      <c r="G1237" s="2" t="s">
        <v>152</v>
      </c>
      <c r="H1237" t="s">
        <v>176</v>
      </c>
      <c r="I1237" s="6">
        <v>19681</v>
      </c>
      <c r="J1237" s="2" t="s">
        <v>4598</v>
      </c>
      <c r="K1237" s="2" t="s">
        <v>34</v>
      </c>
      <c r="L1237" t="s">
        <v>178</v>
      </c>
      <c r="M1237" t="s">
        <v>29</v>
      </c>
      <c r="N1237" t="s">
        <v>30</v>
      </c>
      <c r="O1237">
        <v>37246</v>
      </c>
      <c r="P1237" t="s">
        <v>4599</v>
      </c>
      <c r="Q1237" s="2">
        <v>0.26</v>
      </c>
      <c r="R1237" s="2">
        <v>80</v>
      </c>
      <c r="S1237" s="2">
        <v>150</v>
      </c>
      <c r="T1237" t="s">
        <v>4598</v>
      </c>
      <c r="U1237" s="6">
        <v>19681</v>
      </c>
      <c r="V1237" s="2">
        <v>47037016000</v>
      </c>
      <c r="W1237" s="2" t="s">
        <v>68</v>
      </c>
      <c r="X1237" s="1">
        <v>45658</v>
      </c>
      <c r="Y1237" s="2">
        <v>450000</v>
      </c>
      <c r="Z1237" s="2">
        <v>0</v>
      </c>
      <c r="AA1237" s="2">
        <v>450000</v>
      </c>
    </row>
    <row r="1238" spans="1:27" x14ac:dyDescent="0.3">
      <c r="A1238" s="3">
        <v>17</v>
      </c>
      <c r="B1238" s="2" t="str">
        <f>"10505004100"</f>
        <v>10505004100</v>
      </c>
      <c r="C1238" s="2" t="s">
        <v>4600</v>
      </c>
      <c r="D1238" t="s">
        <v>29</v>
      </c>
      <c r="E1238" s="2" t="s">
        <v>30</v>
      </c>
      <c r="F1238" s="2">
        <v>37212</v>
      </c>
      <c r="G1238" s="2" t="s">
        <v>152</v>
      </c>
      <c r="H1238" t="s">
        <v>176</v>
      </c>
      <c r="I1238" s="6">
        <v>14474</v>
      </c>
      <c r="J1238" s="2" t="s">
        <v>1270</v>
      </c>
      <c r="K1238" s="2" t="s">
        <v>34</v>
      </c>
      <c r="L1238" t="s">
        <v>178</v>
      </c>
      <c r="M1238" t="s">
        <v>29</v>
      </c>
      <c r="N1238" t="s">
        <v>30</v>
      </c>
      <c r="O1238">
        <v>37246</v>
      </c>
      <c r="P1238" t="s">
        <v>4601</v>
      </c>
      <c r="Q1238" s="2">
        <v>0.45</v>
      </c>
      <c r="R1238" s="2">
        <v>139</v>
      </c>
      <c r="S1238" s="2">
        <v>150</v>
      </c>
      <c r="T1238" t="s">
        <v>1267</v>
      </c>
      <c r="U1238" s="6">
        <v>14474</v>
      </c>
      <c r="V1238" s="2">
        <v>47037016300</v>
      </c>
      <c r="W1238" s="2" t="s">
        <v>68</v>
      </c>
      <c r="X1238" s="1">
        <v>45658</v>
      </c>
      <c r="Y1238" s="2">
        <v>429600</v>
      </c>
      <c r="Z1238" s="2">
        <v>0</v>
      </c>
      <c r="AA1238" s="2">
        <v>429600</v>
      </c>
    </row>
    <row r="1239" spans="1:27" x14ac:dyDescent="0.3">
      <c r="A1239" s="3">
        <v>17</v>
      </c>
      <c r="B1239" s="2" t="str">
        <f>"10505004000"</f>
        <v>10505004000</v>
      </c>
      <c r="C1239" s="2" t="s">
        <v>4602</v>
      </c>
      <c r="D1239" t="s">
        <v>29</v>
      </c>
      <c r="E1239" s="2" t="s">
        <v>30</v>
      </c>
      <c r="F1239" s="2">
        <v>37212</v>
      </c>
      <c r="G1239" s="2" t="s">
        <v>152</v>
      </c>
      <c r="H1239" t="s">
        <v>176</v>
      </c>
      <c r="I1239" s="6">
        <v>22507</v>
      </c>
      <c r="J1239" s="2" t="s">
        <v>4603</v>
      </c>
      <c r="K1239" s="2" t="s">
        <v>34</v>
      </c>
      <c r="L1239" t="s">
        <v>178</v>
      </c>
      <c r="M1239" t="s">
        <v>29</v>
      </c>
      <c r="N1239" t="s">
        <v>30</v>
      </c>
      <c r="O1239">
        <v>37246</v>
      </c>
      <c r="P1239" t="s">
        <v>4604</v>
      </c>
      <c r="Q1239" s="2">
        <v>0.34</v>
      </c>
      <c r="R1239" s="2">
        <v>100</v>
      </c>
      <c r="S1239" s="2">
        <v>150</v>
      </c>
      <c r="T1239" t="s">
        <v>4603</v>
      </c>
      <c r="U1239" s="6">
        <v>22507</v>
      </c>
      <c r="V1239" s="2">
        <v>47037016300</v>
      </c>
      <c r="W1239" s="2" t="s">
        <v>68</v>
      </c>
      <c r="X1239" s="1">
        <v>45658</v>
      </c>
      <c r="Y1239" s="2">
        <v>429600</v>
      </c>
      <c r="Z1239" s="2">
        <v>0</v>
      </c>
      <c r="AA1239" s="2">
        <v>429600</v>
      </c>
    </row>
    <row r="1240" spans="1:27" x14ac:dyDescent="0.3">
      <c r="A1240" s="3">
        <v>17</v>
      </c>
      <c r="B1240" s="2" t="str">
        <f>"10505003900"</f>
        <v>10505003900</v>
      </c>
      <c r="C1240" s="2" t="s">
        <v>4605</v>
      </c>
      <c r="D1240" t="s">
        <v>29</v>
      </c>
      <c r="E1240" s="2" t="s">
        <v>30</v>
      </c>
      <c r="F1240" s="2">
        <v>37212</v>
      </c>
      <c r="G1240" s="2" t="s">
        <v>152</v>
      </c>
      <c r="H1240" t="s">
        <v>176</v>
      </c>
      <c r="I1240" s="6">
        <v>22584</v>
      </c>
      <c r="J1240" s="2" t="s">
        <v>4606</v>
      </c>
      <c r="K1240" s="2" t="s">
        <v>34</v>
      </c>
      <c r="L1240" t="s">
        <v>178</v>
      </c>
      <c r="M1240" t="s">
        <v>29</v>
      </c>
      <c r="N1240" t="s">
        <v>30</v>
      </c>
      <c r="O1240">
        <v>37246</v>
      </c>
      <c r="P1240" t="s">
        <v>4607</v>
      </c>
      <c r="Q1240" s="2">
        <v>0.17</v>
      </c>
      <c r="R1240" s="2">
        <v>50</v>
      </c>
      <c r="S1240" s="2">
        <v>150</v>
      </c>
      <c r="T1240" t="s">
        <v>4606</v>
      </c>
      <c r="U1240" s="6">
        <v>22584</v>
      </c>
      <c r="V1240" s="2">
        <v>47037016300</v>
      </c>
      <c r="W1240" s="2" t="s">
        <v>68</v>
      </c>
      <c r="X1240" s="1">
        <v>45658</v>
      </c>
      <c r="Y1240" s="2">
        <v>358000</v>
      </c>
      <c r="Z1240" s="2">
        <v>0</v>
      </c>
      <c r="AA1240" s="2">
        <v>358000</v>
      </c>
    </row>
    <row r="1241" spans="1:27" x14ac:dyDescent="0.3">
      <c r="A1241" s="3">
        <v>17</v>
      </c>
      <c r="B1241" s="2" t="str">
        <f>"10505003800"</f>
        <v>10505003800</v>
      </c>
      <c r="C1241" s="2" t="s">
        <v>4608</v>
      </c>
      <c r="D1241" t="s">
        <v>29</v>
      </c>
      <c r="E1241" s="2" t="s">
        <v>30</v>
      </c>
      <c r="F1241" s="2">
        <v>37212</v>
      </c>
      <c r="G1241" s="2" t="s">
        <v>152</v>
      </c>
      <c r="H1241" t="s">
        <v>176</v>
      </c>
      <c r="I1241" s="6">
        <v>22623</v>
      </c>
      <c r="J1241" s="2" t="s">
        <v>4609</v>
      </c>
      <c r="K1241" s="2" t="s">
        <v>34</v>
      </c>
      <c r="L1241" t="s">
        <v>178</v>
      </c>
      <c r="M1241" t="s">
        <v>29</v>
      </c>
      <c r="N1241" t="s">
        <v>30</v>
      </c>
      <c r="O1241">
        <v>37246</v>
      </c>
      <c r="P1241" t="s">
        <v>4610</v>
      </c>
      <c r="Q1241" s="2">
        <v>0.17</v>
      </c>
      <c r="R1241" s="2">
        <v>50</v>
      </c>
      <c r="S1241" s="2">
        <v>150</v>
      </c>
      <c r="T1241" t="s">
        <v>4609</v>
      </c>
      <c r="U1241" s="6">
        <v>22623</v>
      </c>
      <c r="V1241" s="2">
        <v>47037016300</v>
      </c>
      <c r="W1241" s="2" t="s">
        <v>68</v>
      </c>
      <c r="X1241" s="1">
        <v>45658</v>
      </c>
      <c r="Y1241" s="2">
        <v>358000</v>
      </c>
      <c r="Z1241" s="2">
        <v>0</v>
      </c>
      <c r="AA1241" s="2">
        <v>358000</v>
      </c>
    </row>
    <row r="1242" spans="1:27" x14ac:dyDescent="0.3">
      <c r="A1242" s="3">
        <v>17</v>
      </c>
      <c r="B1242" s="2" t="str">
        <f>"10505003700"</f>
        <v>10505003700</v>
      </c>
      <c r="C1242" s="2" t="s">
        <v>4611</v>
      </c>
      <c r="D1242" t="s">
        <v>29</v>
      </c>
      <c r="E1242" s="2" t="s">
        <v>30</v>
      </c>
      <c r="F1242" s="2">
        <v>37212</v>
      </c>
      <c r="G1242" s="2" t="s">
        <v>152</v>
      </c>
      <c r="H1242" t="s">
        <v>176</v>
      </c>
      <c r="I1242" s="6">
        <v>22515</v>
      </c>
      <c r="J1242" s="2" t="s">
        <v>4612</v>
      </c>
      <c r="K1242" s="2" t="s">
        <v>34</v>
      </c>
      <c r="L1242" t="s">
        <v>178</v>
      </c>
      <c r="M1242" t="s">
        <v>29</v>
      </c>
      <c r="N1242" t="s">
        <v>30</v>
      </c>
      <c r="O1242">
        <v>37246</v>
      </c>
      <c r="P1242" t="s">
        <v>4613</v>
      </c>
      <c r="Q1242" s="2">
        <v>0.17</v>
      </c>
      <c r="R1242" s="2">
        <v>50</v>
      </c>
      <c r="S1242" s="2">
        <v>150</v>
      </c>
      <c r="T1242" t="s">
        <v>4612</v>
      </c>
      <c r="U1242" s="6">
        <v>22515</v>
      </c>
      <c r="V1242" s="2">
        <v>47037016300</v>
      </c>
      <c r="W1242" s="2" t="s">
        <v>68</v>
      </c>
      <c r="X1242" s="1">
        <v>45658</v>
      </c>
      <c r="Y1242" s="2">
        <v>358000</v>
      </c>
      <c r="Z1242" s="2">
        <v>0</v>
      </c>
      <c r="AA1242" s="2">
        <v>358000</v>
      </c>
    </row>
    <row r="1243" spans="1:27" x14ac:dyDescent="0.3">
      <c r="A1243" s="3">
        <v>17</v>
      </c>
      <c r="B1243" s="2" t="str">
        <f>"10516029100"</f>
        <v>10516029100</v>
      </c>
      <c r="C1243" s="2" t="s">
        <v>4614</v>
      </c>
      <c r="D1243" t="s">
        <v>29</v>
      </c>
      <c r="E1243" s="2" t="s">
        <v>30</v>
      </c>
      <c r="F1243" s="2">
        <v>37211</v>
      </c>
      <c r="G1243" s="2" t="s">
        <v>152</v>
      </c>
      <c r="H1243" t="s">
        <v>176</v>
      </c>
      <c r="I1243" s="6">
        <v>31663</v>
      </c>
      <c r="J1243" s="2" t="s">
        <v>4615</v>
      </c>
      <c r="K1243" s="2">
        <v>80000</v>
      </c>
      <c r="L1243" t="s">
        <v>178</v>
      </c>
      <c r="M1243" t="s">
        <v>29</v>
      </c>
      <c r="N1243" t="s">
        <v>30</v>
      </c>
      <c r="O1243">
        <v>37246</v>
      </c>
      <c r="P1243" t="s">
        <v>4616</v>
      </c>
      <c r="Q1243" s="2">
        <v>2.13</v>
      </c>
      <c r="R1243" s="2">
        <v>0</v>
      </c>
      <c r="S1243" s="2">
        <v>0</v>
      </c>
      <c r="T1243" t="s">
        <v>4617</v>
      </c>
      <c r="U1243" s="6">
        <v>31693</v>
      </c>
      <c r="V1243" s="2">
        <v>47037017200</v>
      </c>
      <c r="W1243" s="2" t="s">
        <v>68</v>
      </c>
      <c r="X1243" s="1">
        <v>45658</v>
      </c>
      <c r="Y1243" s="2">
        <v>5219000</v>
      </c>
      <c r="Z1243" s="2">
        <v>0</v>
      </c>
      <c r="AA1243" s="2">
        <v>5219000</v>
      </c>
    </row>
    <row r="1244" spans="1:27" x14ac:dyDescent="0.3">
      <c r="A1244" s="3">
        <v>17</v>
      </c>
      <c r="B1244" s="2" t="str">
        <f>"11804005600"</f>
        <v>11804005600</v>
      </c>
      <c r="C1244" s="2" t="s">
        <v>4618</v>
      </c>
      <c r="D1244" t="s">
        <v>29</v>
      </c>
      <c r="E1244" s="2" t="s">
        <v>30</v>
      </c>
      <c r="F1244" s="2">
        <v>37211</v>
      </c>
      <c r="G1244" s="2" t="s">
        <v>41</v>
      </c>
      <c r="H1244" t="s">
        <v>176</v>
      </c>
      <c r="I1244" s="6">
        <v>23146</v>
      </c>
      <c r="J1244" s="2" t="s">
        <v>4619</v>
      </c>
      <c r="K1244" s="2" t="s">
        <v>34</v>
      </c>
      <c r="L1244" t="s">
        <v>178</v>
      </c>
      <c r="M1244" t="s">
        <v>29</v>
      </c>
      <c r="N1244" t="s">
        <v>30</v>
      </c>
      <c r="O1244">
        <v>37246</v>
      </c>
      <c r="P1244" t="s">
        <v>4620</v>
      </c>
      <c r="Q1244" s="2">
        <v>0.24</v>
      </c>
      <c r="R1244" s="2">
        <v>65</v>
      </c>
      <c r="S1244" s="2">
        <v>165</v>
      </c>
      <c r="T1244" t="s">
        <v>4619</v>
      </c>
      <c r="U1244" s="6">
        <v>23146</v>
      </c>
      <c r="V1244" s="2">
        <v>47037017200</v>
      </c>
      <c r="W1244" s="2" t="s">
        <v>68</v>
      </c>
      <c r="X1244" s="1">
        <v>45658</v>
      </c>
      <c r="Y1244" s="2">
        <v>697100</v>
      </c>
      <c r="Z1244" s="2">
        <v>0</v>
      </c>
      <c r="AA1244" s="2">
        <v>697100</v>
      </c>
    </row>
    <row r="1245" spans="1:27" x14ac:dyDescent="0.3">
      <c r="A1245" s="3">
        <v>17</v>
      </c>
      <c r="B1245" s="2" t="str">
        <f>"09315039400"</f>
        <v>09315039400</v>
      </c>
      <c r="C1245" s="2" t="s">
        <v>4621</v>
      </c>
      <c r="D1245" t="s">
        <v>29</v>
      </c>
      <c r="E1245" s="2" t="s">
        <v>30</v>
      </c>
      <c r="F1245" s="2">
        <v>37210</v>
      </c>
      <c r="G1245" s="2" t="s">
        <v>41</v>
      </c>
      <c r="H1245" t="s">
        <v>176</v>
      </c>
      <c r="I1245" s="6">
        <v>40365</v>
      </c>
      <c r="J1245" s="2" t="s">
        <v>4622</v>
      </c>
      <c r="K1245" s="2">
        <v>0</v>
      </c>
      <c r="L1245" t="s">
        <v>35</v>
      </c>
      <c r="M1245" t="s">
        <v>29</v>
      </c>
      <c r="N1245" t="s">
        <v>30</v>
      </c>
      <c r="O1245">
        <v>37219</v>
      </c>
      <c r="P1245" t="s">
        <v>4623</v>
      </c>
      <c r="Q1245" s="2">
        <v>0.04</v>
      </c>
      <c r="R1245" s="2">
        <v>38</v>
      </c>
      <c r="S1245" s="2">
        <v>43</v>
      </c>
      <c r="T1245" t="s">
        <v>4622</v>
      </c>
      <c r="U1245" s="6">
        <v>40365</v>
      </c>
      <c r="V1245" s="2">
        <v>47037016000</v>
      </c>
      <c r="W1245" s="2" t="s">
        <v>68</v>
      </c>
      <c r="X1245" s="1">
        <v>45658</v>
      </c>
      <c r="Y1245" s="2">
        <v>130700</v>
      </c>
      <c r="Z1245" s="2">
        <v>0</v>
      </c>
      <c r="AA1245" s="2">
        <v>130700</v>
      </c>
    </row>
    <row r="1246" spans="1:27" x14ac:dyDescent="0.3">
      <c r="A1246" s="3">
        <v>17</v>
      </c>
      <c r="B1246" s="2" t="str">
        <f>"10505003600"</f>
        <v>10505003600</v>
      </c>
      <c r="C1246" s="2" t="s">
        <v>4624</v>
      </c>
      <c r="D1246" t="s">
        <v>29</v>
      </c>
      <c r="E1246" s="2" t="s">
        <v>30</v>
      </c>
      <c r="F1246" s="2">
        <v>37212</v>
      </c>
      <c r="G1246" s="2" t="s">
        <v>152</v>
      </c>
      <c r="H1246" t="s">
        <v>176</v>
      </c>
      <c r="I1246" s="6">
        <v>22511</v>
      </c>
      <c r="J1246" s="2" t="s">
        <v>4625</v>
      </c>
      <c r="K1246" s="2" t="s">
        <v>34</v>
      </c>
      <c r="L1246" t="s">
        <v>178</v>
      </c>
      <c r="M1246" t="s">
        <v>29</v>
      </c>
      <c r="N1246" t="s">
        <v>30</v>
      </c>
      <c r="O1246">
        <v>37246</v>
      </c>
      <c r="P1246" t="s">
        <v>4626</v>
      </c>
      <c r="Q1246" s="2">
        <v>0.18</v>
      </c>
      <c r="R1246" s="2">
        <v>42</v>
      </c>
      <c r="S1246" s="2">
        <v>150</v>
      </c>
      <c r="T1246" t="s">
        <v>4625</v>
      </c>
      <c r="U1246" s="6">
        <v>22511</v>
      </c>
      <c r="V1246" s="2">
        <v>47037016300</v>
      </c>
      <c r="W1246" s="2" t="s">
        <v>68</v>
      </c>
      <c r="X1246" s="1">
        <v>45658</v>
      </c>
      <c r="Y1246" s="2">
        <v>358000</v>
      </c>
      <c r="Z1246" s="2">
        <v>0</v>
      </c>
      <c r="AA1246" s="2">
        <v>358000</v>
      </c>
    </row>
    <row r="1247" spans="1:27" x14ac:dyDescent="0.3">
      <c r="A1247" s="3">
        <v>17</v>
      </c>
      <c r="B1247" s="2" t="str">
        <f>"10503022100"</f>
        <v>10503022100</v>
      </c>
      <c r="C1247" s="2" t="s">
        <v>4627</v>
      </c>
      <c r="D1247" t="s">
        <v>29</v>
      </c>
      <c r="E1247" s="2" t="s">
        <v>30</v>
      </c>
      <c r="F1247" s="2">
        <v>37210</v>
      </c>
      <c r="G1247" s="2" t="s">
        <v>200</v>
      </c>
      <c r="H1247" t="s">
        <v>4628</v>
      </c>
      <c r="I1247" s="6">
        <v>5758</v>
      </c>
      <c r="J1247" s="2" t="s">
        <v>4629</v>
      </c>
      <c r="K1247" s="2" t="s">
        <v>34</v>
      </c>
      <c r="L1247" t="s">
        <v>35</v>
      </c>
      <c r="M1247" t="s">
        <v>29</v>
      </c>
      <c r="N1247" t="s">
        <v>30</v>
      </c>
      <c r="O1247">
        <v>37219</v>
      </c>
      <c r="P1247" t="s">
        <v>4630</v>
      </c>
      <c r="Q1247" s="2">
        <v>6.18</v>
      </c>
      <c r="R1247" s="2">
        <v>280</v>
      </c>
      <c r="S1247" s="2">
        <v>140</v>
      </c>
      <c r="T1247" t="s">
        <v>278</v>
      </c>
      <c r="U1247" s="6">
        <v>36579</v>
      </c>
      <c r="V1247" s="2">
        <v>47037016000</v>
      </c>
      <c r="W1247" s="2" t="s">
        <v>68</v>
      </c>
      <c r="X1247" s="1">
        <v>45658</v>
      </c>
      <c r="Y1247" s="2">
        <v>3012800</v>
      </c>
      <c r="Z1247" s="2">
        <v>0</v>
      </c>
      <c r="AA1247" s="2">
        <v>3012800</v>
      </c>
    </row>
    <row r="1248" spans="1:27" x14ac:dyDescent="0.3">
      <c r="A1248" s="3">
        <v>17</v>
      </c>
      <c r="B1248" s="2" t="str">
        <f>"10501049100"</f>
        <v>10501049100</v>
      </c>
      <c r="C1248" s="2" t="s">
        <v>4631</v>
      </c>
      <c r="D1248" t="s">
        <v>29</v>
      </c>
      <c r="E1248" s="2" t="s">
        <v>30</v>
      </c>
      <c r="F1248" s="2">
        <v>37203</v>
      </c>
      <c r="G1248" s="2" t="s">
        <v>200</v>
      </c>
      <c r="H1248" t="s">
        <v>4632</v>
      </c>
      <c r="I1248" s="6">
        <v>27395</v>
      </c>
      <c r="J1248" s="2" t="s">
        <v>4633</v>
      </c>
      <c r="K1248" s="2" t="s">
        <v>34</v>
      </c>
      <c r="L1248" t="s">
        <v>35</v>
      </c>
      <c r="M1248" t="s">
        <v>29</v>
      </c>
      <c r="N1248" t="s">
        <v>30</v>
      </c>
      <c r="O1248">
        <v>37219</v>
      </c>
      <c r="P1248" t="s">
        <v>4634</v>
      </c>
      <c r="Q1248" s="2">
        <v>24.9</v>
      </c>
      <c r="R1248" s="2">
        <v>0</v>
      </c>
      <c r="S1248" s="2">
        <v>0</v>
      </c>
      <c r="T1248" t="s">
        <v>278</v>
      </c>
      <c r="U1248" s="6">
        <v>36579</v>
      </c>
      <c r="V1248" s="2">
        <v>47037016200</v>
      </c>
      <c r="W1248" s="2" t="s">
        <v>68</v>
      </c>
      <c r="X1248" s="1">
        <v>45658</v>
      </c>
      <c r="Y1248" s="2">
        <v>5208000</v>
      </c>
      <c r="Z1248" s="2">
        <v>0</v>
      </c>
      <c r="AA1248" s="2">
        <v>5208000</v>
      </c>
    </row>
    <row r="1249" spans="1:27" x14ac:dyDescent="0.3">
      <c r="A1249" s="3">
        <v>17</v>
      </c>
      <c r="B1249" s="2" t="str">
        <f>"10502044700"</f>
        <v>10502044700</v>
      </c>
      <c r="C1249" s="2" t="s">
        <v>4635</v>
      </c>
      <c r="D1249" t="s">
        <v>29</v>
      </c>
      <c r="E1249" s="2" t="s">
        <v>30</v>
      </c>
      <c r="F1249" s="2">
        <v>37203</v>
      </c>
      <c r="G1249" s="2" t="s">
        <v>200</v>
      </c>
      <c r="H1249" t="s">
        <v>4636</v>
      </c>
      <c r="I1249" s="6">
        <v>26387</v>
      </c>
      <c r="J1249" s="2" t="s">
        <v>4637</v>
      </c>
      <c r="K1249" s="2" t="s">
        <v>34</v>
      </c>
      <c r="L1249" t="s">
        <v>35</v>
      </c>
      <c r="M1249" t="s">
        <v>29</v>
      </c>
      <c r="N1249" t="s">
        <v>30</v>
      </c>
      <c r="O1249">
        <v>37219</v>
      </c>
      <c r="P1249" t="s">
        <v>4638</v>
      </c>
      <c r="Q1249" s="2">
        <v>3.17</v>
      </c>
      <c r="R1249" s="2">
        <v>627</v>
      </c>
      <c r="S1249" s="2">
        <v>150</v>
      </c>
      <c r="T1249" t="s">
        <v>4637</v>
      </c>
      <c r="U1249" s="6">
        <v>26387</v>
      </c>
      <c r="V1249" s="2">
        <v>47037016100</v>
      </c>
      <c r="W1249" s="2" t="s">
        <v>68</v>
      </c>
      <c r="X1249" s="1">
        <v>45658</v>
      </c>
      <c r="Y1249" s="2">
        <v>13808500</v>
      </c>
      <c r="Z1249" s="2">
        <v>0</v>
      </c>
      <c r="AA1249" s="2">
        <v>13808500</v>
      </c>
    </row>
    <row r="1250" spans="1:27" x14ac:dyDescent="0.3">
      <c r="A1250" s="3">
        <v>17</v>
      </c>
      <c r="B1250" s="2" t="str">
        <f>"10502043400"</f>
        <v>10502043400</v>
      </c>
      <c r="C1250" s="2" t="s">
        <v>4639</v>
      </c>
      <c r="D1250" t="s">
        <v>29</v>
      </c>
      <c r="E1250" s="2" t="s">
        <v>30</v>
      </c>
      <c r="F1250" s="2">
        <v>37203</v>
      </c>
      <c r="G1250" s="2" t="s">
        <v>200</v>
      </c>
      <c r="H1250" t="s">
        <v>4636</v>
      </c>
      <c r="I1250" s="6">
        <v>20077</v>
      </c>
      <c r="J1250" s="2" t="s">
        <v>4640</v>
      </c>
      <c r="K1250" s="2" t="s">
        <v>34</v>
      </c>
      <c r="L1250" t="s">
        <v>35</v>
      </c>
      <c r="M1250" t="s">
        <v>29</v>
      </c>
      <c r="N1250" t="s">
        <v>30</v>
      </c>
      <c r="O1250">
        <v>37219</v>
      </c>
      <c r="P1250" t="s">
        <v>4641</v>
      </c>
      <c r="Q1250" s="2">
        <v>16.41</v>
      </c>
      <c r="R1250" s="2">
        <v>0</v>
      </c>
      <c r="S1250" s="2">
        <v>0</v>
      </c>
      <c r="T1250" t="s">
        <v>556</v>
      </c>
      <c r="U1250" s="6">
        <v>20077</v>
      </c>
      <c r="V1250" s="2">
        <v>47037016100</v>
      </c>
      <c r="W1250" s="2" t="s">
        <v>68</v>
      </c>
      <c r="X1250" s="1">
        <v>45658</v>
      </c>
      <c r="Y1250" s="2">
        <v>2625600</v>
      </c>
      <c r="Z1250" s="2">
        <v>0</v>
      </c>
      <c r="AA1250" s="2">
        <v>2625600</v>
      </c>
    </row>
    <row r="1251" spans="1:27" x14ac:dyDescent="0.3">
      <c r="A1251" s="3">
        <v>17</v>
      </c>
      <c r="B1251" s="2" t="str">
        <f>"10408031200"</f>
        <v>10408031200</v>
      </c>
      <c r="C1251" s="2" t="s">
        <v>4642</v>
      </c>
      <c r="D1251" t="s">
        <v>29</v>
      </c>
      <c r="E1251" s="2" t="s">
        <v>30</v>
      </c>
      <c r="F1251" s="2">
        <v>37212</v>
      </c>
      <c r="G1251" s="2" t="s">
        <v>41</v>
      </c>
      <c r="H1251" t="s">
        <v>4643</v>
      </c>
      <c r="I1251" s="6">
        <v>28367</v>
      </c>
      <c r="J1251" s="2" t="s">
        <v>4644</v>
      </c>
      <c r="K1251" s="2" t="s">
        <v>34</v>
      </c>
      <c r="L1251" t="s">
        <v>35</v>
      </c>
      <c r="M1251" t="s">
        <v>29</v>
      </c>
      <c r="N1251" t="s">
        <v>30</v>
      </c>
      <c r="O1251">
        <v>37219</v>
      </c>
      <c r="P1251" t="s">
        <v>4645</v>
      </c>
      <c r="Q1251" s="2">
        <v>0.65</v>
      </c>
      <c r="R1251" s="2">
        <v>138</v>
      </c>
      <c r="S1251" s="2">
        <v>250</v>
      </c>
      <c r="T1251" t="s">
        <v>4646</v>
      </c>
      <c r="U1251" s="6">
        <v>27520</v>
      </c>
      <c r="V1251" s="2">
        <v>47037016400</v>
      </c>
      <c r="W1251" s="2" t="s">
        <v>68</v>
      </c>
      <c r="X1251" s="1">
        <v>45658</v>
      </c>
      <c r="Y1251" s="2">
        <v>3171200</v>
      </c>
      <c r="Z1251" s="2">
        <v>0</v>
      </c>
      <c r="AA1251" s="2">
        <v>3171200</v>
      </c>
    </row>
    <row r="1252" spans="1:27" x14ac:dyDescent="0.3">
      <c r="A1252" s="3">
        <v>17</v>
      </c>
      <c r="B1252" s="2" t="str">
        <f>"09313012900"</f>
        <v>09313012900</v>
      </c>
      <c r="C1252" s="2" t="s">
        <v>4647</v>
      </c>
      <c r="D1252" t="s">
        <v>29</v>
      </c>
      <c r="E1252" s="2" t="s">
        <v>30</v>
      </c>
      <c r="F1252" s="2">
        <v>37203</v>
      </c>
      <c r="G1252" s="2" t="s">
        <v>200</v>
      </c>
      <c r="H1252" t="s">
        <v>4648</v>
      </c>
      <c r="I1252" s="6">
        <v>27201</v>
      </c>
      <c r="J1252" s="2" t="s">
        <v>4649</v>
      </c>
      <c r="K1252" s="2" t="s">
        <v>34</v>
      </c>
      <c r="L1252" t="s">
        <v>35</v>
      </c>
      <c r="M1252" t="s">
        <v>29</v>
      </c>
      <c r="N1252" t="s">
        <v>30</v>
      </c>
      <c r="O1252">
        <v>37219</v>
      </c>
      <c r="P1252" t="s">
        <v>4650</v>
      </c>
      <c r="Q1252" s="2">
        <v>0.6</v>
      </c>
      <c r="R1252" s="2">
        <v>171</v>
      </c>
      <c r="S1252" s="2">
        <v>150</v>
      </c>
      <c r="T1252" t="s">
        <v>4649</v>
      </c>
      <c r="U1252" s="6">
        <v>27201</v>
      </c>
      <c r="V1252" s="2">
        <v>47037019500</v>
      </c>
      <c r="W1252" s="2" t="s">
        <v>68</v>
      </c>
      <c r="X1252" s="1">
        <v>45658</v>
      </c>
      <c r="Y1252" s="2">
        <v>6669000</v>
      </c>
      <c r="Z1252" s="2">
        <v>0</v>
      </c>
      <c r="AA1252" s="2">
        <v>6669000</v>
      </c>
    </row>
    <row r="1253" spans="1:27" x14ac:dyDescent="0.3">
      <c r="A1253" s="3">
        <v>17</v>
      </c>
      <c r="B1253" s="2" t="str">
        <f>"09314055800"</f>
        <v>09314055800</v>
      </c>
      <c r="C1253" s="2" t="s">
        <v>4651</v>
      </c>
      <c r="D1253" t="s">
        <v>29</v>
      </c>
      <c r="E1253" s="2" t="s">
        <v>30</v>
      </c>
      <c r="F1253" s="2">
        <v>37203</v>
      </c>
      <c r="G1253" s="2" t="s">
        <v>1485</v>
      </c>
      <c r="H1253" t="s">
        <v>206</v>
      </c>
      <c r="I1253" s="6">
        <v>34198</v>
      </c>
      <c r="J1253" s="2" t="s">
        <v>4652</v>
      </c>
      <c r="K1253" s="2" t="s">
        <v>34</v>
      </c>
      <c r="L1253" t="s">
        <v>35</v>
      </c>
      <c r="M1253" t="s">
        <v>29</v>
      </c>
      <c r="N1253" t="s">
        <v>30</v>
      </c>
      <c r="O1253">
        <v>37219</v>
      </c>
      <c r="P1253" t="s">
        <v>4653</v>
      </c>
      <c r="Q1253" s="2">
        <v>0.3</v>
      </c>
      <c r="R1253" s="2">
        <v>0</v>
      </c>
      <c r="S1253" s="2">
        <v>253</v>
      </c>
      <c r="T1253" t="s">
        <v>4654</v>
      </c>
      <c r="U1253" s="6">
        <v>21045</v>
      </c>
      <c r="V1253" s="2">
        <v>47037016100</v>
      </c>
      <c r="W1253" s="2" t="s">
        <v>68</v>
      </c>
      <c r="X1253" s="1">
        <v>45658</v>
      </c>
      <c r="Y1253" s="2">
        <v>980100</v>
      </c>
      <c r="Z1253" s="2">
        <v>0</v>
      </c>
      <c r="AA1253" s="2">
        <v>980100</v>
      </c>
    </row>
    <row r="1254" spans="1:27" x14ac:dyDescent="0.3">
      <c r="A1254" s="3">
        <v>17</v>
      </c>
      <c r="B1254" s="2" t="str">
        <f>"09316013200"</f>
        <v>09316013200</v>
      </c>
      <c r="C1254" s="2" t="s">
        <v>4655</v>
      </c>
      <c r="D1254" t="s">
        <v>29</v>
      </c>
      <c r="E1254" s="2" t="s">
        <v>30</v>
      </c>
      <c r="F1254" s="2">
        <v>37210</v>
      </c>
      <c r="G1254" s="2" t="s">
        <v>200</v>
      </c>
      <c r="H1254" t="s">
        <v>206</v>
      </c>
      <c r="I1254" s="6">
        <v>30454</v>
      </c>
      <c r="J1254" s="2" t="s">
        <v>4656</v>
      </c>
      <c r="K1254" s="2" t="s">
        <v>34</v>
      </c>
      <c r="L1254" t="s">
        <v>35</v>
      </c>
      <c r="M1254" t="s">
        <v>29</v>
      </c>
      <c r="N1254" t="s">
        <v>30</v>
      </c>
      <c r="O1254">
        <v>37219</v>
      </c>
      <c r="P1254" t="s">
        <v>4657</v>
      </c>
      <c r="Q1254" s="2">
        <v>0.39</v>
      </c>
      <c r="R1254" s="2">
        <v>105</v>
      </c>
      <c r="S1254" s="2">
        <v>165</v>
      </c>
      <c r="T1254" t="s">
        <v>4658</v>
      </c>
      <c r="U1254" s="6">
        <v>9261</v>
      </c>
      <c r="V1254" s="2">
        <v>47037014800</v>
      </c>
      <c r="W1254" s="2" t="s">
        <v>68</v>
      </c>
      <c r="X1254" s="1">
        <v>45658</v>
      </c>
      <c r="Y1254" s="2">
        <v>300000</v>
      </c>
      <c r="Z1254" s="2">
        <v>0</v>
      </c>
      <c r="AA1254" s="2">
        <v>300000</v>
      </c>
    </row>
    <row r="1255" spans="1:27" x14ac:dyDescent="0.3">
      <c r="A1255" s="3">
        <v>17</v>
      </c>
      <c r="B1255" s="2" t="str">
        <f>"10502023900"</f>
        <v>10502023900</v>
      </c>
      <c r="C1255" s="2" t="s">
        <v>4659</v>
      </c>
      <c r="D1255" t="s">
        <v>29</v>
      </c>
      <c r="E1255" s="2" t="s">
        <v>30</v>
      </c>
      <c r="F1255" s="2">
        <v>37203</v>
      </c>
      <c r="G1255" s="2" t="s">
        <v>200</v>
      </c>
      <c r="H1255" t="s">
        <v>206</v>
      </c>
      <c r="I1255" s="6">
        <v>28227</v>
      </c>
      <c r="J1255" s="2" t="s">
        <v>4660</v>
      </c>
      <c r="K1255" s="2" t="s">
        <v>34</v>
      </c>
      <c r="L1255" t="s">
        <v>35</v>
      </c>
      <c r="M1255" t="s">
        <v>29</v>
      </c>
      <c r="N1255" t="s">
        <v>30</v>
      </c>
      <c r="O1255">
        <v>37219</v>
      </c>
      <c r="P1255" t="s">
        <v>4661</v>
      </c>
      <c r="Q1255" s="2">
        <v>5.14</v>
      </c>
      <c r="R1255" s="2">
        <v>0</v>
      </c>
      <c r="S1255" s="2">
        <v>0</v>
      </c>
      <c r="T1255" t="s">
        <v>4660</v>
      </c>
      <c r="U1255" s="6">
        <v>28227</v>
      </c>
      <c r="V1255" s="2">
        <v>47037016100</v>
      </c>
      <c r="W1255" s="2" t="s">
        <v>68</v>
      </c>
      <c r="X1255" s="1">
        <v>45658</v>
      </c>
      <c r="Y1255" s="2">
        <v>616800</v>
      </c>
      <c r="Z1255" s="2">
        <v>0</v>
      </c>
      <c r="AA1255" s="2">
        <v>616800</v>
      </c>
    </row>
    <row r="1256" spans="1:27" x14ac:dyDescent="0.3">
      <c r="A1256" s="3">
        <v>17</v>
      </c>
      <c r="B1256" s="2" t="str">
        <f>"10502039800"</f>
        <v>10502039800</v>
      </c>
      <c r="C1256" s="2" t="s">
        <v>4662</v>
      </c>
      <c r="D1256" t="s">
        <v>29</v>
      </c>
      <c r="E1256" s="2" t="s">
        <v>30</v>
      </c>
      <c r="F1256" s="2">
        <v>37203</v>
      </c>
      <c r="G1256" s="2" t="s">
        <v>64</v>
      </c>
      <c r="H1256" t="s">
        <v>206</v>
      </c>
      <c r="I1256" s="6">
        <v>28227</v>
      </c>
      <c r="J1256" s="2" t="s">
        <v>4663</v>
      </c>
      <c r="K1256" s="2" t="s">
        <v>34</v>
      </c>
      <c r="L1256" t="s">
        <v>35</v>
      </c>
      <c r="M1256" t="s">
        <v>29</v>
      </c>
      <c r="N1256" t="s">
        <v>30</v>
      </c>
      <c r="O1256">
        <v>37219</v>
      </c>
      <c r="P1256" t="s">
        <v>4664</v>
      </c>
      <c r="Q1256" s="2">
        <v>1.08</v>
      </c>
      <c r="R1256" s="2">
        <v>0</v>
      </c>
      <c r="S1256" s="2">
        <v>0</v>
      </c>
      <c r="T1256" t="s">
        <v>4663</v>
      </c>
      <c r="U1256" s="6">
        <v>28227</v>
      </c>
      <c r="V1256" s="2">
        <v>47037016100</v>
      </c>
      <c r="W1256" s="2" t="s">
        <v>68</v>
      </c>
      <c r="X1256" s="1">
        <v>45658</v>
      </c>
      <c r="Y1256" s="2">
        <v>129600</v>
      </c>
      <c r="Z1256" s="2">
        <v>0</v>
      </c>
      <c r="AA1256" s="2">
        <v>129600</v>
      </c>
    </row>
    <row r="1257" spans="1:27" x14ac:dyDescent="0.3">
      <c r="A1257" s="3">
        <v>17</v>
      </c>
      <c r="B1257" s="2" t="str">
        <f>"10510020200"</f>
        <v>10510020200</v>
      </c>
      <c r="C1257" s="2" t="s">
        <v>4665</v>
      </c>
      <c r="D1257" t="s">
        <v>29</v>
      </c>
      <c r="E1257" s="2" t="s">
        <v>30</v>
      </c>
      <c r="F1257" s="2">
        <v>37203</v>
      </c>
      <c r="G1257" s="2" t="s">
        <v>200</v>
      </c>
      <c r="H1257" t="s">
        <v>211</v>
      </c>
      <c r="I1257" s="6">
        <v>29637</v>
      </c>
      <c r="J1257" s="2" t="s">
        <v>4666</v>
      </c>
      <c r="K1257" s="2" t="s">
        <v>34</v>
      </c>
      <c r="L1257" t="s">
        <v>35</v>
      </c>
      <c r="M1257" t="s">
        <v>29</v>
      </c>
      <c r="N1257" t="s">
        <v>30</v>
      </c>
      <c r="O1257">
        <v>37219</v>
      </c>
      <c r="P1257" t="s">
        <v>4667</v>
      </c>
      <c r="Q1257" s="2">
        <v>0.43</v>
      </c>
      <c r="R1257" s="2">
        <v>270</v>
      </c>
      <c r="S1257" s="2">
        <v>72</v>
      </c>
      <c r="T1257" t="s">
        <v>4668</v>
      </c>
      <c r="U1257" s="6">
        <v>25203</v>
      </c>
      <c r="V1257" s="2">
        <v>47037017000</v>
      </c>
      <c r="W1257" s="2" t="s">
        <v>68</v>
      </c>
      <c r="X1257" s="1">
        <v>45658</v>
      </c>
      <c r="Y1257" s="2">
        <v>270000</v>
      </c>
      <c r="Z1257" s="2">
        <v>0</v>
      </c>
      <c r="AA1257" s="2">
        <v>270000</v>
      </c>
    </row>
    <row r="1258" spans="1:27" x14ac:dyDescent="0.3">
      <c r="A1258" s="3">
        <v>17</v>
      </c>
      <c r="B1258" s="2" t="str">
        <f>"10510019100"</f>
        <v>10510019100</v>
      </c>
      <c r="C1258" s="2" t="s">
        <v>4669</v>
      </c>
      <c r="D1258" t="s">
        <v>29</v>
      </c>
      <c r="E1258" s="2" t="s">
        <v>30</v>
      </c>
      <c r="F1258" s="2">
        <v>37203</v>
      </c>
      <c r="G1258" s="2" t="s">
        <v>200</v>
      </c>
      <c r="H1258" t="s">
        <v>211</v>
      </c>
      <c r="I1258" s="6">
        <v>29637</v>
      </c>
      <c r="J1258" s="2" t="s">
        <v>4666</v>
      </c>
      <c r="K1258" s="2" t="s">
        <v>34</v>
      </c>
      <c r="L1258" t="s">
        <v>35</v>
      </c>
      <c r="M1258" t="s">
        <v>29</v>
      </c>
      <c r="N1258" t="s">
        <v>30</v>
      </c>
      <c r="O1258">
        <v>37219</v>
      </c>
      <c r="P1258" t="s">
        <v>4670</v>
      </c>
      <c r="Q1258" s="2">
        <v>0.08</v>
      </c>
      <c r="R1258" s="2">
        <v>135</v>
      </c>
      <c r="S1258" s="2">
        <v>172</v>
      </c>
      <c r="T1258" t="s">
        <v>4671</v>
      </c>
      <c r="U1258" s="6">
        <v>28394</v>
      </c>
      <c r="V1258" s="2">
        <v>47037016200</v>
      </c>
      <c r="W1258" s="2" t="s">
        <v>68</v>
      </c>
      <c r="X1258" s="1">
        <v>45658</v>
      </c>
      <c r="Y1258" s="2">
        <v>557600</v>
      </c>
      <c r="Z1258" s="2">
        <v>0</v>
      </c>
      <c r="AA1258" s="2">
        <v>557600</v>
      </c>
    </row>
    <row r="1259" spans="1:27" x14ac:dyDescent="0.3">
      <c r="A1259" s="3">
        <v>17</v>
      </c>
      <c r="B1259" s="2" t="str">
        <f>"10510019200"</f>
        <v>10510019200</v>
      </c>
      <c r="C1259" s="2" t="s">
        <v>4672</v>
      </c>
      <c r="D1259" t="s">
        <v>29</v>
      </c>
      <c r="E1259" s="2" t="s">
        <v>30</v>
      </c>
      <c r="F1259" s="2">
        <v>37203</v>
      </c>
      <c r="G1259" s="2" t="s">
        <v>200</v>
      </c>
      <c r="H1259" t="s">
        <v>211</v>
      </c>
      <c r="I1259" s="6">
        <v>29637</v>
      </c>
      <c r="J1259" s="2" t="s">
        <v>4666</v>
      </c>
      <c r="K1259" s="2" t="s">
        <v>34</v>
      </c>
      <c r="L1259" t="s">
        <v>35</v>
      </c>
      <c r="M1259" t="s">
        <v>29</v>
      </c>
      <c r="N1259" t="s">
        <v>30</v>
      </c>
      <c r="O1259">
        <v>37219</v>
      </c>
      <c r="P1259" t="s">
        <v>4673</v>
      </c>
      <c r="Q1259" s="2">
        <v>0.02</v>
      </c>
      <c r="R1259" s="2">
        <v>52</v>
      </c>
      <c r="S1259" s="2">
        <v>7</v>
      </c>
      <c r="T1259" t="s">
        <v>4674</v>
      </c>
      <c r="U1259" s="6">
        <v>29637</v>
      </c>
      <c r="V1259" s="2">
        <v>47037016200</v>
      </c>
      <c r="W1259" s="2" t="s">
        <v>68</v>
      </c>
      <c r="X1259" s="1">
        <v>45658</v>
      </c>
      <c r="Y1259" s="2">
        <v>139400</v>
      </c>
      <c r="Z1259" s="2">
        <v>0</v>
      </c>
      <c r="AA1259" s="2">
        <v>139400</v>
      </c>
    </row>
    <row r="1260" spans="1:27" x14ac:dyDescent="0.3">
      <c r="A1260" s="3">
        <v>17</v>
      </c>
      <c r="B1260" s="2" t="str">
        <f>"10502044600"</f>
        <v>10502044600</v>
      </c>
      <c r="C1260" s="2" t="s">
        <v>4675</v>
      </c>
      <c r="D1260" t="s">
        <v>29</v>
      </c>
      <c r="E1260" s="2" t="s">
        <v>30</v>
      </c>
      <c r="F1260" s="2">
        <v>37203</v>
      </c>
      <c r="G1260" s="2" t="s">
        <v>1510</v>
      </c>
      <c r="H1260" t="s">
        <v>211</v>
      </c>
      <c r="I1260" s="6">
        <v>28227</v>
      </c>
      <c r="J1260" s="2" t="s">
        <v>4676</v>
      </c>
      <c r="K1260" s="2">
        <v>0</v>
      </c>
      <c r="L1260" t="s">
        <v>35</v>
      </c>
      <c r="M1260" t="s">
        <v>29</v>
      </c>
      <c r="N1260" t="s">
        <v>30</v>
      </c>
      <c r="O1260">
        <v>37219</v>
      </c>
      <c r="P1260" t="s">
        <v>4677</v>
      </c>
      <c r="Q1260" s="2">
        <v>37.799999999999997</v>
      </c>
      <c r="R1260" s="2">
        <v>0</v>
      </c>
      <c r="S1260" s="2">
        <v>0</v>
      </c>
      <c r="T1260" t="s">
        <v>4678</v>
      </c>
      <c r="U1260" s="6">
        <v>34186</v>
      </c>
      <c r="V1260" s="2">
        <v>47037016100</v>
      </c>
      <c r="W1260" s="2" t="s">
        <v>68</v>
      </c>
      <c r="X1260" s="1">
        <v>45658</v>
      </c>
      <c r="Y1260" s="2">
        <v>6048000</v>
      </c>
      <c r="Z1260" s="2">
        <v>0</v>
      </c>
      <c r="AA1260" s="2">
        <v>6048000</v>
      </c>
    </row>
    <row r="1261" spans="1:27" x14ac:dyDescent="0.3">
      <c r="A1261" s="3">
        <v>17</v>
      </c>
      <c r="B1261" s="2" t="str">
        <f>"10506008401"</f>
        <v>10506008401</v>
      </c>
      <c r="C1261" s="2" t="s">
        <v>4679</v>
      </c>
      <c r="D1261" t="s">
        <v>29</v>
      </c>
      <c r="E1261" s="2" t="s">
        <v>30</v>
      </c>
      <c r="F1261" s="2">
        <v>37203</v>
      </c>
      <c r="G1261" s="2" t="s">
        <v>200</v>
      </c>
      <c r="H1261" t="s">
        <v>4680</v>
      </c>
      <c r="I1261" s="6">
        <v>27395</v>
      </c>
      <c r="J1261" s="2" t="s">
        <v>4681</v>
      </c>
      <c r="K1261" s="2" t="s">
        <v>34</v>
      </c>
      <c r="L1261" t="s">
        <v>35</v>
      </c>
      <c r="M1261" t="s">
        <v>29</v>
      </c>
      <c r="N1261" t="s">
        <v>30</v>
      </c>
      <c r="O1261">
        <v>37219</v>
      </c>
      <c r="P1261" t="s">
        <v>4682</v>
      </c>
      <c r="Q1261" s="2">
        <v>13.49</v>
      </c>
      <c r="R1261" s="2">
        <v>0</v>
      </c>
      <c r="S1261" s="2">
        <v>0</v>
      </c>
      <c r="T1261" t="s">
        <v>4683</v>
      </c>
      <c r="U1261" s="6">
        <v>37992</v>
      </c>
      <c r="V1261" s="2">
        <v>47037016200</v>
      </c>
      <c r="W1261" s="2" t="s">
        <v>68</v>
      </c>
      <c r="X1261" s="1">
        <v>45658</v>
      </c>
      <c r="Y1261" s="2">
        <v>576000</v>
      </c>
      <c r="Z1261" s="2">
        <v>0</v>
      </c>
      <c r="AA1261" s="2">
        <v>576000</v>
      </c>
    </row>
    <row r="1262" spans="1:27" x14ac:dyDescent="0.3">
      <c r="A1262" s="3">
        <v>17</v>
      </c>
      <c r="B1262" s="2" t="str">
        <f>"10501049500"</f>
        <v>10501049500</v>
      </c>
      <c r="C1262" s="2" t="s">
        <v>4684</v>
      </c>
      <c r="D1262" t="s">
        <v>29</v>
      </c>
      <c r="E1262" s="2" t="s">
        <v>30</v>
      </c>
      <c r="F1262" s="2">
        <v>37203</v>
      </c>
      <c r="G1262" s="2" t="s">
        <v>64</v>
      </c>
      <c r="H1262" t="s">
        <v>4685</v>
      </c>
      <c r="I1262" s="6">
        <v>30768</v>
      </c>
      <c r="J1262" s="2" t="s">
        <v>4686</v>
      </c>
      <c r="K1262" s="2" t="s">
        <v>34</v>
      </c>
      <c r="L1262" t="s">
        <v>35</v>
      </c>
      <c r="M1262" t="s">
        <v>29</v>
      </c>
      <c r="N1262" t="s">
        <v>30</v>
      </c>
      <c r="O1262">
        <v>37219</v>
      </c>
      <c r="P1262" t="s">
        <v>4687</v>
      </c>
      <c r="Q1262" s="2">
        <v>0.37</v>
      </c>
      <c r="R1262" s="2">
        <v>62</v>
      </c>
      <c r="S1262" s="2">
        <v>78</v>
      </c>
      <c r="T1262" t="s">
        <v>4688</v>
      </c>
      <c r="U1262" s="6">
        <v>30775</v>
      </c>
      <c r="V1262" s="2">
        <v>47037016200</v>
      </c>
      <c r="W1262" s="2" t="s">
        <v>68</v>
      </c>
      <c r="X1262" s="1">
        <v>45658</v>
      </c>
      <c r="Y1262" s="2">
        <v>644800</v>
      </c>
      <c r="Z1262" s="2">
        <v>0</v>
      </c>
      <c r="AA1262" s="2">
        <v>644800</v>
      </c>
    </row>
    <row r="1263" spans="1:27" x14ac:dyDescent="0.3">
      <c r="A1263" s="3">
        <v>17</v>
      </c>
      <c r="B1263" s="2" t="str">
        <f>"09313053800"</f>
        <v>09313053800</v>
      </c>
      <c r="C1263" s="2" t="s">
        <v>4689</v>
      </c>
      <c r="D1263" t="s">
        <v>29</v>
      </c>
      <c r="E1263" s="2" t="s">
        <v>30</v>
      </c>
      <c r="F1263" s="2">
        <v>37203</v>
      </c>
      <c r="G1263" s="2" t="s">
        <v>200</v>
      </c>
      <c r="H1263" t="s">
        <v>4690</v>
      </c>
      <c r="I1263" s="6">
        <v>26567</v>
      </c>
      <c r="J1263" s="2" t="s">
        <v>4691</v>
      </c>
      <c r="K1263" s="2" t="s">
        <v>34</v>
      </c>
      <c r="L1263" t="s">
        <v>35</v>
      </c>
      <c r="M1263" t="s">
        <v>29</v>
      </c>
      <c r="N1263" t="s">
        <v>30</v>
      </c>
      <c r="O1263">
        <v>37219</v>
      </c>
      <c r="P1263" t="s">
        <v>4692</v>
      </c>
      <c r="Q1263" s="2">
        <v>2.5499999999999998</v>
      </c>
      <c r="R1263" s="2">
        <v>680</v>
      </c>
      <c r="S1263" s="2">
        <v>118</v>
      </c>
      <c r="T1263" t="s">
        <v>4691</v>
      </c>
      <c r="U1263" s="6">
        <v>26567</v>
      </c>
      <c r="V1263" s="2">
        <v>47037016300</v>
      </c>
      <c r="W1263" s="2" t="s">
        <v>68</v>
      </c>
      <c r="X1263" s="1">
        <v>45658</v>
      </c>
      <c r="Y1263" s="2">
        <v>1860000</v>
      </c>
      <c r="Z1263" s="2">
        <v>0</v>
      </c>
      <c r="AA1263" s="2">
        <v>1860000</v>
      </c>
    </row>
    <row r="1264" spans="1:27" x14ac:dyDescent="0.3">
      <c r="A1264" s="3">
        <v>17</v>
      </c>
      <c r="B1264" s="2" t="str">
        <f>"09316041900"</f>
        <v>09316041900</v>
      </c>
      <c r="C1264" s="2" t="s">
        <v>4693</v>
      </c>
      <c r="D1264" t="s">
        <v>29</v>
      </c>
      <c r="E1264" s="2" t="s">
        <v>30</v>
      </c>
      <c r="F1264" s="2">
        <v>37210</v>
      </c>
      <c r="G1264" s="2" t="s">
        <v>64</v>
      </c>
      <c r="H1264" t="s">
        <v>1332</v>
      </c>
      <c r="I1264" s="6">
        <v>35018</v>
      </c>
      <c r="J1264" s="2" t="s">
        <v>4694</v>
      </c>
      <c r="K1264" s="2" t="s">
        <v>34</v>
      </c>
      <c r="L1264" t="s">
        <v>35</v>
      </c>
      <c r="M1264" t="s">
        <v>29</v>
      </c>
      <c r="N1264" t="s">
        <v>30</v>
      </c>
      <c r="O1264">
        <v>37219</v>
      </c>
      <c r="P1264" t="s">
        <v>4695</v>
      </c>
      <c r="Q1264" s="2">
        <v>0.11</v>
      </c>
      <c r="R1264" s="2">
        <v>30</v>
      </c>
      <c r="S1264" s="2">
        <v>165</v>
      </c>
      <c r="T1264" t="s">
        <v>4696</v>
      </c>
      <c r="U1264" s="6">
        <v>4879</v>
      </c>
      <c r="V1264" s="2">
        <v>47037014800</v>
      </c>
      <c r="W1264" s="2" t="s">
        <v>68</v>
      </c>
      <c r="X1264" s="1">
        <v>45658</v>
      </c>
      <c r="Y1264" s="2">
        <v>160000</v>
      </c>
      <c r="Z1264" s="2">
        <v>0</v>
      </c>
      <c r="AA1264" s="2">
        <v>160000</v>
      </c>
    </row>
    <row r="1265" spans="1:27" x14ac:dyDescent="0.3">
      <c r="A1265" s="3">
        <v>17</v>
      </c>
      <c r="B1265" s="2" t="str">
        <f>"11804013900"</f>
        <v>11804013900</v>
      </c>
      <c r="C1265" s="2" t="s">
        <v>4697</v>
      </c>
      <c r="D1265" t="s">
        <v>29</v>
      </c>
      <c r="E1265" s="2" t="s">
        <v>30</v>
      </c>
      <c r="F1265" s="2">
        <v>37211</v>
      </c>
      <c r="G1265" s="2" t="s">
        <v>253</v>
      </c>
      <c r="H1265" t="s">
        <v>4698</v>
      </c>
      <c r="I1265" s="6">
        <v>13717</v>
      </c>
      <c r="J1265" s="2" t="s">
        <v>4699</v>
      </c>
      <c r="K1265" s="2" t="s">
        <v>34</v>
      </c>
      <c r="L1265" t="s">
        <v>35</v>
      </c>
      <c r="M1265" t="s">
        <v>29</v>
      </c>
      <c r="N1265" t="s">
        <v>30</v>
      </c>
      <c r="O1265">
        <v>37219</v>
      </c>
      <c r="P1265" t="s">
        <v>4700</v>
      </c>
      <c r="Q1265" s="2">
        <v>6.72</v>
      </c>
      <c r="R1265" s="2">
        <v>0</v>
      </c>
      <c r="S1265" s="2">
        <v>0</v>
      </c>
      <c r="T1265" t="s">
        <v>4699</v>
      </c>
      <c r="U1265" s="6">
        <v>13717</v>
      </c>
      <c r="V1265" s="2">
        <v>47037017200</v>
      </c>
      <c r="W1265" s="2" t="s">
        <v>68</v>
      </c>
      <c r="X1265" s="1">
        <v>45658</v>
      </c>
      <c r="Y1265" s="2">
        <v>3326600</v>
      </c>
      <c r="Z1265" s="2">
        <v>1772900</v>
      </c>
      <c r="AA1265" s="2">
        <v>1553700</v>
      </c>
    </row>
    <row r="1266" spans="1:27" x14ac:dyDescent="0.3">
      <c r="A1266" s="3">
        <v>17</v>
      </c>
      <c r="B1266" s="2" t="str">
        <f>"09315036600"</f>
        <v>09315036600</v>
      </c>
      <c r="C1266" s="2" t="s">
        <v>4701</v>
      </c>
      <c r="D1266" t="s">
        <v>29</v>
      </c>
      <c r="E1266" s="2" t="s">
        <v>30</v>
      </c>
      <c r="F1266" s="2">
        <v>37210</v>
      </c>
      <c r="G1266" s="2" t="s">
        <v>253</v>
      </c>
      <c r="H1266" t="s">
        <v>4702</v>
      </c>
      <c r="I1266" s="6">
        <v>27395</v>
      </c>
      <c r="J1266" s="2" t="s">
        <v>4703</v>
      </c>
      <c r="K1266" s="2" t="s">
        <v>34</v>
      </c>
      <c r="L1266" t="s">
        <v>35</v>
      </c>
      <c r="M1266" t="s">
        <v>29</v>
      </c>
      <c r="N1266" t="s">
        <v>30</v>
      </c>
      <c r="O1266">
        <v>37219</v>
      </c>
      <c r="P1266" t="s">
        <v>4704</v>
      </c>
      <c r="Q1266" s="2">
        <v>7.8</v>
      </c>
      <c r="R1266" s="2">
        <v>0</v>
      </c>
      <c r="S1266" s="2">
        <v>0</v>
      </c>
      <c r="T1266" t="s">
        <v>4705</v>
      </c>
      <c r="U1266" s="6">
        <v>14457</v>
      </c>
      <c r="V1266" s="2">
        <v>47037016000</v>
      </c>
      <c r="W1266" s="2" t="s">
        <v>68</v>
      </c>
      <c r="X1266" s="1">
        <v>45658</v>
      </c>
      <c r="Y1266" s="2">
        <v>3510000</v>
      </c>
      <c r="Z1266" s="2">
        <v>0</v>
      </c>
      <c r="AA1266" s="2">
        <v>3510000</v>
      </c>
    </row>
    <row r="1267" spans="1:27" x14ac:dyDescent="0.3">
      <c r="A1267" s="3">
        <v>17</v>
      </c>
      <c r="B1267" s="2" t="str">
        <f>"10501048900"</f>
        <v>10501048900</v>
      </c>
      <c r="C1267" s="2" t="s">
        <v>4706</v>
      </c>
      <c r="D1267" t="s">
        <v>29</v>
      </c>
      <c r="E1267" s="2" t="s">
        <v>30</v>
      </c>
      <c r="F1267" s="2">
        <v>37203</v>
      </c>
      <c r="G1267" s="2" t="s">
        <v>200</v>
      </c>
      <c r="H1267" t="s">
        <v>4707</v>
      </c>
      <c r="I1267" s="6">
        <v>26700</v>
      </c>
      <c r="J1267" s="2" t="s">
        <v>4708</v>
      </c>
      <c r="K1267" s="2" t="s">
        <v>34</v>
      </c>
      <c r="L1267" t="s">
        <v>35</v>
      </c>
      <c r="M1267" t="s">
        <v>29</v>
      </c>
      <c r="N1267" t="s">
        <v>30</v>
      </c>
      <c r="O1267">
        <v>37219</v>
      </c>
      <c r="P1267" t="s">
        <v>4709</v>
      </c>
      <c r="Q1267" s="2">
        <v>0.67</v>
      </c>
      <c r="R1267" s="2">
        <v>172</v>
      </c>
      <c r="S1267" s="2">
        <v>169</v>
      </c>
      <c r="T1267" t="s">
        <v>278</v>
      </c>
      <c r="U1267" s="6">
        <v>36586</v>
      </c>
      <c r="V1267" s="2">
        <v>47037016200</v>
      </c>
      <c r="W1267" s="2" t="s">
        <v>68</v>
      </c>
      <c r="X1267" s="1">
        <v>45658</v>
      </c>
      <c r="Y1267" s="2">
        <v>744000</v>
      </c>
      <c r="Z1267" s="2">
        <v>0</v>
      </c>
      <c r="AA1267" s="2">
        <v>744000</v>
      </c>
    </row>
    <row r="1268" spans="1:27" x14ac:dyDescent="0.3">
      <c r="A1268" s="3">
        <v>17</v>
      </c>
      <c r="B1268" s="2" t="str">
        <f>"10501049000"</f>
        <v>10501049000</v>
      </c>
      <c r="C1268" s="2" t="s">
        <v>4710</v>
      </c>
      <c r="D1268" t="s">
        <v>29</v>
      </c>
      <c r="E1268" s="2" t="s">
        <v>30</v>
      </c>
      <c r="F1268" s="2">
        <v>37203</v>
      </c>
      <c r="G1268" s="2" t="s">
        <v>253</v>
      </c>
      <c r="H1268" t="s">
        <v>4707</v>
      </c>
      <c r="I1268" s="6">
        <v>27395</v>
      </c>
      <c r="J1268" s="2" t="s">
        <v>4711</v>
      </c>
      <c r="K1268" s="2" t="s">
        <v>34</v>
      </c>
      <c r="L1268" t="s">
        <v>35</v>
      </c>
      <c r="M1268" t="s">
        <v>29</v>
      </c>
      <c r="N1268" t="s">
        <v>30</v>
      </c>
      <c r="O1268">
        <v>37219</v>
      </c>
      <c r="P1268" t="s">
        <v>4712</v>
      </c>
      <c r="Q1268" s="2">
        <v>5.35</v>
      </c>
      <c r="R1268" s="2">
        <v>0</v>
      </c>
      <c r="S1268" s="2">
        <v>0</v>
      </c>
      <c r="T1268" t="s">
        <v>4713</v>
      </c>
      <c r="U1268" s="6">
        <v>14373</v>
      </c>
      <c r="V1268" s="2">
        <v>47037016200</v>
      </c>
      <c r="W1268" s="2" t="s">
        <v>68</v>
      </c>
      <c r="X1268" s="1">
        <v>45658</v>
      </c>
      <c r="Y1268" s="2">
        <v>2232000</v>
      </c>
      <c r="Z1268" s="2">
        <v>0</v>
      </c>
      <c r="AA1268" s="2">
        <v>2232000</v>
      </c>
    </row>
    <row r="1269" spans="1:27" x14ac:dyDescent="0.3">
      <c r="A1269" s="3">
        <v>17</v>
      </c>
      <c r="B1269" s="2" t="str">
        <f>"10511019800"</f>
        <v>10511019800</v>
      </c>
      <c r="C1269" s="2" t="s">
        <v>4714</v>
      </c>
      <c r="D1269" t="s">
        <v>29</v>
      </c>
      <c r="E1269" s="2" t="s">
        <v>30</v>
      </c>
      <c r="F1269" s="2">
        <v>37203</v>
      </c>
      <c r="G1269" s="2" t="s">
        <v>253</v>
      </c>
      <c r="H1269" t="s">
        <v>4715</v>
      </c>
      <c r="I1269" s="6">
        <v>7321</v>
      </c>
      <c r="J1269" s="2" t="s">
        <v>4716</v>
      </c>
      <c r="K1269" s="2" t="s">
        <v>34</v>
      </c>
      <c r="L1269" t="s">
        <v>35</v>
      </c>
      <c r="M1269" t="s">
        <v>29</v>
      </c>
      <c r="N1269" t="s">
        <v>30</v>
      </c>
      <c r="O1269">
        <v>37219</v>
      </c>
      <c r="P1269" t="s">
        <v>4717</v>
      </c>
      <c r="Q1269" s="2">
        <v>8.3000000000000007</v>
      </c>
      <c r="R1269" s="2">
        <v>0</v>
      </c>
      <c r="S1269" s="2">
        <v>0</v>
      </c>
      <c r="T1269" t="s">
        <v>4718</v>
      </c>
      <c r="U1269" s="6">
        <v>36530</v>
      </c>
      <c r="V1269" s="2">
        <v>47037016100</v>
      </c>
      <c r="W1269" s="2" t="s">
        <v>68</v>
      </c>
      <c r="X1269" s="1">
        <v>45658</v>
      </c>
      <c r="Y1269" s="2">
        <v>8533200</v>
      </c>
      <c r="Z1269" s="2">
        <v>0</v>
      </c>
      <c r="AA1269" s="2">
        <v>8533200</v>
      </c>
    </row>
    <row r="1270" spans="1:27" x14ac:dyDescent="0.3">
      <c r="A1270" s="3">
        <v>17</v>
      </c>
      <c r="B1270" s="2" t="str">
        <f>"10503029500"</f>
        <v>10503029500</v>
      </c>
      <c r="C1270" s="2" t="s">
        <v>4719</v>
      </c>
      <c r="D1270" t="s">
        <v>29</v>
      </c>
      <c r="E1270" s="2" t="s">
        <v>30</v>
      </c>
      <c r="F1270" s="2">
        <v>37210</v>
      </c>
      <c r="G1270" s="2" t="s">
        <v>253</v>
      </c>
      <c r="H1270" t="s">
        <v>4720</v>
      </c>
      <c r="I1270" s="6">
        <v>27395</v>
      </c>
      <c r="J1270" s="2" t="s">
        <v>4721</v>
      </c>
      <c r="K1270" s="2" t="s">
        <v>34</v>
      </c>
      <c r="L1270" t="s">
        <v>35</v>
      </c>
      <c r="M1270" t="s">
        <v>29</v>
      </c>
      <c r="N1270" t="s">
        <v>30</v>
      </c>
      <c r="O1270">
        <v>37219</v>
      </c>
      <c r="P1270" t="s">
        <v>4722</v>
      </c>
      <c r="Q1270" s="2">
        <v>4.13</v>
      </c>
      <c r="R1270" s="2">
        <v>0</v>
      </c>
      <c r="S1270" s="2">
        <v>0</v>
      </c>
      <c r="T1270" t="s">
        <v>278</v>
      </c>
      <c r="U1270" s="6">
        <v>36581</v>
      </c>
      <c r="V1270" s="2">
        <v>47037016000</v>
      </c>
      <c r="W1270" s="2" t="s">
        <v>68</v>
      </c>
      <c r="X1270" s="1">
        <v>45658</v>
      </c>
      <c r="Y1270" s="2">
        <v>2013400</v>
      </c>
      <c r="Z1270" s="2">
        <v>0</v>
      </c>
      <c r="AA1270" s="2">
        <v>2013400</v>
      </c>
    </row>
    <row r="1271" spans="1:27" x14ac:dyDescent="0.3">
      <c r="A1271" s="3">
        <v>17</v>
      </c>
      <c r="B1271" s="2" t="str">
        <f>"10505012500"</f>
        <v>10505012500</v>
      </c>
      <c r="C1271" s="2" t="s">
        <v>4723</v>
      </c>
      <c r="D1271" t="s">
        <v>29</v>
      </c>
      <c r="E1271" s="2" t="s">
        <v>30</v>
      </c>
      <c r="F1271" s="2">
        <v>37212</v>
      </c>
      <c r="G1271" s="2" t="s">
        <v>253</v>
      </c>
      <c r="H1271" t="s">
        <v>4724</v>
      </c>
      <c r="I1271" s="6">
        <v>28369</v>
      </c>
      <c r="J1271" s="2" t="s">
        <v>4725</v>
      </c>
      <c r="K1271" s="2" t="s">
        <v>34</v>
      </c>
      <c r="L1271" t="s">
        <v>35</v>
      </c>
      <c r="M1271" t="s">
        <v>29</v>
      </c>
      <c r="N1271" t="s">
        <v>30</v>
      </c>
      <c r="O1271">
        <v>37219</v>
      </c>
      <c r="P1271" t="s">
        <v>4726</v>
      </c>
      <c r="Q1271" s="2">
        <v>7.26</v>
      </c>
      <c r="R1271" s="2">
        <v>1084</v>
      </c>
      <c r="S1271" s="2">
        <v>0</v>
      </c>
      <c r="T1271" t="s">
        <v>4592</v>
      </c>
      <c r="U1271" s="6">
        <v>41682</v>
      </c>
      <c r="V1271" s="2">
        <v>47037016300</v>
      </c>
      <c r="W1271" s="2" t="s">
        <v>68</v>
      </c>
      <c r="X1271" s="1">
        <v>45658</v>
      </c>
      <c r="Y1271" s="2">
        <v>7797200</v>
      </c>
      <c r="Z1271" s="2">
        <v>0</v>
      </c>
      <c r="AA1271" s="2">
        <v>7797200</v>
      </c>
    </row>
    <row r="1272" spans="1:27" x14ac:dyDescent="0.3">
      <c r="A1272" s="3">
        <v>17</v>
      </c>
      <c r="B1272" s="2" t="str">
        <f>"09316034100"</f>
        <v>09316034100</v>
      </c>
      <c r="C1272" s="2" t="s">
        <v>4727</v>
      </c>
      <c r="D1272" t="s">
        <v>29</v>
      </c>
      <c r="E1272" s="2" t="s">
        <v>30</v>
      </c>
      <c r="F1272" s="2">
        <v>37210</v>
      </c>
      <c r="G1272" s="2" t="s">
        <v>253</v>
      </c>
      <c r="H1272" t="s">
        <v>4728</v>
      </c>
      <c r="I1272" s="6">
        <v>23841</v>
      </c>
      <c r="J1272" s="2" t="s">
        <v>4729</v>
      </c>
      <c r="K1272" s="2" t="s">
        <v>34</v>
      </c>
      <c r="L1272" t="s">
        <v>35</v>
      </c>
      <c r="M1272" t="s">
        <v>29</v>
      </c>
      <c r="N1272" t="s">
        <v>30</v>
      </c>
      <c r="O1272">
        <v>37219</v>
      </c>
      <c r="P1272" t="s">
        <v>4730</v>
      </c>
      <c r="Q1272" s="2">
        <v>5.63</v>
      </c>
      <c r="R1272" s="2">
        <v>522</v>
      </c>
      <c r="S1272" s="2">
        <v>432</v>
      </c>
      <c r="T1272" t="s">
        <v>278</v>
      </c>
      <c r="U1272" s="6">
        <v>36587</v>
      </c>
      <c r="V1272" s="2">
        <v>47037014800</v>
      </c>
      <c r="W1272" s="2" t="s">
        <v>68</v>
      </c>
      <c r="X1272" s="1">
        <v>45658</v>
      </c>
      <c r="Y1272" s="2">
        <v>2800000</v>
      </c>
      <c r="Z1272" s="2">
        <v>0</v>
      </c>
      <c r="AA1272" s="2">
        <v>2800000</v>
      </c>
    </row>
    <row r="1273" spans="1:27" x14ac:dyDescent="0.3">
      <c r="A1273" s="3">
        <v>17</v>
      </c>
      <c r="B1273" s="2" t="str">
        <f>"10502043600"</f>
        <v>10502043600</v>
      </c>
      <c r="C1273" s="2" t="s">
        <v>4731</v>
      </c>
      <c r="D1273" t="s">
        <v>29</v>
      </c>
      <c r="E1273" s="2" t="s">
        <v>30</v>
      </c>
      <c r="F1273" s="2">
        <v>37203</v>
      </c>
      <c r="G1273" s="2" t="s">
        <v>2490</v>
      </c>
      <c r="H1273" t="s">
        <v>4732</v>
      </c>
      <c r="I1273" s="6">
        <v>25542</v>
      </c>
      <c r="J1273" s="2" t="s">
        <v>4733</v>
      </c>
      <c r="K1273" s="2" t="s">
        <v>34</v>
      </c>
      <c r="L1273" t="s">
        <v>35</v>
      </c>
      <c r="M1273" t="s">
        <v>29</v>
      </c>
      <c r="N1273" t="s">
        <v>30</v>
      </c>
      <c r="O1273">
        <v>37219</v>
      </c>
      <c r="P1273" t="s">
        <v>4734</v>
      </c>
      <c r="Q1273" s="2">
        <v>4.58</v>
      </c>
      <c r="R1273" s="2">
        <v>277</v>
      </c>
      <c r="S1273" s="2">
        <v>594</v>
      </c>
      <c r="T1273" t="s">
        <v>4735</v>
      </c>
      <c r="U1273" s="6">
        <v>30327</v>
      </c>
      <c r="V1273" s="2">
        <v>47037016200</v>
      </c>
      <c r="W1273" s="2" t="s">
        <v>68</v>
      </c>
      <c r="X1273" s="1">
        <v>45658</v>
      </c>
      <c r="Y1273" s="2">
        <v>3003000</v>
      </c>
      <c r="Z1273" s="2">
        <v>27000</v>
      </c>
      <c r="AA1273" s="2">
        <v>2976000</v>
      </c>
    </row>
    <row r="1274" spans="1:27" x14ac:dyDescent="0.3">
      <c r="A1274" s="3">
        <v>17</v>
      </c>
      <c r="B1274" s="2" t="str">
        <f>"10502017100"</f>
        <v>10502017100</v>
      </c>
      <c r="C1274" s="2" t="s">
        <v>4736</v>
      </c>
      <c r="D1274" t="s">
        <v>29</v>
      </c>
      <c r="E1274" s="2" t="s">
        <v>30</v>
      </c>
      <c r="F1274" s="2">
        <v>37203</v>
      </c>
      <c r="G1274" s="2" t="s">
        <v>253</v>
      </c>
      <c r="H1274" t="s">
        <v>4732</v>
      </c>
      <c r="I1274" s="6">
        <v>20821</v>
      </c>
      <c r="J1274" s="2" t="s">
        <v>4737</v>
      </c>
      <c r="K1274" s="2" t="s">
        <v>34</v>
      </c>
      <c r="L1274" t="s">
        <v>35</v>
      </c>
      <c r="M1274" t="s">
        <v>29</v>
      </c>
      <c r="N1274" t="s">
        <v>30</v>
      </c>
      <c r="O1274">
        <v>37219</v>
      </c>
      <c r="P1274" t="s">
        <v>4738</v>
      </c>
      <c r="Q1274" s="2">
        <v>5.14</v>
      </c>
      <c r="R1274" s="2">
        <v>588</v>
      </c>
      <c r="S1274" s="2">
        <v>572</v>
      </c>
      <c r="T1274" t="s">
        <v>4739</v>
      </c>
      <c r="U1274" s="6">
        <v>22721</v>
      </c>
      <c r="V1274" s="2">
        <v>47037016200</v>
      </c>
      <c r="W1274" s="2" t="s">
        <v>68</v>
      </c>
      <c r="X1274" s="1">
        <v>45658</v>
      </c>
      <c r="Y1274" s="2">
        <v>2976000</v>
      </c>
      <c r="Z1274" s="2">
        <v>0</v>
      </c>
      <c r="AA1274" s="2">
        <v>2976000</v>
      </c>
    </row>
    <row r="1275" spans="1:27" x14ac:dyDescent="0.3">
      <c r="A1275" s="3">
        <v>17</v>
      </c>
      <c r="B1275" s="2" t="str">
        <f>"09316024100"</f>
        <v>09316024100</v>
      </c>
      <c r="C1275" s="2" t="s">
        <v>4740</v>
      </c>
      <c r="D1275" t="s">
        <v>29</v>
      </c>
      <c r="E1275" s="2" t="s">
        <v>30</v>
      </c>
      <c r="F1275" s="2">
        <v>37210</v>
      </c>
      <c r="G1275" s="2" t="s">
        <v>152</v>
      </c>
      <c r="H1275" t="s">
        <v>280</v>
      </c>
      <c r="I1275" s="6">
        <v>34610</v>
      </c>
      <c r="J1275" s="2" t="s">
        <v>4741</v>
      </c>
      <c r="K1275" s="2">
        <v>0</v>
      </c>
      <c r="L1275" t="s">
        <v>35</v>
      </c>
      <c r="M1275" t="s">
        <v>29</v>
      </c>
      <c r="N1275" t="s">
        <v>30</v>
      </c>
      <c r="O1275">
        <v>37219</v>
      </c>
      <c r="P1275" t="s">
        <v>4742</v>
      </c>
      <c r="Q1275" s="2">
        <v>0.09</v>
      </c>
      <c r="R1275" s="2">
        <v>35</v>
      </c>
      <c r="S1275" s="2">
        <v>112</v>
      </c>
      <c r="T1275" t="s">
        <v>4743</v>
      </c>
      <c r="U1275" s="6">
        <v>25875</v>
      </c>
      <c r="V1275" s="2">
        <v>47037014800</v>
      </c>
      <c r="W1275" s="2" t="s">
        <v>68</v>
      </c>
      <c r="X1275" s="1">
        <v>45658</v>
      </c>
      <c r="Y1275" s="2">
        <v>156800</v>
      </c>
      <c r="Z1275" s="2">
        <v>0</v>
      </c>
      <c r="AA1275" s="2">
        <v>156800</v>
      </c>
    </row>
    <row r="1276" spans="1:27" x14ac:dyDescent="0.3">
      <c r="A1276" s="3">
        <v>17</v>
      </c>
      <c r="B1276" s="2" t="str">
        <f>"10504025300"</f>
        <v>10504025300</v>
      </c>
      <c r="C1276" s="2" t="s">
        <v>4744</v>
      </c>
      <c r="D1276" t="s">
        <v>29</v>
      </c>
      <c r="E1276" s="2" t="s">
        <v>30</v>
      </c>
      <c r="F1276" s="2">
        <v>37210</v>
      </c>
      <c r="G1276" s="2" t="s">
        <v>152</v>
      </c>
      <c r="H1276" t="s">
        <v>280</v>
      </c>
      <c r="I1276" s="6">
        <v>34577</v>
      </c>
      <c r="J1276" s="2" t="s">
        <v>4745</v>
      </c>
      <c r="K1276" s="2">
        <v>0</v>
      </c>
      <c r="L1276" t="s">
        <v>35</v>
      </c>
      <c r="M1276" t="s">
        <v>29</v>
      </c>
      <c r="N1276" t="s">
        <v>30</v>
      </c>
      <c r="O1276">
        <v>37219</v>
      </c>
      <c r="P1276" t="s">
        <v>4746</v>
      </c>
      <c r="Q1276" s="2">
        <v>0.18</v>
      </c>
      <c r="R1276" s="2">
        <v>50</v>
      </c>
      <c r="S1276" s="2">
        <v>161</v>
      </c>
      <c r="T1276" t="s">
        <v>4747</v>
      </c>
      <c r="U1276" s="6">
        <v>24289</v>
      </c>
      <c r="V1276" s="2">
        <v>47037016000</v>
      </c>
      <c r="W1276" s="2" t="s">
        <v>68</v>
      </c>
      <c r="X1276" s="1">
        <v>45658</v>
      </c>
      <c r="Y1276" s="2">
        <v>198000</v>
      </c>
      <c r="Z1276" s="2">
        <v>0</v>
      </c>
      <c r="AA1276" s="2">
        <v>198000</v>
      </c>
    </row>
    <row r="1277" spans="1:27" x14ac:dyDescent="0.3">
      <c r="A1277" s="3">
        <v>17</v>
      </c>
      <c r="B1277" s="2" t="str">
        <f>"10504026800"</f>
        <v>10504026800</v>
      </c>
      <c r="C1277" s="2" t="s">
        <v>4748</v>
      </c>
      <c r="D1277" t="s">
        <v>29</v>
      </c>
      <c r="E1277" s="2" t="s">
        <v>30</v>
      </c>
      <c r="F1277" s="2">
        <v>37210</v>
      </c>
      <c r="G1277" s="2" t="s">
        <v>41</v>
      </c>
      <c r="H1277" t="s">
        <v>280</v>
      </c>
      <c r="I1277" s="6">
        <v>33930</v>
      </c>
      <c r="J1277" s="2" t="s">
        <v>4749</v>
      </c>
      <c r="K1277" s="2" t="s">
        <v>34</v>
      </c>
      <c r="L1277" t="s">
        <v>35</v>
      </c>
      <c r="M1277" t="s">
        <v>29</v>
      </c>
      <c r="N1277" t="s">
        <v>30</v>
      </c>
      <c r="O1277">
        <v>37219</v>
      </c>
      <c r="P1277" t="s">
        <v>4750</v>
      </c>
      <c r="Q1277" s="2">
        <v>7.0000000000000007E-2</v>
      </c>
      <c r="R1277" s="2">
        <v>32</v>
      </c>
      <c r="S1277" s="2">
        <v>96</v>
      </c>
      <c r="T1277" t="s">
        <v>4751</v>
      </c>
      <c r="U1277" s="6">
        <v>24372</v>
      </c>
      <c r="V1277" s="2">
        <v>47037016000</v>
      </c>
      <c r="W1277" s="2" t="s">
        <v>68</v>
      </c>
      <c r="X1277" s="1">
        <v>45658</v>
      </c>
      <c r="Y1277" s="2">
        <v>55900</v>
      </c>
      <c r="Z1277" s="2">
        <v>0</v>
      </c>
      <c r="AA1277" s="2">
        <v>55900</v>
      </c>
    </row>
    <row r="1278" spans="1:27" x14ac:dyDescent="0.3">
      <c r="A1278" s="3">
        <v>17</v>
      </c>
      <c r="B1278" s="2" t="str">
        <f>"10504026900"</f>
        <v>10504026900</v>
      </c>
      <c r="C1278" s="2" t="s">
        <v>4507</v>
      </c>
      <c r="D1278" t="s">
        <v>29</v>
      </c>
      <c r="E1278" s="2" t="s">
        <v>30</v>
      </c>
      <c r="F1278" s="2">
        <v>37210</v>
      </c>
      <c r="G1278" s="2" t="s">
        <v>41</v>
      </c>
      <c r="H1278" t="s">
        <v>280</v>
      </c>
      <c r="I1278" s="6">
        <v>40051</v>
      </c>
      <c r="J1278" s="2" t="s">
        <v>4752</v>
      </c>
      <c r="K1278" s="2">
        <v>4640</v>
      </c>
      <c r="L1278" t="s">
        <v>35</v>
      </c>
      <c r="M1278" t="s">
        <v>29</v>
      </c>
      <c r="N1278" t="s">
        <v>30</v>
      </c>
      <c r="O1278">
        <v>37219</v>
      </c>
      <c r="P1278" t="s">
        <v>4750</v>
      </c>
      <c r="Q1278" s="2">
        <v>0.02</v>
      </c>
      <c r="R1278" s="2">
        <v>22</v>
      </c>
      <c r="S1278" s="2">
        <v>95</v>
      </c>
      <c r="T1278" t="s">
        <v>4751</v>
      </c>
      <c r="U1278" s="6">
        <v>24372</v>
      </c>
      <c r="V1278" s="2">
        <v>47037016000</v>
      </c>
      <c r="W1278" s="2" t="s">
        <v>68</v>
      </c>
      <c r="X1278" s="1">
        <v>45658</v>
      </c>
      <c r="Y1278" s="2">
        <v>38000</v>
      </c>
      <c r="Z1278" s="2">
        <v>0</v>
      </c>
      <c r="AA1278" s="2">
        <v>38000</v>
      </c>
    </row>
    <row r="1279" spans="1:27" x14ac:dyDescent="0.3">
      <c r="A1279" s="3">
        <v>17</v>
      </c>
      <c r="B1279" s="2" t="str">
        <f>"10508003000"</f>
        <v>10508003000</v>
      </c>
      <c r="C1279" s="2" t="s">
        <v>4753</v>
      </c>
      <c r="D1279" t="s">
        <v>29</v>
      </c>
      <c r="E1279" s="2" t="s">
        <v>30</v>
      </c>
      <c r="F1279" s="2">
        <v>37210</v>
      </c>
      <c r="G1279" s="2" t="s">
        <v>152</v>
      </c>
      <c r="H1279" t="s">
        <v>280</v>
      </c>
      <c r="I1279" s="6">
        <v>27395</v>
      </c>
      <c r="J1279" s="2" t="s">
        <v>4754</v>
      </c>
      <c r="K1279" s="2">
        <v>0</v>
      </c>
      <c r="L1279" t="s">
        <v>35</v>
      </c>
      <c r="M1279" t="s">
        <v>29</v>
      </c>
      <c r="N1279" t="s">
        <v>30</v>
      </c>
      <c r="O1279">
        <v>37219</v>
      </c>
      <c r="P1279" t="s">
        <v>4755</v>
      </c>
      <c r="Q1279" s="2">
        <v>0.28999999999999998</v>
      </c>
      <c r="R1279" s="2">
        <v>64</v>
      </c>
      <c r="S1279" s="2">
        <v>240</v>
      </c>
      <c r="T1279" t="s">
        <v>4756</v>
      </c>
      <c r="U1279" s="2" t="s">
        <v>4757</v>
      </c>
      <c r="V1279" s="2">
        <v>47037016000</v>
      </c>
      <c r="W1279" s="2" t="s">
        <v>68</v>
      </c>
      <c r="X1279" s="1">
        <v>45658</v>
      </c>
      <c r="Y1279" s="2">
        <v>328400</v>
      </c>
      <c r="Z1279" s="2">
        <v>0</v>
      </c>
      <c r="AA1279" s="2">
        <v>328400</v>
      </c>
    </row>
    <row r="1280" spans="1:27" x14ac:dyDescent="0.3">
      <c r="A1280" s="3">
        <v>17</v>
      </c>
      <c r="B1280" s="2" t="str">
        <f>"10508011300"</f>
        <v>10508011300</v>
      </c>
      <c r="C1280" s="2" t="s">
        <v>4758</v>
      </c>
      <c r="D1280" t="s">
        <v>29</v>
      </c>
      <c r="E1280" s="2" t="s">
        <v>30</v>
      </c>
      <c r="F1280" s="2">
        <v>37210</v>
      </c>
      <c r="G1280" s="2" t="s">
        <v>1485</v>
      </c>
      <c r="H1280" t="s">
        <v>280</v>
      </c>
      <c r="I1280" s="6">
        <v>36169</v>
      </c>
      <c r="J1280" s="2" t="s">
        <v>4759</v>
      </c>
      <c r="K1280" s="2">
        <v>0</v>
      </c>
      <c r="L1280" t="s">
        <v>35</v>
      </c>
      <c r="M1280" t="s">
        <v>29</v>
      </c>
      <c r="N1280" t="s">
        <v>30</v>
      </c>
      <c r="O1280">
        <v>37219</v>
      </c>
      <c r="P1280" t="s">
        <v>4760</v>
      </c>
      <c r="Q1280" s="2">
        <v>0.17</v>
      </c>
      <c r="R1280" s="2">
        <v>50</v>
      </c>
      <c r="S1280" s="2">
        <v>149</v>
      </c>
      <c r="T1280" t="s">
        <v>4761</v>
      </c>
      <c r="U1280" s="6">
        <v>23117</v>
      </c>
      <c r="V1280" s="2">
        <v>47037016000</v>
      </c>
      <c r="W1280" s="2" t="s">
        <v>68</v>
      </c>
      <c r="X1280" s="1">
        <v>45658</v>
      </c>
      <c r="Y1280" s="2">
        <v>19400</v>
      </c>
      <c r="Z1280" s="2">
        <v>0</v>
      </c>
      <c r="AA1280" s="2">
        <v>19400</v>
      </c>
    </row>
    <row r="1281" spans="1:27" x14ac:dyDescent="0.3">
      <c r="A1281" s="3">
        <v>17</v>
      </c>
      <c r="B1281" s="2" t="str">
        <f>"10508011800"</f>
        <v>10508011800</v>
      </c>
      <c r="C1281" s="2" t="s">
        <v>4762</v>
      </c>
      <c r="D1281" t="s">
        <v>29</v>
      </c>
      <c r="E1281" s="2" t="s">
        <v>30</v>
      </c>
      <c r="F1281" s="2">
        <v>37210</v>
      </c>
      <c r="G1281" s="2" t="s">
        <v>41</v>
      </c>
      <c r="H1281" t="s">
        <v>280</v>
      </c>
      <c r="I1281" s="6">
        <v>36169</v>
      </c>
      <c r="J1281" s="2" t="s">
        <v>4759</v>
      </c>
      <c r="K1281" s="2">
        <v>0</v>
      </c>
      <c r="L1281" t="s">
        <v>35</v>
      </c>
      <c r="M1281" t="s">
        <v>29</v>
      </c>
      <c r="N1281" t="s">
        <v>30</v>
      </c>
      <c r="O1281">
        <v>37219</v>
      </c>
      <c r="P1281" t="s">
        <v>4763</v>
      </c>
      <c r="Q1281" s="2">
        <v>0.17</v>
      </c>
      <c r="R1281" s="2">
        <v>50</v>
      </c>
      <c r="S1281" s="2">
        <v>149</v>
      </c>
      <c r="T1281" t="s">
        <v>4764</v>
      </c>
      <c r="U1281" s="6">
        <v>26147</v>
      </c>
      <c r="V1281" s="2">
        <v>47037016000</v>
      </c>
      <c r="W1281" s="2" t="s">
        <v>68</v>
      </c>
      <c r="X1281" s="1">
        <v>45658</v>
      </c>
      <c r="Y1281" s="2">
        <v>186300</v>
      </c>
      <c r="Z1281" s="2">
        <v>0</v>
      </c>
      <c r="AA1281" s="2">
        <v>186300</v>
      </c>
    </row>
    <row r="1282" spans="1:27" x14ac:dyDescent="0.3">
      <c r="A1282" s="3">
        <v>17</v>
      </c>
      <c r="B1282" s="2" t="str">
        <f>"10508016700"</f>
        <v>10508016700</v>
      </c>
      <c r="C1282" s="2" t="s">
        <v>4765</v>
      </c>
      <c r="D1282" t="s">
        <v>29</v>
      </c>
      <c r="E1282" s="2" t="s">
        <v>30</v>
      </c>
      <c r="F1282" s="2">
        <v>37210</v>
      </c>
      <c r="G1282" s="2" t="s">
        <v>41</v>
      </c>
      <c r="H1282" t="s">
        <v>280</v>
      </c>
      <c r="I1282" s="6">
        <v>36169</v>
      </c>
      <c r="J1282" s="2" t="s">
        <v>4759</v>
      </c>
      <c r="K1282" s="2">
        <v>0</v>
      </c>
      <c r="L1282" t="s">
        <v>35</v>
      </c>
      <c r="M1282" t="s">
        <v>29</v>
      </c>
      <c r="N1282" t="s">
        <v>30</v>
      </c>
      <c r="O1282">
        <v>37219</v>
      </c>
      <c r="P1282" t="s">
        <v>4766</v>
      </c>
      <c r="Q1282" s="2">
        <v>0.15</v>
      </c>
      <c r="R1282" s="2">
        <v>50</v>
      </c>
      <c r="S1282" s="2">
        <v>140</v>
      </c>
      <c r="T1282" t="s">
        <v>4761</v>
      </c>
      <c r="U1282" s="6">
        <v>23117</v>
      </c>
      <c r="V1282" s="2">
        <v>47037016000</v>
      </c>
      <c r="W1282" s="2" t="s">
        <v>68</v>
      </c>
      <c r="X1282" s="1">
        <v>45658</v>
      </c>
      <c r="Y1282" s="2">
        <v>17500</v>
      </c>
      <c r="Z1282" s="2">
        <v>0</v>
      </c>
      <c r="AA1282" s="2">
        <v>17500</v>
      </c>
    </row>
    <row r="1283" spans="1:27" x14ac:dyDescent="0.3">
      <c r="A1283" s="3">
        <v>17</v>
      </c>
      <c r="B1283" s="2" t="str">
        <f>"10508016500"</f>
        <v>10508016500</v>
      </c>
      <c r="C1283" s="2" t="s">
        <v>4767</v>
      </c>
      <c r="D1283" t="s">
        <v>29</v>
      </c>
      <c r="E1283" s="2" t="s">
        <v>30</v>
      </c>
      <c r="F1283" s="2">
        <v>37210</v>
      </c>
      <c r="G1283" s="2" t="s">
        <v>41</v>
      </c>
      <c r="H1283" t="s">
        <v>280</v>
      </c>
      <c r="I1283" s="6">
        <v>29678</v>
      </c>
      <c r="J1283" s="2" t="s">
        <v>4768</v>
      </c>
      <c r="K1283" s="2">
        <v>618</v>
      </c>
      <c r="L1283" t="s">
        <v>35</v>
      </c>
      <c r="M1283" t="s">
        <v>29</v>
      </c>
      <c r="N1283" t="s">
        <v>30</v>
      </c>
      <c r="O1283">
        <v>37219</v>
      </c>
      <c r="P1283" t="s">
        <v>4769</v>
      </c>
      <c r="Q1283" s="2">
        <v>0.12</v>
      </c>
      <c r="R1283" s="2">
        <v>38</v>
      </c>
      <c r="S1283" s="2">
        <v>140</v>
      </c>
      <c r="T1283" t="s">
        <v>4770</v>
      </c>
      <c r="U1283" s="6">
        <v>7853</v>
      </c>
      <c r="V1283" s="2">
        <v>47037016000</v>
      </c>
      <c r="W1283" s="2" t="s">
        <v>68</v>
      </c>
      <c r="X1283" s="1">
        <v>45658</v>
      </c>
      <c r="Y1283" s="2">
        <v>14400</v>
      </c>
      <c r="Z1283" s="2">
        <v>0</v>
      </c>
      <c r="AA1283" s="2">
        <v>14400</v>
      </c>
    </row>
    <row r="1284" spans="1:27" x14ac:dyDescent="0.3">
      <c r="A1284" s="3">
        <v>17</v>
      </c>
      <c r="B1284" s="2" t="str">
        <f>"10508016800"</f>
        <v>10508016800</v>
      </c>
      <c r="C1284" s="2" t="s">
        <v>4765</v>
      </c>
      <c r="D1284" t="s">
        <v>29</v>
      </c>
      <c r="E1284" s="2" t="s">
        <v>30</v>
      </c>
      <c r="F1284" s="2">
        <v>37210</v>
      </c>
      <c r="G1284" s="2" t="s">
        <v>41</v>
      </c>
      <c r="H1284" t="s">
        <v>280</v>
      </c>
      <c r="I1284" s="6">
        <v>36169</v>
      </c>
      <c r="J1284" s="2" t="s">
        <v>4759</v>
      </c>
      <c r="K1284" s="2">
        <v>0</v>
      </c>
      <c r="L1284" t="s">
        <v>35</v>
      </c>
      <c r="M1284" t="s">
        <v>29</v>
      </c>
      <c r="N1284" t="s">
        <v>30</v>
      </c>
      <c r="O1284">
        <v>37219</v>
      </c>
      <c r="P1284" t="s">
        <v>4771</v>
      </c>
      <c r="Q1284" s="2">
        <v>0.16</v>
      </c>
      <c r="R1284" s="2">
        <v>50</v>
      </c>
      <c r="S1284" s="2">
        <v>135</v>
      </c>
      <c r="T1284" t="s">
        <v>4761</v>
      </c>
      <c r="U1284" s="6">
        <v>23117</v>
      </c>
      <c r="V1284" s="2">
        <v>47037016000</v>
      </c>
      <c r="W1284" s="2" t="s">
        <v>68</v>
      </c>
      <c r="X1284" s="1">
        <v>45658</v>
      </c>
      <c r="Y1284" s="2">
        <v>16900</v>
      </c>
      <c r="Z1284" s="2">
        <v>0</v>
      </c>
      <c r="AA1284" s="2">
        <v>16900</v>
      </c>
    </row>
    <row r="1285" spans="1:27" x14ac:dyDescent="0.3">
      <c r="A1285" s="3">
        <v>17</v>
      </c>
      <c r="B1285" s="2" t="str">
        <f>"10508017100"</f>
        <v>10508017100</v>
      </c>
      <c r="C1285" s="2" t="s">
        <v>4772</v>
      </c>
      <c r="D1285" t="s">
        <v>29</v>
      </c>
      <c r="E1285" s="2" t="s">
        <v>30</v>
      </c>
      <c r="F1285" s="2">
        <v>37210</v>
      </c>
      <c r="G1285" s="2" t="s">
        <v>41</v>
      </c>
      <c r="H1285" t="s">
        <v>280</v>
      </c>
      <c r="I1285" s="6">
        <v>36592</v>
      </c>
      <c r="J1285" s="2" t="s">
        <v>4773</v>
      </c>
      <c r="K1285" s="2">
        <v>62116</v>
      </c>
      <c r="L1285" t="s">
        <v>35</v>
      </c>
      <c r="M1285" t="s">
        <v>29</v>
      </c>
      <c r="N1285" t="s">
        <v>30</v>
      </c>
      <c r="O1285">
        <v>37219</v>
      </c>
      <c r="P1285" t="s">
        <v>4774</v>
      </c>
      <c r="Q1285" s="2">
        <v>0.12</v>
      </c>
      <c r="R1285" s="2">
        <v>55</v>
      </c>
      <c r="S1285" s="2">
        <v>100</v>
      </c>
      <c r="T1285" t="s">
        <v>4775</v>
      </c>
      <c r="U1285" s="6">
        <v>8617</v>
      </c>
      <c r="V1285" s="2">
        <v>47037016000</v>
      </c>
      <c r="W1285" s="2" t="s">
        <v>68</v>
      </c>
      <c r="X1285" s="1">
        <v>45658</v>
      </c>
      <c r="Y1285" s="2">
        <v>137500</v>
      </c>
      <c r="Z1285" s="2">
        <v>0</v>
      </c>
      <c r="AA1285" s="2">
        <v>137500</v>
      </c>
    </row>
    <row r="1286" spans="1:27" x14ac:dyDescent="0.3">
      <c r="A1286" s="3">
        <v>17</v>
      </c>
      <c r="B1286" s="2" t="str">
        <f>"10508022500"</f>
        <v>10508022500</v>
      </c>
      <c r="C1286" s="2" t="s">
        <v>4776</v>
      </c>
      <c r="D1286" t="s">
        <v>29</v>
      </c>
      <c r="E1286" s="2" t="s">
        <v>30</v>
      </c>
      <c r="F1286" s="2">
        <v>37210</v>
      </c>
      <c r="G1286" s="2" t="s">
        <v>41</v>
      </c>
      <c r="H1286" t="s">
        <v>280</v>
      </c>
      <c r="I1286" s="6">
        <v>36169</v>
      </c>
      <c r="J1286" s="2" t="s">
        <v>4759</v>
      </c>
      <c r="K1286" s="2">
        <v>0</v>
      </c>
      <c r="L1286" t="s">
        <v>35</v>
      </c>
      <c r="M1286" t="s">
        <v>29</v>
      </c>
      <c r="N1286" t="s">
        <v>30</v>
      </c>
      <c r="O1286">
        <v>37219</v>
      </c>
      <c r="P1286" t="s">
        <v>4777</v>
      </c>
      <c r="Q1286" s="2">
        <v>0.11</v>
      </c>
      <c r="R1286" s="2">
        <v>50</v>
      </c>
      <c r="S1286" s="2">
        <v>105</v>
      </c>
      <c r="T1286" t="s">
        <v>4778</v>
      </c>
      <c r="U1286" s="6">
        <v>17747</v>
      </c>
      <c r="V1286" s="2">
        <v>47037016000</v>
      </c>
      <c r="W1286" s="2" t="s">
        <v>68</v>
      </c>
      <c r="X1286" s="1">
        <v>45658</v>
      </c>
      <c r="Y1286" s="2">
        <v>64400</v>
      </c>
      <c r="Z1286" s="2">
        <v>0</v>
      </c>
      <c r="AA1286" s="2">
        <v>64400</v>
      </c>
    </row>
    <row r="1287" spans="1:27" x14ac:dyDescent="0.3">
      <c r="A1287" s="3">
        <v>17</v>
      </c>
      <c r="B1287" s="2" t="str">
        <f>"10506008400"</f>
        <v>10506008400</v>
      </c>
      <c r="C1287" s="2" t="s">
        <v>4779</v>
      </c>
      <c r="D1287" t="s">
        <v>29</v>
      </c>
      <c r="E1287" s="2" t="s">
        <v>30</v>
      </c>
      <c r="F1287" s="2">
        <v>37203</v>
      </c>
      <c r="G1287" s="2" t="s">
        <v>152</v>
      </c>
      <c r="H1287" t="s">
        <v>280</v>
      </c>
      <c r="I1287" s="6">
        <v>27395</v>
      </c>
      <c r="J1287" s="2" t="s">
        <v>4780</v>
      </c>
      <c r="K1287" s="2" t="s">
        <v>34</v>
      </c>
      <c r="L1287" t="s">
        <v>35</v>
      </c>
      <c r="M1287" t="s">
        <v>29</v>
      </c>
      <c r="N1287" t="s">
        <v>30</v>
      </c>
      <c r="O1287">
        <v>37219</v>
      </c>
      <c r="P1287" t="s">
        <v>4781</v>
      </c>
      <c r="Q1287" s="2">
        <v>16.72</v>
      </c>
      <c r="R1287" s="2">
        <v>0</v>
      </c>
      <c r="S1287" s="2">
        <v>0</v>
      </c>
      <c r="T1287" t="s">
        <v>4782</v>
      </c>
      <c r="U1287" s="6">
        <v>36356</v>
      </c>
      <c r="V1287" s="2">
        <v>47037016200</v>
      </c>
      <c r="W1287" s="2" t="s">
        <v>68</v>
      </c>
      <c r="X1287" s="1">
        <v>45658</v>
      </c>
      <c r="Y1287" s="2">
        <v>2184800</v>
      </c>
      <c r="Z1287" s="2">
        <v>0</v>
      </c>
      <c r="AA1287" s="2">
        <v>2184800</v>
      </c>
    </row>
    <row r="1288" spans="1:27" x14ac:dyDescent="0.3">
      <c r="A1288" s="3">
        <v>17</v>
      </c>
      <c r="B1288" s="2" t="str">
        <f>"10512002100"</f>
        <v>10512002100</v>
      </c>
      <c r="C1288" s="2" t="s">
        <v>4783</v>
      </c>
      <c r="D1288" t="s">
        <v>29</v>
      </c>
      <c r="E1288" s="2" t="s">
        <v>30</v>
      </c>
      <c r="F1288" s="2">
        <v>37210</v>
      </c>
      <c r="G1288" s="2" t="s">
        <v>1485</v>
      </c>
      <c r="H1288" t="s">
        <v>280</v>
      </c>
      <c r="I1288" s="6">
        <v>40947</v>
      </c>
      <c r="J1288" s="2" t="s">
        <v>4784</v>
      </c>
      <c r="K1288" s="2">
        <v>0</v>
      </c>
      <c r="L1288" t="s">
        <v>35</v>
      </c>
      <c r="M1288" t="s">
        <v>29</v>
      </c>
      <c r="N1288" t="s">
        <v>30</v>
      </c>
      <c r="O1288">
        <v>37219</v>
      </c>
      <c r="P1288" t="s">
        <v>4785</v>
      </c>
      <c r="Q1288" s="2">
        <v>1.27</v>
      </c>
      <c r="R1288" s="2">
        <v>302</v>
      </c>
      <c r="S1288" s="2">
        <v>375</v>
      </c>
      <c r="T1288" t="s">
        <v>4786</v>
      </c>
      <c r="U1288" s="6">
        <v>26480</v>
      </c>
      <c r="V1288" s="2">
        <v>47037016100</v>
      </c>
      <c r="W1288" s="2" t="s">
        <v>68</v>
      </c>
      <c r="X1288" s="1">
        <v>45658</v>
      </c>
      <c r="Y1288" s="2">
        <v>1037300</v>
      </c>
      <c r="Z1288" s="2">
        <v>0</v>
      </c>
      <c r="AA1288" s="2">
        <v>1037300</v>
      </c>
    </row>
    <row r="1289" spans="1:27" x14ac:dyDescent="0.3">
      <c r="A1289" s="3">
        <v>18</v>
      </c>
      <c r="B1289" s="2" t="str">
        <f>"10513005800"</f>
        <v>10513005800</v>
      </c>
      <c r="C1289" s="2" t="s">
        <v>4787</v>
      </c>
      <c r="D1289" t="s">
        <v>29</v>
      </c>
      <c r="E1289" s="2" t="s">
        <v>30</v>
      </c>
      <c r="F1289" s="2">
        <v>37204</v>
      </c>
      <c r="G1289" s="2" t="s">
        <v>64</v>
      </c>
      <c r="H1289" t="s">
        <v>99</v>
      </c>
      <c r="I1289" s="6">
        <v>26995</v>
      </c>
      <c r="J1289" s="2" t="s">
        <v>4788</v>
      </c>
      <c r="K1289" s="2">
        <v>220</v>
      </c>
      <c r="L1289" t="s">
        <v>35</v>
      </c>
      <c r="M1289" t="s">
        <v>29</v>
      </c>
      <c r="N1289" t="s">
        <v>30</v>
      </c>
      <c r="O1289">
        <v>37219</v>
      </c>
      <c r="P1289" t="s">
        <v>4789</v>
      </c>
      <c r="Q1289" s="2">
        <v>0.06</v>
      </c>
      <c r="R1289" s="2">
        <v>19</v>
      </c>
      <c r="S1289" s="2">
        <v>130</v>
      </c>
      <c r="T1289" t="s">
        <v>4790</v>
      </c>
      <c r="U1289" s="6">
        <v>5595</v>
      </c>
      <c r="V1289" s="2">
        <v>47037017000</v>
      </c>
      <c r="W1289" s="2" t="s">
        <v>68</v>
      </c>
      <c r="X1289" s="1">
        <v>45658</v>
      </c>
      <c r="Y1289" s="2">
        <v>48000</v>
      </c>
      <c r="Z1289" s="2">
        <v>0</v>
      </c>
      <c r="AA1289" s="2">
        <v>48000</v>
      </c>
    </row>
    <row r="1290" spans="1:27" x14ac:dyDescent="0.3">
      <c r="A1290" s="3">
        <v>18</v>
      </c>
      <c r="B1290" s="2" t="str">
        <f>"10509021900"</f>
        <v>10509021900</v>
      </c>
      <c r="C1290" s="2" t="s">
        <v>4791</v>
      </c>
      <c r="D1290" t="s">
        <v>29</v>
      </c>
      <c r="E1290" s="2" t="s">
        <v>30</v>
      </c>
      <c r="F1290" s="2">
        <v>37204</v>
      </c>
      <c r="G1290" s="2" t="s">
        <v>152</v>
      </c>
      <c r="H1290" t="s">
        <v>4792</v>
      </c>
      <c r="I1290" s="6">
        <v>32364</v>
      </c>
      <c r="J1290" s="2" t="s">
        <v>4793</v>
      </c>
      <c r="K1290" s="2">
        <v>5200</v>
      </c>
      <c r="L1290" t="s">
        <v>35</v>
      </c>
      <c r="M1290" t="s">
        <v>29</v>
      </c>
      <c r="N1290" t="s">
        <v>30</v>
      </c>
      <c r="O1290">
        <v>37219</v>
      </c>
      <c r="P1290" t="s">
        <v>4794</v>
      </c>
      <c r="Q1290" s="2">
        <v>0.56999999999999995</v>
      </c>
      <c r="R1290" s="2">
        <v>146</v>
      </c>
      <c r="S1290" s="2">
        <v>124</v>
      </c>
      <c r="T1290" t="s">
        <v>4793</v>
      </c>
      <c r="U1290" s="6">
        <v>32364</v>
      </c>
      <c r="V1290" s="2">
        <v>47037016200</v>
      </c>
      <c r="W1290" s="2" t="s">
        <v>68</v>
      </c>
      <c r="X1290" s="1">
        <v>45658</v>
      </c>
      <c r="Y1290" s="2">
        <v>960000</v>
      </c>
      <c r="Z1290" s="2">
        <v>0</v>
      </c>
      <c r="AA1290" s="2">
        <v>960000</v>
      </c>
    </row>
    <row r="1291" spans="1:27" x14ac:dyDescent="0.3">
      <c r="A1291" s="3">
        <v>18</v>
      </c>
      <c r="B1291" s="2" t="str">
        <f>"10415020400"</f>
        <v>10415020400</v>
      </c>
      <c r="C1291" s="2" t="s">
        <v>4795</v>
      </c>
      <c r="D1291" t="s">
        <v>29</v>
      </c>
      <c r="E1291" s="2" t="s">
        <v>30</v>
      </c>
      <c r="F1291" s="2">
        <v>37212</v>
      </c>
      <c r="G1291" s="2" t="s">
        <v>147</v>
      </c>
      <c r="H1291" t="s">
        <v>4796</v>
      </c>
      <c r="I1291" s="6">
        <v>10790</v>
      </c>
      <c r="J1291" s="2" t="s">
        <v>4797</v>
      </c>
      <c r="K1291" s="2" t="s">
        <v>34</v>
      </c>
      <c r="L1291" t="s">
        <v>35</v>
      </c>
      <c r="M1291" t="s">
        <v>29</v>
      </c>
      <c r="N1291" t="s">
        <v>30</v>
      </c>
      <c r="O1291">
        <v>37219</v>
      </c>
      <c r="P1291" t="s">
        <v>4798</v>
      </c>
      <c r="Q1291" s="2">
        <v>0.27</v>
      </c>
      <c r="R1291" s="2">
        <v>130</v>
      </c>
      <c r="S1291" s="2">
        <v>71</v>
      </c>
      <c r="T1291" t="s">
        <v>4799</v>
      </c>
      <c r="U1291" s="6">
        <v>10790</v>
      </c>
      <c r="V1291" s="2">
        <v>47037016900</v>
      </c>
      <c r="W1291" s="2" t="s">
        <v>68</v>
      </c>
      <c r="X1291" s="1">
        <v>45658</v>
      </c>
      <c r="Y1291" s="2">
        <v>1764200</v>
      </c>
      <c r="Z1291" s="2">
        <v>0</v>
      </c>
      <c r="AA1291" s="2">
        <v>1764200</v>
      </c>
    </row>
    <row r="1292" spans="1:27" x14ac:dyDescent="0.3">
      <c r="A1292" s="3">
        <v>18</v>
      </c>
      <c r="B1292" s="2" t="str">
        <f>"10415020300"</f>
        <v>10415020300</v>
      </c>
      <c r="C1292" s="2" t="s">
        <v>4800</v>
      </c>
      <c r="D1292" t="s">
        <v>29</v>
      </c>
      <c r="E1292" s="2" t="s">
        <v>30</v>
      </c>
      <c r="F1292" s="2">
        <v>37212</v>
      </c>
      <c r="G1292" s="2" t="s">
        <v>64</v>
      </c>
      <c r="H1292" t="s">
        <v>4801</v>
      </c>
      <c r="I1292" s="6">
        <v>38834</v>
      </c>
      <c r="J1292" s="2" t="s">
        <v>4802</v>
      </c>
      <c r="K1292" s="2">
        <v>365000</v>
      </c>
      <c r="L1292" t="s">
        <v>35</v>
      </c>
      <c r="M1292" t="s">
        <v>29</v>
      </c>
      <c r="N1292" t="s">
        <v>30</v>
      </c>
      <c r="O1292">
        <v>37219</v>
      </c>
      <c r="P1292" t="s">
        <v>4803</v>
      </c>
      <c r="Q1292" s="2">
        <v>0.17</v>
      </c>
      <c r="R1292" s="2">
        <v>60</v>
      </c>
      <c r="S1292" s="2">
        <v>125</v>
      </c>
      <c r="T1292" t="s">
        <v>4804</v>
      </c>
      <c r="U1292" s="6">
        <v>22010</v>
      </c>
      <c r="V1292" s="2">
        <v>47037016900</v>
      </c>
      <c r="W1292" s="2" t="s">
        <v>68</v>
      </c>
      <c r="X1292" s="1">
        <v>45658</v>
      </c>
      <c r="Y1292" s="2">
        <v>480000</v>
      </c>
      <c r="Z1292" s="2">
        <v>0</v>
      </c>
      <c r="AA1292" s="2">
        <v>480000</v>
      </c>
    </row>
    <row r="1293" spans="1:27" x14ac:dyDescent="0.3">
      <c r="A1293" s="3">
        <v>18</v>
      </c>
      <c r="B1293" s="2" t="str">
        <f>"10412035700"</f>
        <v>10412035700</v>
      </c>
      <c r="C1293" s="2" t="s">
        <v>4805</v>
      </c>
      <c r="D1293" t="s">
        <v>29</v>
      </c>
      <c r="E1293" s="2" t="s">
        <v>30</v>
      </c>
      <c r="F1293" s="2">
        <v>37212</v>
      </c>
      <c r="G1293" s="2" t="s">
        <v>41</v>
      </c>
      <c r="H1293" t="s">
        <v>171</v>
      </c>
      <c r="I1293" s="6">
        <v>35382</v>
      </c>
      <c r="J1293" s="2" t="s">
        <v>4806</v>
      </c>
      <c r="K1293" s="2">
        <v>628000</v>
      </c>
      <c r="L1293" t="s">
        <v>35</v>
      </c>
      <c r="M1293" t="s">
        <v>29</v>
      </c>
      <c r="N1293" t="s">
        <v>30</v>
      </c>
      <c r="O1293">
        <v>37219</v>
      </c>
      <c r="P1293" t="s">
        <v>4807</v>
      </c>
      <c r="Q1293" s="2">
        <v>1.7</v>
      </c>
      <c r="R1293" s="2">
        <v>130</v>
      </c>
      <c r="S1293" s="2">
        <v>107</v>
      </c>
      <c r="T1293" t="s">
        <v>4808</v>
      </c>
      <c r="U1293" s="6">
        <v>35375</v>
      </c>
      <c r="V1293" s="2">
        <v>47037016800</v>
      </c>
      <c r="W1293" s="2" t="s">
        <v>68</v>
      </c>
      <c r="X1293" s="1">
        <v>45658</v>
      </c>
      <c r="Y1293" s="2">
        <v>10562100</v>
      </c>
      <c r="Z1293" s="2">
        <v>9700</v>
      </c>
      <c r="AA1293" s="2">
        <v>10552400</v>
      </c>
    </row>
    <row r="1294" spans="1:27" x14ac:dyDescent="0.3">
      <c r="A1294" s="3">
        <v>18</v>
      </c>
      <c r="B1294" s="2" t="str">
        <f>"10416001000"</f>
        <v>10416001000</v>
      </c>
      <c r="C1294" s="2" t="s">
        <v>4809</v>
      </c>
      <c r="D1294" t="s">
        <v>29</v>
      </c>
      <c r="E1294" s="2" t="s">
        <v>30</v>
      </c>
      <c r="F1294" s="2">
        <v>37212</v>
      </c>
      <c r="G1294" s="2" t="s">
        <v>152</v>
      </c>
      <c r="H1294" t="s">
        <v>176</v>
      </c>
      <c r="I1294" s="6">
        <v>20194</v>
      </c>
      <c r="J1294" s="2" t="s">
        <v>4810</v>
      </c>
      <c r="K1294" s="2" t="s">
        <v>34</v>
      </c>
      <c r="L1294" t="s">
        <v>178</v>
      </c>
      <c r="M1294" t="s">
        <v>29</v>
      </c>
      <c r="N1294" t="s">
        <v>30</v>
      </c>
      <c r="O1294">
        <v>37246</v>
      </c>
      <c r="P1294" t="s">
        <v>4811</v>
      </c>
      <c r="Q1294" s="2">
        <v>0.06</v>
      </c>
      <c r="R1294" s="2">
        <v>67</v>
      </c>
      <c r="S1294" s="2">
        <v>50</v>
      </c>
      <c r="T1294" t="s">
        <v>4810</v>
      </c>
      <c r="U1294" s="6">
        <v>20194</v>
      </c>
      <c r="V1294" s="2">
        <v>47037016800</v>
      </c>
      <c r="W1294" s="2" t="s">
        <v>68</v>
      </c>
      <c r="X1294" s="1">
        <v>45658</v>
      </c>
      <c r="Y1294" s="2">
        <v>502500</v>
      </c>
      <c r="Z1294" s="2">
        <v>0</v>
      </c>
      <c r="AA1294" s="2">
        <v>502500</v>
      </c>
    </row>
    <row r="1295" spans="1:27" x14ac:dyDescent="0.3">
      <c r="A1295" s="3">
        <v>18</v>
      </c>
      <c r="B1295" s="2" t="str">
        <f>"11704028700"</f>
        <v>11704028700</v>
      </c>
      <c r="C1295" s="2" t="s">
        <v>4812</v>
      </c>
      <c r="D1295" t="s">
        <v>29</v>
      </c>
      <c r="E1295" s="2" t="s">
        <v>30</v>
      </c>
      <c r="F1295" s="2">
        <v>37212</v>
      </c>
      <c r="G1295" s="2" t="s">
        <v>152</v>
      </c>
      <c r="H1295" t="s">
        <v>176</v>
      </c>
      <c r="I1295" s="6">
        <v>14472</v>
      </c>
      <c r="J1295" s="2" t="s">
        <v>1267</v>
      </c>
      <c r="K1295" s="2" t="s">
        <v>34</v>
      </c>
      <c r="L1295" t="s">
        <v>178</v>
      </c>
      <c r="M1295" t="s">
        <v>29</v>
      </c>
      <c r="N1295" t="s">
        <v>30</v>
      </c>
      <c r="O1295">
        <v>37246</v>
      </c>
      <c r="P1295" t="s">
        <v>4813</v>
      </c>
      <c r="Q1295" s="2">
        <v>0.28000000000000003</v>
      </c>
      <c r="R1295" s="2">
        <v>84</v>
      </c>
      <c r="S1295" s="2">
        <v>131</v>
      </c>
      <c r="T1295" t="s">
        <v>1267</v>
      </c>
      <c r="U1295" s="6">
        <v>14472</v>
      </c>
      <c r="V1295" s="2">
        <v>47037016900</v>
      </c>
      <c r="W1295" s="2" t="s">
        <v>68</v>
      </c>
      <c r="X1295" s="1">
        <v>45658</v>
      </c>
      <c r="Y1295" s="2">
        <v>400000</v>
      </c>
      <c r="Z1295" s="2">
        <v>0</v>
      </c>
      <c r="AA1295" s="2">
        <v>400000</v>
      </c>
    </row>
    <row r="1296" spans="1:27" x14ac:dyDescent="0.3">
      <c r="A1296" s="3">
        <v>18</v>
      </c>
      <c r="B1296" s="2" t="str">
        <f>"10408014000"</f>
        <v>10408014000</v>
      </c>
      <c r="C1296" s="2" t="s">
        <v>4516</v>
      </c>
      <c r="D1296" t="s">
        <v>29</v>
      </c>
      <c r="E1296" s="2" t="s">
        <v>30</v>
      </c>
      <c r="F1296" s="2">
        <v>37212</v>
      </c>
      <c r="G1296" s="2" t="s">
        <v>41</v>
      </c>
      <c r="H1296" t="s">
        <v>4814</v>
      </c>
      <c r="I1296" s="6">
        <v>28367</v>
      </c>
      <c r="J1296" s="2" t="s">
        <v>4644</v>
      </c>
      <c r="K1296" s="2" t="s">
        <v>34</v>
      </c>
      <c r="L1296" t="s">
        <v>35</v>
      </c>
      <c r="M1296" t="s">
        <v>29</v>
      </c>
      <c r="N1296" t="s">
        <v>30</v>
      </c>
      <c r="O1296">
        <v>37219</v>
      </c>
      <c r="P1296" t="s">
        <v>4815</v>
      </c>
      <c r="Q1296" s="2">
        <v>0.12</v>
      </c>
      <c r="R1296" s="2">
        <v>103</v>
      </c>
      <c r="S1296" s="2">
        <v>50</v>
      </c>
      <c r="T1296" t="s">
        <v>4816</v>
      </c>
      <c r="U1296" s="6">
        <v>44201</v>
      </c>
      <c r="V1296" s="2">
        <v>47037016400</v>
      </c>
      <c r="W1296" s="2" t="s">
        <v>68</v>
      </c>
      <c r="X1296" s="1">
        <v>45658</v>
      </c>
      <c r="Y1296" s="2">
        <v>1045400</v>
      </c>
      <c r="Z1296" s="2">
        <v>0</v>
      </c>
      <c r="AA1296" s="2">
        <v>1045400</v>
      </c>
    </row>
    <row r="1297" spans="1:27" x14ac:dyDescent="0.3">
      <c r="A1297" s="3">
        <v>18</v>
      </c>
      <c r="B1297" s="2" t="str">
        <f>"10412011900"</f>
        <v>10412011900</v>
      </c>
      <c r="C1297" s="2" t="s">
        <v>4817</v>
      </c>
      <c r="D1297" t="s">
        <v>29</v>
      </c>
      <c r="E1297" s="2" t="s">
        <v>30</v>
      </c>
      <c r="F1297" s="2">
        <v>37212</v>
      </c>
      <c r="G1297" s="2" t="s">
        <v>200</v>
      </c>
      <c r="H1297" t="s">
        <v>4643</v>
      </c>
      <c r="I1297" s="6">
        <v>28367</v>
      </c>
      <c r="J1297" s="2" t="s">
        <v>4644</v>
      </c>
      <c r="K1297" s="2" t="s">
        <v>34</v>
      </c>
      <c r="L1297" t="s">
        <v>35</v>
      </c>
      <c r="M1297" t="s">
        <v>29</v>
      </c>
      <c r="N1297" t="s">
        <v>30</v>
      </c>
      <c r="O1297">
        <v>37219</v>
      </c>
      <c r="P1297" t="s">
        <v>4818</v>
      </c>
      <c r="Q1297" s="2">
        <v>0.3</v>
      </c>
      <c r="R1297" s="2">
        <v>104</v>
      </c>
      <c r="S1297" s="2">
        <v>159</v>
      </c>
      <c r="T1297" t="s">
        <v>4819</v>
      </c>
      <c r="U1297" s="6">
        <v>25519</v>
      </c>
      <c r="V1297" s="2">
        <v>47037016400</v>
      </c>
      <c r="W1297" s="2" t="s">
        <v>68</v>
      </c>
      <c r="X1297" s="1">
        <v>45658</v>
      </c>
      <c r="Y1297" s="2">
        <v>464000</v>
      </c>
      <c r="Z1297" s="2">
        <v>0</v>
      </c>
      <c r="AA1297" s="2">
        <v>464000</v>
      </c>
    </row>
    <row r="1298" spans="1:27" x14ac:dyDescent="0.3">
      <c r="A1298" s="3">
        <v>18</v>
      </c>
      <c r="B1298" s="2" t="str">
        <f>"10412008500"</f>
        <v>10412008500</v>
      </c>
      <c r="C1298" s="2" t="s">
        <v>4820</v>
      </c>
      <c r="D1298" t="s">
        <v>29</v>
      </c>
      <c r="E1298" s="2" t="s">
        <v>30</v>
      </c>
      <c r="F1298" s="2">
        <v>37212</v>
      </c>
      <c r="G1298" s="2" t="s">
        <v>41</v>
      </c>
      <c r="H1298" t="s">
        <v>4643</v>
      </c>
      <c r="I1298" s="6">
        <v>28367</v>
      </c>
      <c r="J1298" s="2" t="s">
        <v>4644</v>
      </c>
      <c r="K1298" s="2" t="s">
        <v>34</v>
      </c>
      <c r="L1298" t="s">
        <v>35</v>
      </c>
      <c r="M1298" t="s">
        <v>29</v>
      </c>
      <c r="N1298" t="s">
        <v>30</v>
      </c>
      <c r="O1298">
        <v>37219</v>
      </c>
      <c r="P1298" t="s">
        <v>4821</v>
      </c>
      <c r="Q1298" s="2">
        <v>0.4</v>
      </c>
      <c r="R1298" s="2">
        <v>120</v>
      </c>
      <c r="S1298" s="2">
        <v>172</v>
      </c>
      <c r="T1298" t="s">
        <v>4644</v>
      </c>
      <c r="U1298" s="6">
        <v>28367</v>
      </c>
      <c r="V1298" s="2">
        <v>47037016400</v>
      </c>
      <c r="W1298" s="2" t="s">
        <v>68</v>
      </c>
      <c r="X1298" s="1">
        <v>45658</v>
      </c>
      <c r="Y1298" s="2">
        <v>2613600</v>
      </c>
      <c r="Z1298" s="2">
        <v>0</v>
      </c>
      <c r="AA1298" s="2">
        <v>2613600</v>
      </c>
    </row>
    <row r="1299" spans="1:27" x14ac:dyDescent="0.3">
      <c r="A1299" s="3">
        <v>18</v>
      </c>
      <c r="B1299" s="2" t="str">
        <f>"10408013700"</f>
        <v>10408013700</v>
      </c>
      <c r="C1299" s="2" t="s">
        <v>4822</v>
      </c>
      <c r="D1299" t="s">
        <v>29</v>
      </c>
      <c r="E1299" s="2" t="s">
        <v>30</v>
      </c>
      <c r="F1299" s="2">
        <v>37212</v>
      </c>
      <c r="G1299" s="2" t="s">
        <v>200</v>
      </c>
      <c r="H1299" t="s">
        <v>4643</v>
      </c>
      <c r="I1299" s="6">
        <v>28367</v>
      </c>
      <c r="J1299" s="2" t="s">
        <v>4644</v>
      </c>
      <c r="K1299" s="2" t="s">
        <v>34</v>
      </c>
      <c r="L1299" t="s">
        <v>35</v>
      </c>
      <c r="M1299" t="s">
        <v>29</v>
      </c>
      <c r="N1299" t="s">
        <v>30</v>
      </c>
      <c r="O1299">
        <v>37219</v>
      </c>
      <c r="P1299" t="s">
        <v>4823</v>
      </c>
      <c r="Q1299" s="2">
        <v>0.44</v>
      </c>
      <c r="R1299" s="2">
        <v>50</v>
      </c>
      <c r="S1299" s="2">
        <v>406</v>
      </c>
      <c r="T1299" t="s">
        <v>4824</v>
      </c>
      <c r="U1299" s="6">
        <v>32945</v>
      </c>
      <c r="V1299" s="2">
        <v>47037016400</v>
      </c>
      <c r="W1299" s="2" t="s">
        <v>68</v>
      </c>
      <c r="X1299" s="1">
        <v>45658</v>
      </c>
      <c r="Y1299" s="2">
        <v>450000</v>
      </c>
      <c r="Z1299" s="2">
        <v>0</v>
      </c>
      <c r="AA1299" s="2">
        <v>450000</v>
      </c>
    </row>
    <row r="1300" spans="1:27" x14ac:dyDescent="0.3">
      <c r="A1300" s="3">
        <v>18</v>
      </c>
      <c r="B1300" s="2" t="str">
        <f>"10407039700"</f>
        <v>10407039700</v>
      </c>
      <c r="C1300" s="2" t="s">
        <v>4825</v>
      </c>
      <c r="D1300" t="s">
        <v>29</v>
      </c>
      <c r="E1300" s="2" t="s">
        <v>30</v>
      </c>
      <c r="F1300" s="2">
        <v>37212</v>
      </c>
      <c r="G1300" s="2" t="s">
        <v>200</v>
      </c>
      <c r="H1300" t="s">
        <v>206</v>
      </c>
      <c r="I1300" s="6">
        <v>28604</v>
      </c>
      <c r="J1300" s="2" t="s">
        <v>4826</v>
      </c>
      <c r="K1300" s="2">
        <v>195000</v>
      </c>
      <c r="L1300" t="s">
        <v>35</v>
      </c>
      <c r="M1300" t="s">
        <v>29</v>
      </c>
      <c r="N1300" t="s">
        <v>30</v>
      </c>
      <c r="O1300">
        <v>37219</v>
      </c>
      <c r="P1300" t="s">
        <v>4827</v>
      </c>
      <c r="Q1300" s="2">
        <v>7.64</v>
      </c>
      <c r="R1300" s="2">
        <v>0</v>
      </c>
      <c r="S1300" s="2">
        <v>0</v>
      </c>
      <c r="T1300" t="s">
        <v>4828</v>
      </c>
      <c r="U1300" s="6">
        <v>28557</v>
      </c>
      <c r="V1300" s="2">
        <v>47037016800</v>
      </c>
      <c r="W1300" s="2" t="s">
        <v>68</v>
      </c>
      <c r="X1300" s="1">
        <v>45658</v>
      </c>
      <c r="Y1300" s="2">
        <v>2534400</v>
      </c>
      <c r="Z1300" s="2">
        <v>0</v>
      </c>
      <c r="AA1300" s="2">
        <v>2534400</v>
      </c>
    </row>
    <row r="1301" spans="1:27" x14ac:dyDescent="0.3">
      <c r="A1301" s="3">
        <v>18</v>
      </c>
      <c r="B1301" s="2" t="str">
        <f>"11805003000"</f>
        <v>11805003000</v>
      </c>
      <c r="C1301" s="2" t="s">
        <v>4829</v>
      </c>
      <c r="D1301" t="s">
        <v>29</v>
      </c>
      <c r="E1301" s="2" t="s">
        <v>30</v>
      </c>
      <c r="F1301" s="2">
        <v>37204</v>
      </c>
      <c r="G1301" s="2" t="s">
        <v>200</v>
      </c>
      <c r="H1301" t="s">
        <v>4830</v>
      </c>
      <c r="I1301" s="6">
        <v>27395</v>
      </c>
      <c r="J1301" s="2" t="s">
        <v>4831</v>
      </c>
      <c r="K1301" s="2" t="s">
        <v>34</v>
      </c>
      <c r="L1301" t="s">
        <v>35</v>
      </c>
      <c r="M1301" t="s">
        <v>29</v>
      </c>
      <c r="N1301" t="s">
        <v>30</v>
      </c>
      <c r="O1301">
        <v>37219</v>
      </c>
      <c r="P1301" t="s">
        <v>4832</v>
      </c>
      <c r="Q1301" s="2">
        <v>20.350000000000001</v>
      </c>
      <c r="R1301" s="2">
        <v>0</v>
      </c>
      <c r="S1301" s="2">
        <v>0</v>
      </c>
      <c r="T1301" t="s">
        <v>4833</v>
      </c>
      <c r="U1301" s="6">
        <v>9529</v>
      </c>
      <c r="V1301" s="2">
        <v>47037017100</v>
      </c>
      <c r="W1301" s="2" t="s">
        <v>68</v>
      </c>
      <c r="X1301" s="1">
        <v>45658</v>
      </c>
      <c r="Y1301" s="2">
        <v>2947600</v>
      </c>
      <c r="Z1301" s="2">
        <v>0</v>
      </c>
      <c r="AA1301" s="2">
        <v>2947600</v>
      </c>
    </row>
    <row r="1302" spans="1:27" x14ac:dyDescent="0.3">
      <c r="A1302" s="3">
        <v>18</v>
      </c>
      <c r="B1302" s="2" t="str">
        <f>"10411009200"</f>
        <v>10411009200</v>
      </c>
      <c r="C1302" s="2" t="s">
        <v>4834</v>
      </c>
      <c r="D1302" t="s">
        <v>29</v>
      </c>
      <c r="E1302" s="2" t="s">
        <v>30</v>
      </c>
      <c r="F1302" s="2">
        <v>37212</v>
      </c>
      <c r="G1302" s="2" t="s">
        <v>253</v>
      </c>
      <c r="H1302" t="s">
        <v>4835</v>
      </c>
      <c r="I1302" s="6">
        <v>12833</v>
      </c>
      <c r="J1302" s="2" t="s">
        <v>4836</v>
      </c>
      <c r="K1302" s="2" t="s">
        <v>34</v>
      </c>
      <c r="L1302" t="s">
        <v>35</v>
      </c>
      <c r="M1302" t="s">
        <v>29</v>
      </c>
      <c r="N1302" t="s">
        <v>30</v>
      </c>
      <c r="O1302">
        <v>37219</v>
      </c>
      <c r="P1302" t="s">
        <v>4837</v>
      </c>
      <c r="Q1302" s="2">
        <v>9.31</v>
      </c>
      <c r="R1302" s="2">
        <v>0</v>
      </c>
      <c r="S1302" s="2">
        <v>0</v>
      </c>
      <c r="T1302" t="s">
        <v>4838</v>
      </c>
      <c r="U1302" s="6">
        <v>28507</v>
      </c>
      <c r="V1302" s="2">
        <v>47037016800</v>
      </c>
      <c r="W1302" s="2" t="s">
        <v>68</v>
      </c>
      <c r="X1302" s="1">
        <v>45658</v>
      </c>
      <c r="Y1302" s="2">
        <v>60831600</v>
      </c>
      <c r="Z1302" s="2">
        <v>0</v>
      </c>
      <c r="AA1302" s="2">
        <v>60831600</v>
      </c>
    </row>
    <row r="1303" spans="1:27" x14ac:dyDescent="0.3">
      <c r="A1303" s="3">
        <v>18</v>
      </c>
      <c r="B1303" s="2" t="str">
        <f>"10407036800"</f>
        <v>10407036800</v>
      </c>
      <c r="C1303" s="2" t="s">
        <v>4839</v>
      </c>
      <c r="D1303" t="s">
        <v>29</v>
      </c>
      <c r="E1303" s="2" t="s">
        <v>30</v>
      </c>
      <c r="F1303" s="2">
        <v>37212</v>
      </c>
      <c r="G1303" s="2" t="s">
        <v>253</v>
      </c>
      <c r="H1303" t="s">
        <v>4840</v>
      </c>
      <c r="I1303" s="6">
        <v>27117</v>
      </c>
      <c r="J1303" s="2" t="s">
        <v>4841</v>
      </c>
      <c r="K1303" s="2" t="s">
        <v>34</v>
      </c>
      <c r="L1303" t="s">
        <v>35</v>
      </c>
      <c r="M1303" t="s">
        <v>29</v>
      </c>
      <c r="N1303" t="s">
        <v>30</v>
      </c>
      <c r="O1303">
        <v>37219</v>
      </c>
      <c r="P1303" t="s">
        <v>4842</v>
      </c>
      <c r="Q1303" s="2">
        <v>5.23</v>
      </c>
      <c r="R1303" s="2">
        <v>0</v>
      </c>
      <c r="S1303" s="2">
        <v>0</v>
      </c>
      <c r="T1303" t="s">
        <v>4841</v>
      </c>
      <c r="U1303" s="6">
        <v>27117</v>
      </c>
      <c r="V1303" s="2">
        <v>47037016800</v>
      </c>
      <c r="W1303" s="2" t="s">
        <v>68</v>
      </c>
      <c r="X1303" s="1">
        <v>45658</v>
      </c>
      <c r="Y1303" s="2">
        <v>2304000</v>
      </c>
      <c r="Z1303" s="2">
        <v>0</v>
      </c>
      <c r="AA1303" s="2">
        <v>2304000</v>
      </c>
    </row>
    <row r="1304" spans="1:27" x14ac:dyDescent="0.3">
      <c r="A1304" s="3">
        <v>18</v>
      </c>
      <c r="B1304" s="2" t="str">
        <f>"10513024400"</f>
        <v>10513024400</v>
      </c>
      <c r="C1304" s="2" t="s">
        <v>4843</v>
      </c>
      <c r="D1304" t="s">
        <v>29</v>
      </c>
      <c r="E1304" s="2" t="s">
        <v>30</v>
      </c>
      <c r="F1304" s="2">
        <v>37204</v>
      </c>
      <c r="G1304" s="2" t="s">
        <v>253</v>
      </c>
      <c r="H1304" t="s">
        <v>4844</v>
      </c>
      <c r="I1304" s="6">
        <v>12868</v>
      </c>
      <c r="J1304" s="2" t="s">
        <v>4845</v>
      </c>
      <c r="K1304" s="2" t="s">
        <v>34</v>
      </c>
      <c r="L1304" t="s">
        <v>35</v>
      </c>
      <c r="M1304" t="s">
        <v>29</v>
      </c>
      <c r="N1304" t="s">
        <v>30</v>
      </c>
      <c r="O1304">
        <v>37219</v>
      </c>
      <c r="P1304" t="s">
        <v>4846</v>
      </c>
      <c r="Q1304" s="2">
        <v>5.8</v>
      </c>
      <c r="R1304" s="2">
        <v>0</v>
      </c>
      <c r="S1304" s="2">
        <v>0</v>
      </c>
      <c r="T1304" t="s">
        <v>4845</v>
      </c>
      <c r="U1304" s="6">
        <v>12868</v>
      </c>
      <c r="V1304" s="2">
        <v>47037017000</v>
      </c>
      <c r="W1304" s="2" t="s">
        <v>68</v>
      </c>
      <c r="X1304" s="1">
        <v>45658</v>
      </c>
      <c r="Y1304" s="2">
        <v>1397800</v>
      </c>
      <c r="Z1304" s="2">
        <v>0</v>
      </c>
      <c r="AA1304" s="2">
        <v>1397800</v>
      </c>
    </row>
    <row r="1305" spans="1:27" x14ac:dyDescent="0.3">
      <c r="A1305" s="3">
        <v>18</v>
      </c>
      <c r="B1305" s="2" t="str">
        <f>"10513001900"</f>
        <v>10513001900</v>
      </c>
      <c r="C1305" s="2" t="s">
        <v>4847</v>
      </c>
      <c r="D1305" t="s">
        <v>29</v>
      </c>
      <c r="E1305" s="2" t="s">
        <v>30</v>
      </c>
      <c r="F1305" s="2">
        <v>37212</v>
      </c>
      <c r="G1305" s="2" t="s">
        <v>2595</v>
      </c>
      <c r="H1305" t="s">
        <v>4848</v>
      </c>
      <c r="I1305" s="6">
        <v>22648</v>
      </c>
      <c r="J1305" s="2" t="s">
        <v>4849</v>
      </c>
      <c r="K1305" s="2" t="s">
        <v>34</v>
      </c>
      <c r="L1305" t="s">
        <v>35</v>
      </c>
      <c r="M1305" t="s">
        <v>29</v>
      </c>
      <c r="N1305" t="s">
        <v>30</v>
      </c>
      <c r="O1305">
        <v>37219</v>
      </c>
      <c r="P1305" t="s">
        <v>4850</v>
      </c>
      <c r="Q1305" s="2">
        <v>1.43</v>
      </c>
      <c r="R1305" s="2">
        <v>0</v>
      </c>
      <c r="S1305" s="2">
        <v>460</v>
      </c>
      <c r="T1305" t="s">
        <v>278</v>
      </c>
      <c r="U1305" s="6">
        <v>29839</v>
      </c>
      <c r="V1305" s="2">
        <v>47037017000</v>
      </c>
      <c r="W1305" s="2" t="s">
        <v>68</v>
      </c>
      <c r="X1305" s="1">
        <v>45658</v>
      </c>
      <c r="Y1305" s="2">
        <v>4200000</v>
      </c>
      <c r="Z1305" s="2">
        <v>0</v>
      </c>
      <c r="AA1305" s="2">
        <v>4200000</v>
      </c>
    </row>
    <row r="1306" spans="1:27" x14ac:dyDescent="0.3">
      <c r="A1306" s="3">
        <v>18</v>
      </c>
      <c r="B1306" s="2" t="str">
        <f>"10406014600"</f>
        <v>10406014600</v>
      </c>
      <c r="C1306" s="2" t="s">
        <v>4851</v>
      </c>
      <c r="D1306" t="s">
        <v>29</v>
      </c>
      <c r="E1306" s="2" t="s">
        <v>30</v>
      </c>
      <c r="F1306" s="2">
        <v>37212</v>
      </c>
      <c r="G1306" s="2" t="s">
        <v>64</v>
      </c>
      <c r="H1306" t="s">
        <v>280</v>
      </c>
      <c r="I1306" s="6">
        <v>9529</v>
      </c>
      <c r="J1306" s="2" t="s">
        <v>4852</v>
      </c>
      <c r="K1306" s="2" t="s">
        <v>34</v>
      </c>
      <c r="L1306" t="s">
        <v>35</v>
      </c>
      <c r="M1306" t="s">
        <v>29</v>
      </c>
      <c r="N1306" t="s">
        <v>30</v>
      </c>
      <c r="O1306">
        <v>37219</v>
      </c>
      <c r="P1306" t="s">
        <v>4853</v>
      </c>
      <c r="Q1306" s="2">
        <v>1.17</v>
      </c>
      <c r="R1306" s="2">
        <v>472</v>
      </c>
      <c r="S1306" s="2">
        <v>158</v>
      </c>
      <c r="T1306" t="s">
        <v>4852</v>
      </c>
      <c r="U1306" s="6">
        <v>9529</v>
      </c>
      <c r="V1306" s="2">
        <v>47037016800</v>
      </c>
      <c r="W1306" s="2" t="s">
        <v>68</v>
      </c>
      <c r="X1306" s="1">
        <v>45658</v>
      </c>
      <c r="Y1306" s="2">
        <v>768000</v>
      </c>
      <c r="Z1306" s="2">
        <v>0</v>
      </c>
      <c r="AA1306" s="2">
        <v>768000</v>
      </c>
    </row>
    <row r="1307" spans="1:27" x14ac:dyDescent="0.3">
      <c r="A1307" s="3">
        <v>18</v>
      </c>
      <c r="B1307" s="2" t="str">
        <f>"10406011200"</f>
        <v>10406011200</v>
      </c>
      <c r="C1307" s="2" t="s">
        <v>4854</v>
      </c>
      <c r="D1307" t="s">
        <v>29</v>
      </c>
      <c r="E1307" s="2" t="s">
        <v>30</v>
      </c>
      <c r="F1307" s="2">
        <v>37212</v>
      </c>
      <c r="G1307" s="2" t="s">
        <v>64</v>
      </c>
      <c r="H1307" t="s">
        <v>280</v>
      </c>
      <c r="I1307" s="6">
        <v>9529</v>
      </c>
      <c r="J1307" s="2" t="s">
        <v>4852</v>
      </c>
      <c r="K1307" s="2" t="s">
        <v>34</v>
      </c>
      <c r="L1307" t="s">
        <v>35</v>
      </c>
      <c r="M1307" t="s">
        <v>29</v>
      </c>
      <c r="N1307" t="s">
        <v>30</v>
      </c>
      <c r="O1307">
        <v>37219</v>
      </c>
      <c r="P1307" t="s">
        <v>4855</v>
      </c>
      <c r="Q1307" s="2">
        <v>0.19</v>
      </c>
      <c r="R1307" s="2">
        <v>208</v>
      </c>
      <c r="S1307" s="2">
        <v>270</v>
      </c>
      <c r="T1307" t="s">
        <v>4852</v>
      </c>
      <c r="U1307" s="6">
        <v>9529</v>
      </c>
      <c r="V1307" s="2">
        <v>47037016800</v>
      </c>
      <c r="W1307" s="2" t="s">
        <v>68</v>
      </c>
      <c r="X1307" s="1">
        <v>45658</v>
      </c>
      <c r="Y1307" s="2">
        <v>528000</v>
      </c>
      <c r="Z1307" s="2">
        <v>0</v>
      </c>
      <c r="AA1307" s="2">
        <v>528000</v>
      </c>
    </row>
    <row r="1308" spans="1:27" x14ac:dyDescent="0.3">
      <c r="A1308" s="3">
        <v>18</v>
      </c>
      <c r="B1308" s="2" t="str">
        <f>"10406014000"</f>
        <v>10406014000</v>
      </c>
      <c r="C1308" s="2" t="s">
        <v>4851</v>
      </c>
      <c r="D1308" t="s">
        <v>29</v>
      </c>
      <c r="E1308" s="2" t="s">
        <v>30</v>
      </c>
      <c r="F1308" s="2">
        <v>37212</v>
      </c>
      <c r="G1308" s="2" t="s">
        <v>2543</v>
      </c>
      <c r="H1308" t="s">
        <v>280</v>
      </c>
      <c r="I1308" s="6">
        <v>9529</v>
      </c>
      <c r="J1308" s="2" t="s">
        <v>4852</v>
      </c>
      <c r="K1308" s="2" t="s">
        <v>34</v>
      </c>
      <c r="L1308" t="s">
        <v>35</v>
      </c>
      <c r="M1308" t="s">
        <v>29</v>
      </c>
      <c r="N1308" t="s">
        <v>30</v>
      </c>
      <c r="O1308">
        <v>37219</v>
      </c>
      <c r="P1308" t="s">
        <v>4856</v>
      </c>
      <c r="Q1308" s="2">
        <v>0.41</v>
      </c>
      <c r="R1308" s="2">
        <v>253</v>
      </c>
      <c r="S1308" s="2">
        <v>170</v>
      </c>
      <c r="T1308" t="s">
        <v>4852</v>
      </c>
      <c r="U1308" s="6">
        <v>9529</v>
      </c>
      <c r="V1308" s="2">
        <v>47037016800</v>
      </c>
      <c r="W1308" s="2" t="s">
        <v>68</v>
      </c>
      <c r="X1308" s="1">
        <v>45658</v>
      </c>
      <c r="Y1308" s="2">
        <v>624000</v>
      </c>
      <c r="Z1308" s="2">
        <v>0</v>
      </c>
      <c r="AA1308" s="2">
        <v>624000</v>
      </c>
    </row>
    <row r="1309" spans="1:27" x14ac:dyDescent="0.3">
      <c r="A1309" s="3">
        <v>18</v>
      </c>
      <c r="B1309" s="2" t="str">
        <f>"10406014100"</f>
        <v>10406014100</v>
      </c>
      <c r="C1309" s="2" t="s">
        <v>4851</v>
      </c>
      <c r="D1309" t="s">
        <v>29</v>
      </c>
      <c r="E1309" s="2" t="s">
        <v>30</v>
      </c>
      <c r="F1309" s="2">
        <v>37212</v>
      </c>
      <c r="G1309" s="2" t="s">
        <v>64</v>
      </c>
      <c r="H1309" t="s">
        <v>280</v>
      </c>
      <c r="I1309" s="6">
        <v>9529</v>
      </c>
      <c r="J1309" s="2" t="s">
        <v>4852</v>
      </c>
      <c r="K1309" s="2" t="s">
        <v>34</v>
      </c>
      <c r="L1309" t="s">
        <v>35</v>
      </c>
      <c r="M1309" t="s">
        <v>29</v>
      </c>
      <c r="N1309" t="s">
        <v>30</v>
      </c>
      <c r="O1309">
        <v>37219</v>
      </c>
      <c r="P1309" t="s">
        <v>4857</v>
      </c>
      <c r="Q1309" s="2">
        <v>2.56</v>
      </c>
      <c r="R1309" s="2">
        <v>477</v>
      </c>
      <c r="S1309" s="2">
        <v>0</v>
      </c>
      <c r="T1309" t="s">
        <v>4858</v>
      </c>
      <c r="U1309" s="6">
        <v>38512</v>
      </c>
      <c r="V1309" s="2">
        <v>47037016800</v>
      </c>
      <c r="W1309" s="2" t="s">
        <v>68</v>
      </c>
      <c r="X1309" s="1">
        <v>45658</v>
      </c>
      <c r="Y1309" s="2">
        <v>2496000</v>
      </c>
      <c r="Z1309" s="2">
        <v>0</v>
      </c>
      <c r="AA1309" s="2">
        <v>2496000</v>
      </c>
    </row>
    <row r="1310" spans="1:27" x14ac:dyDescent="0.3">
      <c r="A1310" s="3">
        <v>18</v>
      </c>
      <c r="B1310" s="2" t="str">
        <f>"10406011300"</f>
        <v>10406011300</v>
      </c>
      <c r="C1310" s="2" t="s">
        <v>4859</v>
      </c>
      <c r="D1310" t="s">
        <v>29</v>
      </c>
      <c r="E1310" s="2" t="s">
        <v>30</v>
      </c>
      <c r="F1310" s="2">
        <v>37212</v>
      </c>
      <c r="G1310" s="2" t="s">
        <v>152</v>
      </c>
      <c r="H1310" t="s">
        <v>280</v>
      </c>
      <c r="I1310" s="6">
        <v>9529</v>
      </c>
      <c r="J1310" s="2" t="s">
        <v>4852</v>
      </c>
      <c r="K1310" s="2" t="s">
        <v>34</v>
      </c>
      <c r="L1310" t="s">
        <v>35</v>
      </c>
      <c r="M1310" t="s">
        <v>29</v>
      </c>
      <c r="N1310" t="s">
        <v>30</v>
      </c>
      <c r="O1310">
        <v>37219</v>
      </c>
      <c r="P1310" t="s">
        <v>4860</v>
      </c>
      <c r="Q1310" s="2">
        <v>0.35</v>
      </c>
      <c r="R1310" s="2">
        <v>166</v>
      </c>
      <c r="S1310" s="2">
        <v>133</v>
      </c>
      <c r="T1310" t="s">
        <v>4858</v>
      </c>
      <c r="U1310" s="6">
        <v>38512</v>
      </c>
      <c r="V1310" s="2">
        <v>47037016800</v>
      </c>
      <c r="W1310" s="2" t="s">
        <v>68</v>
      </c>
      <c r="X1310" s="1">
        <v>45658</v>
      </c>
      <c r="Y1310" s="2">
        <v>576000</v>
      </c>
      <c r="Z1310" s="2">
        <v>0</v>
      </c>
      <c r="AA1310" s="2">
        <v>576000</v>
      </c>
    </row>
    <row r="1311" spans="1:27" x14ac:dyDescent="0.3">
      <c r="A1311" s="3">
        <v>18</v>
      </c>
      <c r="B1311" s="2" t="str">
        <f>"10406034600"</f>
        <v>10406034600</v>
      </c>
      <c r="C1311" s="2" t="s">
        <v>4861</v>
      </c>
      <c r="D1311" t="s">
        <v>29</v>
      </c>
      <c r="E1311" s="2" t="s">
        <v>30</v>
      </c>
      <c r="F1311" s="2">
        <v>37212</v>
      </c>
      <c r="G1311" s="2" t="s">
        <v>64</v>
      </c>
      <c r="H1311" t="s">
        <v>280</v>
      </c>
      <c r="I1311" s="6">
        <v>9529</v>
      </c>
      <c r="J1311" s="2" t="s">
        <v>4852</v>
      </c>
      <c r="K1311" s="2" t="s">
        <v>34</v>
      </c>
      <c r="L1311" t="s">
        <v>35</v>
      </c>
      <c r="M1311" t="s">
        <v>29</v>
      </c>
      <c r="N1311" t="s">
        <v>30</v>
      </c>
      <c r="O1311">
        <v>37219</v>
      </c>
      <c r="P1311" t="s">
        <v>4857</v>
      </c>
      <c r="Q1311" s="2">
        <v>0.66</v>
      </c>
      <c r="R1311" s="2">
        <v>0</v>
      </c>
      <c r="S1311" s="2">
        <v>0</v>
      </c>
      <c r="T1311" t="s">
        <v>4858</v>
      </c>
      <c r="U1311" s="6">
        <v>38512</v>
      </c>
      <c r="V1311" s="2">
        <v>47037016800</v>
      </c>
      <c r="W1311" s="2" t="s">
        <v>68</v>
      </c>
      <c r="X1311" s="1">
        <v>45658</v>
      </c>
      <c r="Y1311" s="2">
        <v>720000</v>
      </c>
      <c r="Z1311" s="2">
        <v>0</v>
      </c>
      <c r="AA1311" s="2">
        <v>720000</v>
      </c>
    </row>
    <row r="1312" spans="1:27" x14ac:dyDescent="0.3">
      <c r="A1312" s="3">
        <v>18</v>
      </c>
      <c r="B1312" s="2" t="str">
        <f>"10406034500"</f>
        <v>10406034500</v>
      </c>
      <c r="C1312" s="2" t="s">
        <v>4862</v>
      </c>
      <c r="D1312" t="s">
        <v>29</v>
      </c>
      <c r="E1312" s="2" t="s">
        <v>30</v>
      </c>
      <c r="F1312" s="2">
        <v>37212</v>
      </c>
      <c r="G1312" s="2" t="s">
        <v>64</v>
      </c>
      <c r="H1312" t="s">
        <v>280</v>
      </c>
      <c r="I1312" s="6">
        <v>9529</v>
      </c>
      <c r="J1312" s="2" t="s">
        <v>4852</v>
      </c>
      <c r="K1312" s="2" t="s">
        <v>34</v>
      </c>
      <c r="L1312" t="s">
        <v>35</v>
      </c>
      <c r="M1312" t="s">
        <v>29</v>
      </c>
      <c r="N1312" t="s">
        <v>30</v>
      </c>
      <c r="O1312">
        <v>37219</v>
      </c>
      <c r="P1312" t="s">
        <v>4857</v>
      </c>
      <c r="Q1312" s="2">
        <v>1.97</v>
      </c>
      <c r="R1312" s="2">
        <v>0</v>
      </c>
      <c r="S1312" s="2">
        <v>0</v>
      </c>
      <c r="T1312" t="s">
        <v>4858</v>
      </c>
      <c r="U1312" s="6">
        <v>38512</v>
      </c>
      <c r="V1312" s="2">
        <v>47037016800</v>
      </c>
      <c r="W1312" s="2" t="s">
        <v>68</v>
      </c>
      <c r="X1312" s="1">
        <v>45658</v>
      </c>
      <c r="Y1312" s="2">
        <v>768000</v>
      </c>
      <c r="Z1312" s="2">
        <v>0</v>
      </c>
      <c r="AA1312" s="2">
        <v>768000</v>
      </c>
    </row>
    <row r="1313" spans="1:27" x14ac:dyDescent="0.3">
      <c r="A1313" s="3">
        <v>18</v>
      </c>
      <c r="B1313" s="2" t="str">
        <f>"10406034700"</f>
        <v>10406034700</v>
      </c>
      <c r="C1313" s="2" t="s">
        <v>4851</v>
      </c>
      <c r="D1313" t="s">
        <v>29</v>
      </c>
      <c r="E1313" s="2" t="s">
        <v>30</v>
      </c>
      <c r="F1313" s="2">
        <v>37212</v>
      </c>
      <c r="G1313" s="2" t="s">
        <v>64</v>
      </c>
      <c r="H1313" t="s">
        <v>280</v>
      </c>
      <c r="I1313" s="6">
        <v>9529</v>
      </c>
      <c r="J1313" s="2" t="s">
        <v>4852</v>
      </c>
      <c r="K1313" s="2" t="s">
        <v>34</v>
      </c>
      <c r="L1313" t="s">
        <v>35</v>
      </c>
      <c r="M1313" t="s">
        <v>29</v>
      </c>
      <c r="N1313" t="s">
        <v>30</v>
      </c>
      <c r="O1313">
        <v>37219</v>
      </c>
      <c r="P1313" t="s">
        <v>4857</v>
      </c>
      <c r="Q1313" s="2">
        <v>0.05</v>
      </c>
      <c r="R1313" s="2">
        <v>0</v>
      </c>
      <c r="S1313" s="2">
        <v>0</v>
      </c>
      <c r="T1313" t="s">
        <v>4858</v>
      </c>
      <c r="U1313" s="6">
        <v>38512</v>
      </c>
      <c r="V1313" s="2">
        <v>47037016800</v>
      </c>
      <c r="W1313" s="2" t="s">
        <v>68</v>
      </c>
      <c r="X1313" s="1">
        <v>45658</v>
      </c>
      <c r="Y1313" s="2">
        <v>120000</v>
      </c>
      <c r="Z1313" s="2">
        <v>0</v>
      </c>
      <c r="AA1313" s="2">
        <v>120000</v>
      </c>
    </row>
    <row r="1314" spans="1:27" x14ac:dyDescent="0.3">
      <c r="A1314" s="3">
        <v>18</v>
      </c>
      <c r="B1314" s="2" t="str">
        <f>"10406022600"</f>
        <v>10406022600</v>
      </c>
      <c r="C1314" s="2" t="s">
        <v>4854</v>
      </c>
      <c r="D1314" t="s">
        <v>29</v>
      </c>
      <c r="E1314" s="2" t="s">
        <v>30</v>
      </c>
      <c r="F1314" s="2">
        <v>37212</v>
      </c>
      <c r="G1314" s="2" t="s">
        <v>64</v>
      </c>
      <c r="H1314" t="s">
        <v>280</v>
      </c>
      <c r="I1314" s="6">
        <v>9539</v>
      </c>
      <c r="J1314" s="2" t="s">
        <v>4863</v>
      </c>
      <c r="K1314" s="2" t="s">
        <v>34</v>
      </c>
      <c r="L1314" t="s">
        <v>35</v>
      </c>
      <c r="M1314" t="s">
        <v>29</v>
      </c>
      <c r="N1314" t="s">
        <v>30</v>
      </c>
      <c r="O1314">
        <v>37219</v>
      </c>
      <c r="P1314" t="s">
        <v>4864</v>
      </c>
      <c r="Q1314" s="2">
        <v>0.1</v>
      </c>
      <c r="R1314" s="2">
        <v>30</v>
      </c>
      <c r="S1314" s="2">
        <v>150</v>
      </c>
      <c r="T1314" t="s">
        <v>4863</v>
      </c>
      <c r="U1314" s="6">
        <v>9539</v>
      </c>
      <c r="V1314" s="2">
        <v>47037016800</v>
      </c>
      <c r="W1314" s="2" t="s">
        <v>68</v>
      </c>
      <c r="X1314" s="1">
        <v>45658</v>
      </c>
      <c r="Y1314" s="2">
        <v>480000</v>
      </c>
      <c r="Z1314" s="2">
        <v>0</v>
      </c>
      <c r="AA1314" s="2">
        <v>480000</v>
      </c>
    </row>
    <row r="1315" spans="1:27" x14ac:dyDescent="0.3">
      <c r="A1315" s="3">
        <v>19</v>
      </c>
      <c r="B1315" s="2" t="str">
        <f>"09208010500"</f>
        <v>09208010500</v>
      </c>
      <c r="C1315" s="2" t="s">
        <v>4865</v>
      </c>
      <c r="D1315" t="s">
        <v>29</v>
      </c>
      <c r="E1315" s="2" t="s">
        <v>30</v>
      </c>
      <c r="F1315" s="2">
        <v>37203</v>
      </c>
      <c r="G1315" s="2" t="s">
        <v>2490</v>
      </c>
      <c r="H1315" t="s">
        <v>32</v>
      </c>
      <c r="I1315" s="6">
        <v>42941</v>
      </c>
      <c r="J1315" s="2" t="s">
        <v>4866</v>
      </c>
      <c r="K1315" s="2" t="s">
        <v>34</v>
      </c>
      <c r="L1315" t="s">
        <v>35</v>
      </c>
      <c r="M1315" t="s">
        <v>29</v>
      </c>
      <c r="N1315" t="s">
        <v>30</v>
      </c>
      <c r="O1315">
        <v>37219</v>
      </c>
      <c r="P1315" t="s">
        <v>4867</v>
      </c>
      <c r="Q1315" s="2">
        <v>0.2</v>
      </c>
      <c r="R1315" s="2">
        <v>50</v>
      </c>
      <c r="S1315" s="2">
        <v>160</v>
      </c>
      <c r="T1315" t="s">
        <v>4868</v>
      </c>
      <c r="U1315" s="6">
        <v>24979</v>
      </c>
      <c r="V1315" s="2">
        <v>47037014400</v>
      </c>
      <c r="W1315" s="2" t="s">
        <v>68</v>
      </c>
      <c r="X1315" s="1">
        <v>45658</v>
      </c>
      <c r="Y1315" s="2">
        <v>739300</v>
      </c>
      <c r="Z1315" s="2">
        <v>19300</v>
      </c>
      <c r="AA1315" s="2">
        <v>720000</v>
      </c>
    </row>
    <row r="1316" spans="1:27" x14ac:dyDescent="0.3">
      <c r="A1316" s="3">
        <v>19</v>
      </c>
      <c r="B1316" s="2" t="str">
        <f>"09208010400"</f>
        <v>09208010400</v>
      </c>
      <c r="C1316" s="2" t="s">
        <v>4869</v>
      </c>
      <c r="D1316" t="s">
        <v>29</v>
      </c>
      <c r="E1316" s="2" t="s">
        <v>30</v>
      </c>
      <c r="F1316" s="2">
        <v>37203</v>
      </c>
      <c r="G1316" s="2" t="s">
        <v>41</v>
      </c>
      <c r="H1316" t="s">
        <v>32</v>
      </c>
      <c r="I1316" s="6">
        <v>42941</v>
      </c>
      <c r="J1316" s="2" t="s">
        <v>4866</v>
      </c>
      <c r="K1316" s="2" t="s">
        <v>34</v>
      </c>
      <c r="L1316" t="s">
        <v>35</v>
      </c>
      <c r="M1316" t="s">
        <v>29</v>
      </c>
      <c r="N1316" t="s">
        <v>30</v>
      </c>
      <c r="O1316">
        <v>37219</v>
      </c>
      <c r="P1316" t="s">
        <v>4870</v>
      </c>
      <c r="Q1316" s="2">
        <v>0.16</v>
      </c>
      <c r="R1316" s="2">
        <v>39</v>
      </c>
      <c r="S1316" s="2">
        <v>160</v>
      </c>
      <c r="T1316" t="s">
        <v>4871</v>
      </c>
      <c r="U1316" s="6">
        <v>24784</v>
      </c>
      <c r="V1316" s="2">
        <v>47037014400</v>
      </c>
      <c r="W1316" s="2" t="s">
        <v>68</v>
      </c>
      <c r="X1316" s="1">
        <v>45658</v>
      </c>
      <c r="Y1316" s="2">
        <v>561600</v>
      </c>
      <c r="Z1316" s="2">
        <v>0</v>
      </c>
      <c r="AA1316" s="2">
        <v>561600</v>
      </c>
    </row>
    <row r="1317" spans="1:27" x14ac:dyDescent="0.3">
      <c r="A1317" s="3">
        <v>19</v>
      </c>
      <c r="B1317" s="2" t="str">
        <f>"09311011000"</f>
        <v>09311011000</v>
      </c>
      <c r="C1317" s="2" t="s">
        <v>4872</v>
      </c>
      <c r="D1317" t="s">
        <v>29</v>
      </c>
      <c r="E1317" s="2" t="s">
        <v>30</v>
      </c>
      <c r="F1317" s="2">
        <v>37210</v>
      </c>
      <c r="G1317" s="2" t="s">
        <v>1485</v>
      </c>
      <c r="H1317" t="s">
        <v>32</v>
      </c>
      <c r="I1317" s="6">
        <v>42356</v>
      </c>
      <c r="J1317" s="2" t="s">
        <v>4873</v>
      </c>
      <c r="K1317" s="2">
        <v>0</v>
      </c>
      <c r="L1317" t="s">
        <v>35</v>
      </c>
      <c r="M1317" t="s">
        <v>29</v>
      </c>
      <c r="N1317" t="s">
        <v>30</v>
      </c>
      <c r="O1317">
        <v>37219</v>
      </c>
      <c r="P1317" t="s">
        <v>4874</v>
      </c>
      <c r="Q1317" s="2">
        <v>0.75</v>
      </c>
      <c r="R1317" s="2">
        <v>300</v>
      </c>
      <c r="S1317" s="2">
        <v>182</v>
      </c>
      <c r="T1317" t="s">
        <v>4875</v>
      </c>
      <c r="U1317" s="6">
        <v>19917</v>
      </c>
      <c r="V1317" s="2">
        <v>47037019500</v>
      </c>
      <c r="W1317" s="2" t="s">
        <v>68</v>
      </c>
      <c r="X1317" s="1">
        <v>45658</v>
      </c>
      <c r="Y1317" s="2">
        <v>84400</v>
      </c>
      <c r="Z1317" s="2">
        <v>0</v>
      </c>
      <c r="AA1317" s="2">
        <v>84400</v>
      </c>
    </row>
    <row r="1318" spans="1:27" x14ac:dyDescent="0.3">
      <c r="A1318" s="3">
        <v>19</v>
      </c>
      <c r="B1318" s="2" t="str">
        <f>"09311011100"</f>
        <v>09311011100</v>
      </c>
      <c r="C1318" s="2" t="s">
        <v>4872</v>
      </c>
      <c r="D1318" t="s">
        <v>29</v>
      </c>
      <c r="E1318" s="2" t="s">
        <v>30</v>
      </c>
      <c r="F1318" s="2">
        <v>37210</v>
      </c>
      <c r="G1318" s="2" t="s">
        <v>41</v>
      </c>
      <c r="H1318" t="s">
        <v>32</v>
      </c>
      <c r="I1318" s="6">
        <v>42356</v>
      </c>
      <c r="J1318" s="2" t="s">
        <v>4873</v>
      </c>
      <c r="K1318" s="2">
        <v>0</v>
      </c>
      <c r="L1318" t="s">
        <v>35</v>
      </c>
      <c r="M1318" t="s">
        <v>29</v>
      </c>
      <c r="N1318" t="s">
        <v>30</v>
      </c>
      <c r="O1318">
        <v>37219</v>
      </c>
      <c r="P1318" t="s">
        <v>4876</v>
      </c>
      <c r="Q1318" s="2">
        <v>6.77</v>
      </c>
      <c r="R1318" s="2">
        <v>0</v>
      </c>
      <c r="S1318" s="2">
        <v>0</v>
      </c>
      <c r="T1318" t="s">
        <v>4877</v>
      </c>
      <c r="U1318" s="6">
        <v>25454</v>
      </c>
      <c r="V1318" s="2">
        <v>47037019500</v>
      </c>
      <c r="W1318" s="2" t="s">
        <v>68</v>
      </c>
      <c r="X1318" s="1">
        <v>45658</v>
      </c>
      <c r="Y1318" s="2">
        <v>761600</v>
      </c>
      <c r="Z1318" s="2">
        <v>0</v>
      </c>
      <c r="AA1318" s="2">
        <v>761600</v>
      </c>
    </row>
    <row r="1319" spans="1:27" x14ac:dyDescent="0.3">
      <c r="A1319" s="3">
        <v>19</v>
      </c>
      <c r="B1319" s="2" t="str">
        <f>"09311024300"</f>
        <v>09311024300</v>
      </c>
      <c r="C1319" s="2" t="s">
        <v>4872</v>
      </c>
      <c r="D1319" t="s">
        <v>29</v>
      </c>
      <c r="E1319" s="2" t="s">
        <v>30</v>
      </c>
      <c r="F1319" s="2">
        <v>37210</v>
      </c>
      <c r="G1319" s="2" t="s">
        <v>1485</v>
      </c>
      <c r="H1319" t="s">
        <v>32</v>
      </c>
      <c r="I1319" s="6">
        <v>42356</v>
      </c>
      <c r="J1319" s="2" t="s">
        <v>4873</v>
      </c>
      <c r="K1319" s="2">
        <v>0</v>
      </c>
      <c r="L1319" t="s">
        <v>35</v>
      </c>
      <c r="M1319" t="s">
        <v>29</v>
      </c>
      <c r="N1319" t="s">
        <v>30</v>
      </c>
      <c r="O1319">
        <v>37219</v>
      </c>
      <c r="P1319" t="s">
        <v>4878</v>
      </c>
      <c r="Q1319" s="2">
        <v>1.79</v>
      </c>
      <c r="R1319" s="2">
        <v>0</v>
      </c>
      <c r="S1319" s="2">
        <v>0</v>
      </c>
      <c r="T1319" t="s">
        <v>4879</v>
      </c>
      <c r="U1319" s="6">
        <v>30105</v>
      </c>
      <c r="V1319" s="2">
        <v>47037019500</v>
      </c>
      <c r="W1319" s="2" t="s">
        <v>68</v>
      </c>
      <c r="X1319" s="1">
        <v>45658</v>
      </c>
      <c r="Y1319" s="2">
        <v>201400</v>
      </c>
      <c r="Z1319" s="2">
        <v>0</v>
      </c>
      <c r="AA1319" s="2">
        <v>201400</v>
      </c>
    </row>
    <row r="1320" spans="1:27" x14ac:dyDescent="0.3">
      <c r="A1320" s="3">
        <v>19</v>
      </c>
      <c r="B1320" s="2" t="str">
        <f>"09311011200"</f>
        <v>09311011200</v>
      </c>
      <c r="C1320" s="2" t="s">
        <v>4880</v>
      </c>
      <c r="D1320" t="s">
        <v>29</v>
      </c>
      <c r="E1320" s="2" t="s">
        <v>30</v>
      </c>
      <c r="F1320" s="2">
        <v>37210</v>
      </c>
      <c r="G1320" s="2" t="s">
        <v>2490</v>
      </c>
      <c r="H1320" t="s">
        <v>32</v>
      </c>
      <c r="I1320" s="6">
        <v>42356</v>
      </c>
      <c r="J1320" s="2" t="s">
        <v>4873</v>
      </c>
      <c r="K1320" s="2">
        <v>0</v>
      </c>
      <c r="L1320" t="s">
        <v>35</v>
      </c>
      <c r="M1320" t="s">
        <v>29</v>
      </c>
      <c r="N1320" t="s">
        <v>30</v>
      </c>
      <c r="O1320">
        <v>37219</v>
      </c>
      <c r="P1320" t="s">
        <v>4881</v>
      </c>
      <c r="Q1320" s="2">
        <v>3.57</v>
      </c>
      <c r="R1320" s="2">
        <v>0</v>
      </c>
      <c r="S1320" s="2">
        <v>0</v>
      </c>
      <c r="T1320" t="s">
        <v>4882</v>
      </c>
      <c r="U1320" s="6">
        <v>30105</v>
      </c>
      <c r="V1320" s="2">
        <v>47037019500</v>
      </c>
      <c r="W1320" s="2" t="s">
        <v>68</v>
      </c>
      <c r="X1320" s="1">
        <v>45658</v>
      </c>
      <c r="Y1320" s="2">
        <v>599200</v>
      </c>
      <c r="Z1320" s="2">
        <v>63700</v>
      </c>
      <c r="AA1320" s="2">
        <v>535500</v>
      </c>
    </row>
    <row r="1321" spans="1:27" x14ac:dyDescent="0.3">
      <c r="A1321" s="3">
        <v>19</v>
      </c>
      <c r="B1321" s="2" t="str">
        <f>"09312001600"</f>
        <v>09312001600</v>
      </c>
      <c r="C1321" s="2" t="s">
        <v>4872</v>
      </c>
      <c r="D1321" t="s">
        <v>29</v>
      </c>
      <c r="E1321" s="2" t="s">
        <v>30</v>
      </c>
      <c r="F1321" s="2">
        <v>37210</v>
      </c>
      <c r="G1321" s="2" t="s">
        <v>41</v>
      </c>
      <c r="H1321" t="s">
        <v>32</v>
      </c>
      <c r="I1321" s="6">
        <v>42356</v>
      </c>
      <c r="J1321" s="2" t="s">
        <v>4873</v>
      </c>
      <c r="K1321" s="2">
        <v>0</v>
      </c>
      <c r="L1321" t="s">
        <v>35</v>
      </c>
      <c r="M1321" t="s">
        <v>29</v>
      </c>
      <c r="N1321" t="s">
        <v>30</v>
      </c>
      <c r="O1321">
        <v>37219</v>
      </c>
      <c r="P1321" t="s">
        <v>4881</v>
      </c>
      <c r="Q1321" s="2">
        <v>0.2</v>
      </c>
      <c r="R1321" s="2">
        <v>195</v>
      </c>
      <c r="S1321" s="2">
        <v>160</v>
      </c>
      <c r="T1321" t="s">
        <v>4879</v>
      </c>
      <c r="U1321" s="6">
        <v>30105</v>
      </c>
      <c r="V1321" s="2">
        <v>47037019500</v>
      </c>
      <c r="W1321" s="2" t="s">
        <v>68</v>
      </c>
      <c r="X1321" s="1">
        <v>45658</v>
      </c>
      <c r="Y1321" s="2">
        <v>40000</v>
      </c>
      <c r="Z1321" s="2">
        <v>0</v>
      </c>
      <c r="AA1321" s="2">
        <v>40000</v>
      </c>
    </row>
    <row r="1322" spans="1:27" x14ac:dyDescent="0.3">
      <c r="A1322" s="3">
        <v>19</v>
      </c>
      <c r="B1322" s="2" t="str">
        <f>"09315000500"</f>
        <v>09315000500</v>
      </c>
      <c r="C1322" s="2" t="s">
        <v>4883</v>
      </c>
      <c r="D1322" t="s">
        <v>29</v>
      </c>
      <c r="E1322" s="2" t="s">
        <v>30</v>
      </c>
      <c r="F1322" s="2">
        <v>37210</v>
      </c>
      <c r="G1322" s="2" t="s">
        <v>41</v>
      </c>
      <c r="H1322" t="s">
        <v>32</v>
      </c>
      <c r="I1322" s="6">
        <v>41890</v>
      </c>
      <c r="J1322" s="2" t="s">
        <v>4884</v>
      </c>
      <c r="K1322" s="2">
        <v>0</v>
      </c>
      <c r="L1322" t="s">
        <v>35</v>
      </c>
      <c r="M1322" t="s">
        <v>29</v>
      </c>
      <c r="N1322" t="s">
        <v>30</v>
      </c>
      <c r="O1322">
        <v>37219</v>
      </c>
      <c r="P1322" t="s">
        <v>4885</v>
      </c>
      <c r="Q1322" s="2">
        <v>0.22</v>
      </c>
      <c r="R1322" s="2">
        <v>60</v>
      </c>
      <c r="S1322" s="2">
        <v>165</v>
      </c>
      <c r="T1322" t="s">
        <v>4886</v>
      </c>
      <c r="U1322" s="6">
        <v>5786</v>
      </c>
      <c r="V1322" s="2">
        <v>47037019500</v>
      </c>
      <c r="W1322" s="2" t="s">
        <v>68</v>
      </c>
      <c r="X1322" s="1">
        <v>45658</v>
      </c>
      <c r="Y1322" s="2">
        <v>2632500</v>
      </c>
      <c r="Z1322" s="2">
        <v>0</v>
      </c>
      <c r="AA1322" s="2">
        <v>2632500</v>
      </c>
    </row>
    <row r="1323" spans="1:27" x14ac:dyDescent="0.3">
      <c r="A1323" s="3">
        <v>19</v>
      </c>
      <c r="B1323" s="2" t="str">
        <f>"09305020300"</f>
        <v>09305020300</v>
      </c>
      <c r="C1323" s="2" t="s">
        <v>4887</v>
      </c>
      <c r="D1323" t="s">
        <v>29</v>
      </c>
      <c r="E1323" s="2" t="s">
        <v>30</v>
      </c>
      <c r="F1323" s="2">
        <v>37203</v>
      </c>
      <c r="G1323" s="2" t="s">
        <v>41</v>
      </c>
      <c r="H1323" t="s">
        <v>32</v>
      </c>
      <c r="I1323" s="6">
        <v>43972</v>
      </c>
      <c r="J1323" s="2" t="s">
        <v>4888</v>
      </c>
      <c r="K1323" s="2">
        <v>0</v>
      </c>
      <c r="L1323" t="s">
        <v>4889</v>
      </c>
      <c r="M1323" t="s">
        <v>29</v>
      </c>
      <c r="N1323" t="s">
        <v>30</v>
      </c>
      <c r="O1323">
        <v>37219</v>
      </c>
      <c r="P1323" t="s">
        <v>4890</v>
      </c>
      <c r="Q1323" s="2">
        <v>0.14000000000000001</v>
      </c>
      <c r="R1323" s="2">
        <v>13</v>
      </c>
      <c r="S1323" s="2">
        <v>451</v>
      </c>
      <c r="T1323" t="s">
        <v>4891</v>
      </c>
      <c r="U1323" s="6">
        <v>42856</v>
      </c>
      <c r="V1323" s="2">
        <v>47037019400</v>
      </c>
      <c r="W1323" s="2" t="s">
        <v>68</v>
      </c>
      <c r="X1323" s="1">
        <v>45658</v>
      </c>
      <c r="Y1323" s="2">
        <v>800400</v>
      </c>
      <c r="Z1323" s="2">
        <v>0</v>
      </c>
      <c r="AA1323" s="2">
        <v>800400</v>
      </c>
    </row>
    <row r="1324" spans="1:27" x14ac:dyDescent="0.3">
      <c r="A1324" s="3">
        <v>19</v>
      </c>
      <c r="B1324" s="2" t="str">
        <f>"09307004600"</f>
        <v>09307004600</v>
      </c>
      <c r="C1324" s="2" t="s">
        <v>4892</v>
      </c>
      <c r="D1324" t="s">
        <v>29</v>
      </c>
      <c r="E1324" s="2" t="s">
        <v>30</v>
      </c>
      <c r="F1324" s="2">
        <v>37213</v>
      </c>
      <c r="G1324" s="2" t="s">
        <v>2490</v>
      </c>
      <c r="H1324" t="s">
        <v>32</v>
      </c>
      <c r="I1324" s="6">
        <v>45163</v>
      </c>
      <c r="J1324" s="2" t="s">
        <v>4893</v>
      </c>
      <c r="K1324" s="2" t="s">
        <v>34</v>
      </c>
      <c r="L1324" t="s">
        <v>85</v>
      </c>
      <c r="M1324" t="s">
        <v>29</v>
      </c>
      <c r="N1324" t="s">
        <v>30</v>
      </c>
      <c r="O1324">
        <v>37219</v>
      </c>
      <c r="P1324" t="s">
        <v>4894</v>
      </c>
      <c r="Q1324" s="2">
        <v>3.42</v>
      </c>
      <c r="R1324" s="2">
        <v>0</v>
      </c>
      <c r="S1324" s="2">
        <v>0</v>
      </c>
      <c r="T1324" t="s">
        <v>4895</v>
      </c>
      <c r="U1324" s="6">
        <v>40448</v>
      </c>
      <c r="V1324" s="2">
        <v>47037019300</v>
      </c>
      <c r="W1324" s="2" t="s">
        <v>68</v>
      </c>
      <c r="X1324" s="1">
        <v>45658</v>
      </c>
      <c r="Y1324" s="2">
        <v>14930600</v>
      </c>
      <c r="Z1324" s="2">
        <v>405500</v>
      </c>
      <c r="AA1324" s="2">
        <v>14525100</v>
      </c>
    </row>
    <row r="1325" spans="1:27" x14ac:dyDescent="0.3">
      <c r="A1325" s="3">
        <v>19</v>
      </c>
      <c r="B1325" s="2" t="str">
        <f>"09303015300"</f>
        <v>09303015300</v>
      </c>
      <c r="C1325" s="2" t="s">
        <v>4896</v>
      </c>
      <c r="D1325" t="s">
        <v>29</v>
      </c>
      <c r="E1325" s="2" t="s">
        <v>30</v>
      </c>
      <c r="F1325" s="2">
        <v>37213</v>
      </c>
      <c r="G1325" s="2" t="s">
        <v>2490</v>
      </c>
      <c r="H1325" t="s">
        <v>32</v>
      </c>
      <c r="I1325" s="6">
        <v>45163</v>
      </c>
      <c r="J1325" s="2" t="s">
        <v>4893</v>
      </c>
      <c r="K1325" s="2" t="s">
        <v>34</v>
      </c>
      <c r="L1325" t="s">
        <v>85</v>
      </c>
      <c r="M1325" t="s">
        <v>29</v>
      </c>
      <c r="N1325" t="s">
        <v>30</v>
      </c>
      <c r="O1325">
        <v>37219</v>
      </c>
      <c r="P1325" t="s">
        <v>4897</v>
      </c>
      <c r="Q1325" s="2">
        <v>4.16</v>
      </c>
      <c r="R1325" s="2">
        <v>119</v>
      </c>
      <c r="S1325" s="2">
        <v>616</v>
      </c>
      <c r="T1325" t="s">
        <v>4898</v>
      </c>
      <c r="U1325" s="6">
        <v>36381</v>
      </c>
      <c r="V1325" s="2">
        <v>47037019300</v>
      </c>
      <c r="W1325" s="2" t="s">
        <v>68</v>
      </c>
      <c r="X1325" s="1">
        <v>45658</v>
      </c>
      <c r="Y1325" s="2">
        <v>18072600</v>
      </c>
      <c r="Z1325" s="2">
        <v>404600</v>
      </c>
      <c r="AA1325" s="2">
        <v>17668000</v>
      </c>
    </row>
    <row r="1326" spans="1:27" x14ac:dyDescent="0.3">
      <c r="A1326" s="3">
        <v>19</v>
      </c>
      <c r="B1326" s="2" t="str">
        <f>"08215003000"</f>
        <v>08215003000</v>
      </c>
      <c r="C1326" s="2" t="s">
        <v>4899</v>
      </c>
      <c r="D1326" t="s">
        <v>29</v>
      </c>
      <c r="E1326" s="2" t="s">
        <v>30</v>
      </c>
      <c r="F1326" s="2">
        <v>37213</v>
      </c>
      <c r="G1326" s="2" t="s">
        <v>2490</v>
      </c>
      <c r="H1326" t="s">
        <v>32</v>
      </c>
      <c r="I1326" s="6">
        <v>45163</v>
      </c>
      <c r="J1326" s="2" t="s">
        <v>4893</v>
      </c>
      <c r="K1326" s="2" t="s">
        <v>34</v>
      </c>
      <c r="L1326" t="s">
        <v>85</v>
      </c>
      <c r="M1326" t="s">
        <v>29</v>
      </c>
      <c r="N1326" t="s">
        <v>30</v>
      </c>
      <c r="O1326">
        <v>37219</v>
      </c>
      <c r="P1326" t="s">
        <v>4900</v>
      </c>
      <c r="Q1326" s="2">
        <v>2.5499999999999998</v>
      </c>
      <c r="R1326" s="2">
        <v>312</v>
      </c>
      <c r="S1326" s="2">
        <v>302</v>
      </c>
      <c r="T1326" t="s">
        <v>4901</v>
      </c>
      <c r="U1326" s="6">
        <v>36381</v>
      </c>
      <c r="V1326" s="2">
        <v>47037019300</v>
      </c>
      <c r="W1326" s="2" t="s">
        <v>68</v>
      </c>
      <c r="X1326" s="1">
        <v>45658</v>
      </c>
      <c r="Y1326" s="2">
        <v>13329600</v>
      </c>
      <c r="Z1326" s="2">
        <v>0</v>
      </c>
      <c r="AA1326" s="2">
        <v>13329600</v>
      </c>
    </row>
    <row r="1327" spans="1:27" x14ac:dyDescent="0.3">
      <c r="A1327" s="3">
        <v>19</v>
      </c>
      <c r="B1327" s="2" t="str">
        <f>"09303017100"</f>
        <v>09303017100</v>
      </c>
      <c r="C1327" s="2" t="s">
        <v>4902</v>
      </c>
      <c r="D1327" t="s">
        <v>29</v>
      </c>
      <c r="E1327" s="2" t="s">
        <v>30</v>
      </c>
      <c r="F1327" s="2">
        <v>37213</v>
      </c>
      <c r="G1327" s="2" t="s">
        <v>1485</v>
      </c>
      <c r="H1327" t="s">
        <v>32</v>
      </c>
      <c r="I1327" s="6">
        <v>45163</v>
      </c>
      <c r="J1327" s="2" t="s">
        <v>4893</v>
      </c>
      <c r="K1327" s="2" t="s">
        <v>34</v>
      </c>
      <c r="L1327" t="s">
        <v>85</v>
      </c>
      <c r="M1327" t="s">
        <v>29</v>
      </c>
      <c r="N1327" t="s">
        <v>30</v>
      </c>
      <c r="O1327">
        <v>37219</v>
      </c>
      <c r="P1327" t="s">
        <v>4903</v>
      </c>
      <c r="Q1327" s="2">
        <v>1.3</v>
      </c>
      <c r="R1327" s="2">
        <v>316</v>
      </c>
      <c r="S1327" s="2">
        <v>162</v>
      </c>
      <c r="T1327" t="s">
        <v>4901</v>
      </c>
      <c r="U1327" s="6">
        <v>36381</v>
      </c>
      <c r="V1327" s="2">
        <v>47037019300</v>
      </c>
      <c r="W1327" s="2" t="s">
        <v>68</v>
      </c>
      <c r="X1327" s="1">
        <v>45658</v>
      </c>
      <c r="Y1327" s="2">
        <v>8494200</v>
      </c>
      <c r="Z1327" s="2">
        <v>0</v>
      </c>
      <c r="AA1327" s="2">
        <v>8494200</v>
      </c>
    </row>
    <row r="1328" spans="1:27" x14ac:dyDescent="0.3">
      <c r="A1328" s="3">
        <v>19</v>
      </c>
      <c r="B1328" s="2" t="str">
        <f>"09307001000"</f>
        <v>09307001000</v>
      </c>
      <c r="C1328" s="2" t="s">
        <v>4904</v>
      </c>
      <c r="D1328" t="s">
        <v>29</v>
      </c>
      <c r="E1328" s="2" t="s">
        <v>30</v>
      </c>
      <c r="F1328" s="2">
        <v>37213</v>
      </c>
      <c r="G1328" s="2" t="s">
        <v>2490</v>
      </c>
      <c r="H1328" t="s">
        <v>32</v>
      </c>
      <c r="I1328" s="6">
        <v>45163</v>
      </c>
      <c r="J1328" s="2" t="s">
        <v>4893</v>
      </c>
      <c r="K1328" s="2" t="s">
        <v>34</v>
      </c>
      <c r="L1328" t="s">
        <v>85</v>
      </c>
      <c r="M1328" t="s">
        <v>29</v>
      </c>
      <c r="N1328" t="s">
        <v>30</v>
      </c>
      <c r="O1328">
        <v>37219</v>
      </c>
      <c r="P1328" t="s">
        <v>4905</v>
      </c>
      <c r="Q1328" s="2">
        <v>1.74</v>
      </c>
      <c r="R1328" s="2">
        <v>116</v>
      </c>
      <c r="S1328" s="2">
        <v>78</v>
      </c>
      <c r="T1328" t="s">
        <v>4898</v>
      </c>
      <c r="U1328" s="6">
        <v>36381</v>
      </c>
      <c r="V1328" s="2">
        <v>47037019300</v>
      </c>
      <c r="W1328" s="2" t="s">
        <v>68</v>
      </c>
      <c r="X1328" s="1">
        <v>45658</v>
      </c>
      <c r="Y1328" s="2">
        <v>9299900</v>
      </c>
      <c r="Z1328" s="2">
        <v>204500</v>
      </c>
      <c r="AA1328" s="2">
        <v>9095400</v>
      </c>
    </row>
    <row r="1329" spans="1:27" x14ac:dyDescent="0.3">
      <c r="A1329" s="3">
        <v>19</v>
      </c>
      <c r="B1329" s="2" t="str">
        <f>"09307005100"</f>
        <v>09307005100</v>
      </c>
      <c r="C1329" s="2" t="s">
        <v>4906</v>
      </c>
      <c r="D1329" t="s">
        <v>29</v>
      </c>
      <c r="E1329" s="2" t="s">
        <v>30</v>
      </c>
      <c r="F1329" s="2">
        <v>37213</v>
      </c>
      <c r="G1329" s="2" t="s">
        <v>2490</v>
      </c>
      <c r="H1329" t="s">
        <v>32</v>
      </c>
      <c r="I1329" s="6">
        <v>45163</v>
      </c>
      <c r="J1329" s="2" t="s">
        <v>4893</v>
      </c>
      <c r="K1329" s="2" t="s">
        <v>34</v>
      </c>
      <c r="L1329" t="s">
        <v>85</v>
      </c>
      <c r="M1329" t="s">
        <v>29</v>
      </c>
      <c r="N1329" t="s">
        <v>30</v>
      </c>
      <c r="O1329">
        <v>37219</v>
      </c>
      <c r="P1329" t="s">
        <v>4907</v>
      </c>
      <c r="Q1329" s="2">
        <v>1.9</v>
      </c>
      <c r="R1329" s="2">
        <v>323</v>
      </c>
      <c r="S1329" s="2">
        <v>400</v>
      </c>
      <c r="T1329" t="s">
        <v>4908</v>
      </c>
      <c r="U1329" s="6">
        <v>40444</v>
      </c>
      <c r="V1329" s="2">
        <v>47037019300</v>
      </c>
      <c r="W1329" s="2" t="s">
        <v>68</v>
      </c>
      <c r="X1329" s="1">
        <v>45658</v>
      </c>
      <c r="Y1329" s="2">
        <v>10146600</v>
      </c>
      <c r="Z1329" s="2">
        <v>214200</v>
      </c>
      <c r="AA1329" s="2">
        <v>9932400</v>
      </c>
    </row>
    <row r="1330" spans="1:27" x14ac:dyDescent="0.3">
      <c r="A1330" s="3">
        <v>19</v>
      </c>
      <c r="B1330" s="2" t="str">
        <f>"09303011500"</f>
        <v>09303011500</v>
      </c>
      <c r="C1330" s="2" t="s">
        <v>4909</v>
      </c>
      <c r="D1330" t="s">
        <v>29</v>
      </c>
      <c r="E1330" s="2" t="s">
        <v>30</v>
      </c>
      <c r="F1330" s="2">
        <v>37213</v>
      </c>
      <c r="G1330" s="2" t="s">
        <v>2490</v>
      </c>
      <c r="H1330" t="s">
        <v>32</v>
      </c>
      <c r="I1330" s="6">
        <v>45163</v>
      </c>
      <c r="J1330" s="2" t="s">
        <v>4893</v>
      </c>
      <c r="K1330" s="2" t="s">
        <v>34</v>
      </c>
      <c r="L1330" t="s">
        <v>85</v>
      </c>
      <c r="M1330" t="s">
        <v>29</v>
      </c>
      <c r="N1330" t="s">
        <v>30</v>
      </c>
      <c r="O1330">
        <v>37219</v>
      </c>
      <c r="P1330" t="s">
        <v>4910</v>
      </c>
      <c r="Q1330" s="2">
        <v>5.8</v>
      </c>
      <c r="R1330" s="2">
        <v>0</v>
      </c>
      <c r="S1330" s="2">
        <v>0</v>
      </c>
      <c r="T1330" t="s">
        <v>4895</v>
      </c>
      <c r="U1330" s="6">
        <v>40448</v>
      </c>
      <c r="V1330" s="2">
        <v>47037019300</v>
      </c>
      <c r="W1330" s="2" t="s">
        <v>68</v>
      </c>
      <c r="X1330" s="1">
        <v>45658</v>
      </c>
      <c r="Y1330" s="2">
        <v>25314900</v>
      </c>
      <c r="Z1330" s="2">
        <v>681500</v>
      </c>
      <c r="AA1330" s="2">
        <v>24633400</v>
      </c>
    </row>
    <row r="1331" spans="1:27" x14ac:dyDescent="0.3">
      <c r="A1331" s="3">
        <v>19</v>
      </c>
      <c r="B1331" s="2" t="str">
        <f>"09303002200"</f>
        <v>09303002200</v>
      </c>
      <c r="C1331" s="2" t="s">
        <v>4911</v>
      </c>
      <c r="D1331" t="s">
        <v>29</v>
      </c>
      <c r="E1331" s="2" t="s">
        <v>30</v>
      </c>
      <c r="F1331" s="2">
        <v>37213</v>
      </c>
      <c r="G1331" s="2" t="s">
        <v>2490</v>
      </c>
      <c r="H1331" t="s">
        <v>32</v>
      </c>
      <c r="I1331" s="6">
        <v>45163</v>
      </c>
      <c r="J1331" s="2" t="s">
        <v>4893</v>
      </c>
      <c r="K1331" s="2">
        <v>0</v>
      </c>
      <c r="L1331" t="s">
        <v>85</v>
      </c>
      <c r="M1331" t="s">
        <v>29</v>
      </c>
      <c r="N1331" t="s">
        <v>30</v>
      </c>
      <c r="O1331">
        <v>37219</v>
      </c>
      <c r="P1331" t="s">
        <v>4912</v>
      </c>
      <c r="Q1331" s="2">
        <v>6.75</v>
      </c>
      <c r="R1331" s="2">
        <v>764</v>
      </c>
      <c r="S1331" s="2">
        <v>388</v>
      </c>
      <c r="T1331" t="s">
        <v>4913</v>
      </c>
      <c r="U1331" s="6">
        <v>45400</v>
      </c>
      <c r="V1331" s="2">
        <v>47047037019300</v>
      </c>
      <c r="W1331" s="2" t="s">
        <v>68</v>
      </c>
      <c r="X1331" s="1">
        <v>45658</v>
      </c>
      <c r="Y1331" s="2">
        <v>28667900</v>
      </c>
      <c r="Z1331" s="2">
        <v>0</v>
      </c>
      <c r="AA1331" s="2">
        <v>28667900</v>
      </c>
    </row>
    <row r="1332" spans="1:27" x14ac:dyDescent="0.3">
      <c r="A1332" s="3">
        <v>19</v>
      </c>
      <c r="B1332" s="2" t="str">
        <f>"09303017400"</f>
        <v>09303017400</v>
      </c>
      <c r="C1332" s="2" t="s">
        <v>4914</v>
      </c>
      <c r="D1332" t="s">
        <v>29</v>
      </c>
      <c r="E1332" s="2" t="s">
        <v>30</v>
      </c>
      <c r="F1332" s="2">
        <v>37213</v>
      </c>
      <c r="G1332" s="2" t="s">
        <v>2490</v>
      </c>
      <c r="H1332" t="s">
        <v>32</v>
      </c>
      <c r="I1332" s="6">
        <v>45163</v>
      </c>
      <c r="J1332" s="2" t="s">
        <v>4893</v>
      </c>
      <c r="K1332" s="2">
        <v>0</v>
      </c>
      <c r="L1332" t="s">
        <v>85</v>
      </c>
      <c r="M1332" t="s">
        <v>29</v>
      </c>
      <c r="N1332" t="s">
        <v>30</v>
      </c>
      <c r="O1332">
        <v>37219</v>
      </c>
      <c r="P1332" t="s">
        <v>4915</v>
      </c>
      <c r="Q1332" s="2">
        <v>24.81</v>
      </c>
      <c r="R1332" s="2">
        <v>1067</v>
      </c>
      <c r="S1332" s="2">
        <v>873</v>
      </c>
      <c r="T1332" t="s">
        <v>4913</v>
      </c>
      <c r="U1332" s="6">
        <v>45400</v>
      </c>
      <c r="V1332" s="2">
        <v>47047037019300</v>
      </c>
      <c r="W1332" s="2" t="s">
        <v>68</v>
      </c>
      <c r="X1332" s="1">
        <v>45658</v>
      </c>
      <c r="Y1332" s="2">
        <v>40527200</v>
      </c>
      <c r="Z1332" s="2">
        <v>0</v>
      </c>
      <c r="AA1332" s="2">
        <v>40527200</v>
      </c>
    </row>
    <row r="1333" spans="1:27" x14ac:dyDescent="0.3">
      <c r="A1333" s="3">
        <v>19</v>
      </c>
      <c r="B1333" s="2" t="str">
        <f>"09301009800"</f>
        <v>09301009800</v>
      </c>
      <c r="C1333" s="2" t="s">
        <v>4916</v>
      </c>
      <c r="D1333" t="s">
        <v>29</v>
      </c>
      <c r="E1333" s="2" t="s">
        <v>30</v>
      </c>
      <c r="F1333" s="2">
        <v>37203</v>
      </c>
      <c r="G1333" s="2" t="s">
        <v>41</v>
      </c>
      <c r="H1333" t="s">
        <v>32</v>
      </c>
      <c r="I1333" s="6">
        <v>43955</v>
      </c>
      <c r="J1333" s="2" t="s">
        <v>4917</v>
      </c>
      <c r="K1333" s="2">
        <v>0</v>
      </c>
      <c r="L1333" t="s">
        <v>4889</v>
      </c>
      <c r="M1333" t="s">
        <v>29</v>
      </c>
      <c r="N1333" t="s">
        <v>30</v>
      </c>
      <c r="O1333">
        <v>37219</v>
      </c>
      <c r="P1333" t="s">
        <v>4918</v>
      </c>
      <c r="Q1333" s="2">
        <v>0.26</v>
      </c>
      <c r="R1333" s="2">
        <v>30</v>
      </c>
      <c r="S1333" s="2">
        <v>489</v>
      </c>
      <c r="T1333" t="s">
        <v>4891</v>
      </c>
      <c r="U1333" s="6">
        <v>42856</v>
      </c>
      <c r="V1333" s="2">
        <v>47037019400</v>
      </c>
      <c r="W1333" s="2" t="s">
        <v>68</v>
      </c>
      <c r="X1333" s="1">
        <v>45658</v>
      </c>
      <c r="Y1333" s="2">
        <v>1486500</v>
      </c>
      <c r="Z1333" s="2">
        <v>0</v>
      </c>
      <c r="AA1333" s="2">
        <v>1486500</v>
      </c>
    </row>
    <row r="1334" spans="1:27" x14ac:dyDescent="0.3">
      <c r="A1334" s="3">
        <v>19</v>
      </c>
      <c r="B1334" s="2" t="str">
        <f>"08116013803"</f>
        <v>08116013803</v>
      </c>
      <c r="C1334" s="2" t="s">
        <v>4919</v>
      </c>
      <c r="D1334" t="s">
        <v>29</v>
      </c>
      <c r="E1334" s="2" t="s">
        <v>30</v>
      </c>
      <c r="F1334" s="2">
        <v>37208</v>
      </c>
      <c r="G1334" s="2" t="s">
        <v>64</v>
      </c>
      <c r="H1334" t="s">
        <v>32</v>
      </c>
      <c r="I1334" s="6">
        <v>35342</v>
      </c>
      <c r="J1334" s="2" t="s">
        <v>4920</v>
      </c>
      <c r="K1334" s="2">
        <v>297</v>
      </c>
      <c r="L1334" t="s">
        <v>35</v>
      </c>
      <c r="M1334" t="s">
        <v>29</v>
      </c>
      <c r="N1334" t="s">
        <v>30</v>
      </c>
      <c r="O1334">
        <v>37219</v>
      </c>
      <c r="P1334" t="s">
        <v>4921</v>
      </c>
      <c r="Q1334" s="2">
        <v>0.04</v>
      </c>
      <c r="R1334" s="2">
        <v>37</v>
      </c>
      <c r="S1334" s="2">
        <v>57</v>
      </c>
      <c r="T1334" t="s">
        <v>4922</v>
      </c>
      <c r="U1334" s="6">
        <v>22605</v>
      </c>
      <c r="V1334" s="2">
        <v>47037019400</v>
      </c>
      <c r="W1334" s="2" t="s">
        <v>68</v>
      </c>
      <c r="X1334" s="1">
        <v>45658</v>
      </c>
      <c r="Y1334" s="2">
        <v>22800</v>
      </c>
      <c r="Z1334" s="2">
        <v>0</v>
      </c>
      <c r="AA1334" s="2">
        <v>22800</v>
      </c>
    </row>
    <row r="1335" spans="1:27" x14ac:dyDescent="0.3">
      <c r="A1335" s="3">
        <v>19</v>
      </c>
      <c r="B1335" s="2" t="str">
        <f>"08116013802"</f>
        <v>08116013802</v>
      </c>
      <c r="C1335" s="2" t="s">
        <v>4923</v>
      </c>
      <c r="D1335" t="s">
        <v>29</v>
      </c>
      <c r="E1335" s="2" t="s">
        <v>30</v>
      </c>
      <c r="F1335" s="2">
        <v>37208</v>
      </c>
      <c r="G1335" s="2" t="s">
        <v>64</v>
      </c>
      <c r="H1335" t="s">
        <v>32</v>
      </c>
      <c r="I1335" s="6">
        <v>35291</v>
      </c>
      <c r="J1335" s="2" t="s">
        <v>4924</v>
      </c>
      <c r="K1335" s="2">
        <v>255</v>
      </c>
      <c r="L1335" t="s">
        <v>35</v>
      </c>
      <c r="M1335" t="s">
        <v>29</v>
      </c>
      <c r="N1335" t="s">
        <v>30</v>
      </c>
      <c r="O1335">
        <v>37219</v>
      </c>
      <c r="P1335" t="s">
        <v>4925</v>
      </c>
      <c r="Q1335" s="2">
        <v>7.0000000000000007E-2</v>
      </c>
      <c r="R1335" s="2">
        <v>49</v>
      </c>
      <c r="S1335" s="2">
        <v>63</v>
      </c>
      <c r="T1335" t="s">
        <v>4922</v>
      </c>
      <c r="U1335" s="6">
        <v>22605</v>
      </c>
      <c r="V1335" s="2">
        <v>47037019400</v>
      </c>
      <c r="W1335" s="2" t="s">
        <v>68</v>
      </c>
      <c r="X1335" s="1">
        <v>45658</v>
      </c>
      <c r="Y1335" s="2">
        <v>27600</v>
      </c>
      <c r="Z1335" s="2">
        <v>0</v>
      </c>
      <c r="AA1335" s="2">
        <v>27600</v>
      </c>
    </row>
    <row r="1336" spans="1:27" x14ac:dyDescent="0.3">
      <c r="A1336" s="3">
        <v>19</v>
      </c>
      <c r="B1336" s="2" t="str">
        <f>"09307005400"</f>
        <v>09307005400</v>
      </c>
      <c r="C1336" s="2" t="s">
        <v>4926</v>
      </c>
      <c r="D1336" t="s">
        <v>29</v>
      </c>
      <c r="E1336" s="2" t="s">
        <v>30</v>
      </c>
      <c r="F1336" s="2">
        <v>37213</v>
      </c>
      <c r="G1336" s="2" t="s">
        <v>41</v>
      </c>
      <c r="H1336" t="s">
        <v>32</v>
      </c>
      <c r="I1336" s="6">
        <v>41240</v>
      </c>
      <c r="J1336" s="2" t="s">
        <v>4927</v>
      </c>
      <c r="K1336" s="2">
        <v>0</v>
      </c>
      <c r="L1336" t="s">
        <v>35</v>
      </c>
      <c r="M1336" t="s">
        <v>29</v>
      </c>
      <c r="N1336" t="s">
        <v>30</v>
      </c>
      <c r="O1336">
        <v>37219</v>
      </c>
      <c r="P1336" t="s">
        <v>4928</v>
      </c>
      <c r="Q1336" s="2">
        <v>2.93</v>
      </c>
      <c r="R1336" s="2">
        <v>0</v>
      </c>
      <c r="S1336" s="2">
        <v>0</v>
      </c>
      <c r="T1336" t="s">
        <v>4895</v>
      </c>
      <c r="U1336" s="6">
        <v>40448</v>
      </c>
      <c r="V1336" s="2">
        <v>47037019300</v>
      </c>
      <c r="W1336" s="2" t="s">
        <v>68</v>
      </c>
      <c r="X1336" s="1">
        <v>45658</v>
      </c>
      <c r="Y1336" s="2">
        <v>15315600</v>
      </c>
      <c r="Z1336" s="2">
        <v>0</v>
      </c>
      <c r="AA1336" s="2">
        <v>15315600</v>
      </c>
    </row>
    <row r="1337" spans="1:27" x14ac:dyDescent="0.3">
      <c r="A1337" s="3">
        <v>19</v>
      </c>
      <c r="B1337" s="2" t="str">
        <f>"09302008700"</f>
        <v>09302008700</v>
      </c>
      <c r="C1337" s="2" t="s">
        <v>4929</v>
      </c>
      <c r="D1337" t="s">
        <v>29</v>
      </c>
      <c r="E1337" s="2" t="s">
        <v>30</v>
      </c>
      <c r="F1337" s="2">
        <v>37213</v>
      </c>
      <c r="G1337" s="2" t="s">
        <v>2490</v>
      </c>
      <c r="H1337" t="s">
        <v>32</v>
      </c>
      <c r="I1337" s="6">
        <v>45163</v>
      </c>
      <c r="J1337" s="2" t="s">
        <v>4893</v>
      </c>
      <c r="K1337" s="2" t="s">
        <v>34</v>
      </c>
      <c r="L1337" t="s">
        <v>85</v>
      </c>
      <c r="M1337" t="s">
        <v>29</v>
      </c>
      <c r="N1337" t="s">
        <v>30</v>
      </c>
      <c r="O1337">
        <v>37219</v>
      </c>
      <c r="P1337" t="s">
        <v>4930</v>
      </c>
      <c r="Q1337" s="2">
        <v>6.49</v>
      </c>
      <c r="R1337" s="2">
        <v>0</v>
      </c>
      <c r="S1337" s="2">
        <v>0</v>
      </c>
      <c r="T1337" t="s">
        <v>4898</v>
      </c>
      <c r="U1337" s="6">
        <v>36381</v>
      </c>
      <c r="V1337" s="2">
        <v>47037019300</v>
      </c>
      <c r="W1337" s="2" t="s">
        <v>68</v>
      </c>
      <c r="X1337" s="1">
        <v>45658</v>
      </c>
      <c r="Y1337" s="2">
        <v>28326300</v>
      </c>
      <c r="Z1337" s="2">
        <v>762600</v>
      </c>
      <c r="AA1337" s="2">
        <v>27563700</v>
      </c>
    </row>
    <row r="1338" spans="1:27" x14ac:dyDescent="0.3">
      <c r="A1338" s="3">
        <v>19</v>
      </c>
      <c r="B1338" s="2" t="str">
        <f>"09302006800"</f>
        <v>09302006800</v>
      </c>
      <c r="C1338" s="2" t="s">
        <v>4931</v>
      </c>
      <c r="D1338" t="s">
        <v>29</v>
      </c>
      <c r="E1338" s="2" t="s">
        <v>30</v>
      </c>
      <c r="F1338" s="2">
        <v>37213</v>
      </c>
      <c r="G1338" s="2" t="s">
        <v>2490</v>
      </c>
      <c r="H1338" t="s">
        <v>32</v>
      </c>
      <c r="I1338" s="6">
        <v>45163</v>
      </c>
      <c r="J1338" s="2" t="s">
        <v>4893</v>
      </c>
      <c r="K1338" s="2">
        <v>0</v>
      </c>
      <c r="L1338" t="s">
        <v>85</v>
      </c>
      <c r="M1338" t="s">
        <v>29</v>
      </c>
      <c r="N1338" t="s">
        <v>30</v>
      </c>
      <c r="O1338">
        <v>37219</v>
      </c>
      <c r="P1338" t="s">
        <v>4932</v>
      </c>
      <c r="Q1338" s="2">
        <v>5.78</v>
      </c>
      <c r="R1338" s="2">
        <v>0</v>
      </c>
      <c r="S1338" s="2">
        <v>0</v>
      </c>
      <c r="T1338" t="s">
        <v>4901</v>
      </c>
      <c r="U1338" s="6">
        <v>36381</v>
      </c>
      <c r="V1338" s="2">
        <v>47037019300</v>
      </c>
      <c r="W1338" s="2" t="s">
        <v>68</v>
      </c>
      <c r="X1338" s="1">
        <v>45658</v>
      </c>
      <c r="Y1338" s="2">
        <v>25227800</v>
      </c>
      <c r="Z1338" s="2">
        <v>679200</v>
      </c>
      <c r="AA1338" s="2">
        <v>24548600</v>
      </c>
    </row>
    <row r="1339" spans="1:27" x14ac:dyDescent="0.3">
      <c r="A1339" s="3">
        <v>19</v>
      </c>
      <c r="B1339" s="2" t="str">
        <f>"09303006600"</f>
        <v>09303006600</v>
      </c>
      <c r="C1339" s="2" t="s">
        <v>4933</v>
      </c>
      <c r="D1339" t="s">
        <v>29</v>
      </c>
      <c r="E1339" s="2" t="s">
        <v>30</v>
      </c>
      <c r="F1339" s="2">
        <v>37213</v>
      </c>
      <c r="G1339" s="2" t="s">
        <v>200</v>
      </c>
      <c r="H1339" t="s">
        <v>32</v>
      </c>
      <c r="I1339" s="6">
        <v>45163</v>
      </c>
      <c r="J1339" s="2" t="s">
        <v>4893</v>
      </c>
      <c r="K1339" s="2">
        <v>0</v>
      </c>
      <c r="L1339" t="s">
        <v>85</v>
      </c>
      <c r="M1339" t="s">
        <v>29</v>
      </c>
      <c r="N1339" t="s">
        <v>30</v>
      </c>
      <c r="O1339">
        <v>37219</v>
      </c>
      <c r="P1339" t="s">
        <v>4934</v>
      </c>
      <c r="Q1339" s="2">
        <v>29.95</v>
      </c>
      <c r="R1339" s="2">
        <v>1128</v>
      </c>
      <c r="S1339" s="2">
        <v>1063</v>
      </c>
      <c r="T1339" t="s">
        <v>4913</v>
      </c>
      <c r="U1339" s="6">
        <v>45400</v>
      </c>
      <c r="V1339" s="2">
        <v>47047037019300</v>
      </c>
      <c r="W1339" s="2" t="s">
        <v>68</v>
      </c>
      <c r="X1339" s="1">
        <v>45658</v>
      </c>
      <c r="Y1339" s="2">
        <v>48923300</v>
      </c>
      <c r="Z1339" s="2">
        <v>0</v>
      </c>
      <c r="AA1339" s="2">
        <v>48923300</v>
      </c>
    </row>
    <row r="1340" spans="1:27" x14ac:dyDescent="0.3">
      <c r="A1340" s="3">
        <v>19</v>
      </c>
      <c r="B1340" s="2" t="str">
        <f>"09314056000"</f>
        <v>09314056000</v>
      </c>
      <c r="C1340" s="2" t="s">
        <v>4935</v>
      </c>
      <c r="D1340" t="s">
        <v>29</v>
      </c>
      <c r="E1340" s="2" t="s">
        <v>30</v>
      </c>
      <c r="F1340" s="2">
        <v>37203</v>
      </c>
      <c r="G1340" s="2" t="s">
        <v>41</v>
      </c>
      <c r="H1340" t="s">
        <v>32</v>
      </c>
      <c r="I1340" s="6">
        <v>41807</v>
      </c>
      <c r="J1340" s="2" t="s">
        <v>4936</v>
      </c>
      <c r="K1340" s="2">
        <v>0</v>
      </c>
      <c r="L1340" t="s">
        <v>35</v>
      </c>
      <c r="M1340" t="s">
        <v>29</v>
      </c>
      <c r="N1340" t="s">
        <v>30</v>
      </c>
      <c r="O1340">
        <v>37219</v>
      </c>
      <c r="P1340" t="s">
        <v>4937</v>
      </c>
      <c r="Q1340" s="2">
        <v>0.28999999999999998</v>
      </c>
      <c r="R1340" s="2">
        <v>79</v>
      </c>
      <c r="S1340" s="2">
        <v>113</v>
      </c>
      <c r="T1340" t="s">
        <v>4938</v>
      </c>
      <c r="U1340" s="6">
        <v>43165</v>
      </c>
      <c r="V1340" s="2">
        <v>47037019500</v>
      </c>
      <c r="W1340" s="2" t="s">
        <v>68</v>
      </c>
      <c r="X1340" s="1">
        <v>45658</v>
      </c>
      <c r="Y1340" s="2">
        <v>1579000</v>
      </c>
      <c r="Z1340" s="2">
        <v>0</v>
      </c>
      <c r="AA1340" s="2">
        <v>1579000</v>
      </c>
    </row>
    <row r="1341" spans="1:27" x14ac:dyDescent="0.3">
      <c r="A1341" s="3">
        <v>19</v>
      </c>
      <c r="B1341" s="2" t="str">
        <f>"09314045500"</f>
        <v>09314045500</v>
      </c>
      <c r="C1341" s="2" t="s">
        <v>4939</v>
      </c>
      <c r="D1341" t="s">
        <v>29</v>
      </c>
      <c r="E1341" s="2" t="s">
        <v>30</v>
      </c>
      <c r="F1341" s="2">
        <v>37203</v>
      </c>
      <c r="G1341" s="2" t="s">
        <v>41</v>
      </c>
      <c r="H1341" t="s">
        <v>32</v>
      </c>
      <c r="I1341" s="6">
        <v>41956</v>
      </c>
      <c r="J1341" s="2" t="s">
        <v>4940</v>
      </c>
      <c r="K1341" s="2">
        <v>0</v>
      </c>
      <c r="L1341" t="s">
        <v>35</v>
      </c>
      <c r="M1341" t="s">
        <v>29</v>
      </c>
      <c r="N1341" t="s">
        <v>30</v>
      </c>
      <c r="O1341">
        <v>37219</v>
      </c>
      <c r="P1341" t="s">
        <v>4941</v>
      </c>
      <c r="Q1341" s="2">
        <v>0.19</v>
      </c>
      <c r="R1341" s="2">
        <v>210</v>
      </c>
      <c r="S1341" s="2">
        <v>110</v>
      </c>
      <c r="T1341" t="s">
        <v>4942</v>
      </c>
      <c r="U1341" s="6">
        <v>42510</v>
      </c>
      <c r="V1341" s="2">
        <v>47037019500</v>
      </c>
      <c r="W1341" s="2" t="s">
        <v>68</v>
      </c>
      <c r="X1341" s="1">
        <v>45658</v>
      </c>
      <c r="Y1341" s="2">
        <v>2069000</v>
      </c>
      <c r="Z1341" s="2">
        <v>0</v>
      </c>
      <c r="AA1341" s="2">
        <v>2069000</v>
      </c>
    </row>
    <row r="1342" spans="1:27" x14ac:dyDescent="0.3">
      <c r="A1342" s="3">
        <v>19</v>
      </c>
      <c r="B1342" s="2" t="str">
        <f>"08108023200"</f>
        <v>08108023200</v>
      </c>
      <c r="C1342" s="2" t="s">
        <v>4943</v>
      </c>
      <c r="D1342" t="s">
        <v>29</v>
      </c>
      <c r="E1342" s="2" t="s">
        <v>30</v>
      </c>
      <c r="F1342" s="2">
        <v>37208</v>
      </c>
      <c r="G1342" s="2" t="s">
        <v>64</v>
      </c>
      <c r="H1342" t="s">
        <v>99</v>
      </c>
      <c r="I1342" s="6">
        <v>28460</v>
      </c>
      <c r="J1342" s="2" t="s">
        <v>4944</v>
      </c>
      <c r="K1342" s="2">
        <v>347</v>
      </c>
      <c r="L1342" t="s">
        <v>35</v>
      </c>
      <c r="M1342" t="s">
        <v>29</v>
      </c>
      <c r="N1342" t="s">
        <v>30</v>
      </c>
      <c r="O1342">
        <v>37219</v>
      </c>
      <c r="P1342" t="s">
        <v>4945</v>
      </c>
      <c r="Q1342" s="2">
        <v>0.05</v>
      </c>
      <c r="R1342" s="2">
        <v>27</v>
      </c>
      <c r="S1342" s="2">
        <v>49</v>
      </c>
      <c r="T1342" t="s">
        <v>4946</v>
      </c>
      <c r="U1342" s="6">
        <v>14697</v>
      </c>
      <c r="V1342" s="2">
        <v>47037019400</v>
      </c>
      <c r="W1342" s="2" t="s">
        <v>68</v>
      </c>
      <c r="X1342" s="1">
        <v>45658</v>
      </c>
      <c r="Y1342" s="2">
        <v>61300</v>
      </c>
      <c r="Z1342" s="2">
        <v>0</v>
      </c>
      <c r="AA1342" s="2">
        <v>61300</v>
      </c>
    </row>
    <row r="1343" spans="1:27" x14ac:dyDescent="0.3">
      <c r="A1343" s="3">
        <v>19</v>
      </c>
      <c r="B1343" s="2" t="str">
        <f>"08112013300"</f>
        <v>08112013300</v>
      </c>
      <c r="C1343" s="2" t="s">
        <v>4947</v>
      </c>
      <c r="D1343" t="s">
        <v>29</v>
      </c>
      <c r="E1343" s="2" t="s">
        <v>30</v>
      </c>
      <c r="F1343" s="2">
        <v>37208</v>
      </c>
      <c r="G1343" s="2" t="s">
        <v>64</v>
      </c>
      <c r="H1343" t="s">
        <v>99</v>
      </c>
      <c r="I1343" s="6">
        <v>28110</v>
      </c>
      <c r="J1343" s="2" t="s">
        <v>4948</v>
      </c>
      <c r="K1343" s="2">
        <v>305</v>
      </c>
      <c r="L1343" t="s">
        <v>35</v>
      </c>
      <c r="M1343" t="s">
        <v>29</v>
      </c>
      <c r="N1343" t="s">
        <v>30</v>
      </c>
      <c r="O1343">
        <v>37219</v>
      </c>
      <c r="P1343" t="s">
        <v>4949</v>
      </c>
      <c r="Q1343" s="2">
        <v>0.01</v>
      </c>
      <c r="R1343" s="2">
        <v>35</v>
      </c>
      <c r="S1343" s="2">
        <v>38</v>
      </c>
      <c r="T1343" t="s">
        <v>4950</v>
      </c>
      <c r="U1343" s="6">
        <v>22836</v>
      </c>
      <c r="V1343" s="2">
        <v>47037019400</v>
      </c>
      <c r="W1343" s="2" t="s">
        <v>68</v>
      </c>
      <c r="X1343" s="1">
        <v>45658</v>
      </c>
      <c r="Y1343" s="2">
        <v>8500</v>
      </c>
      <c r="Z1343" s="2">
        <v>0</v>
      </c>
      <c r="AA1343" s="2">
        <v>8500</v>
      </c>
    </row>
    <row r="1344" spans="1:27" x14ac:dyDescent="0.3">
      <c r="A1344" s="3">
        <v>19</v>
      </c>
      <c r="B1344" s="2" t="str">
        <f>"09207032300"</f>
        <v>09207032300</v>
      </c>
      <c r="C1344" s="2" t="s">
        <v>4951</v>
      </c>
      <c r="D1344" t="s">
        <v>29</v>
      </c>
      <c r="E1344" s="2" t="s">
        <v>30</v>
      </c>
      <c r="F1344" s="2">
        <v>37203</v>
      </c>
      <c r="G1344" s="2" t="s">
        <v>1485</v>
      </c>
      <c r="H1344" t="s">
        <v>99</v>
      </c>
      <c r="I1344" s="6">
        <v>32856</v>
      </c>
      <c r="J1344" s="2" t="s">
        <v>4952</v>
      </c>
      <c r="K1344" s="2">
        <v>257</v>
      </c>
      <c r="L1344" t="s">
        <v>35</v>
      </c>
      <c r="M1344" t="s">
        <v>29</v>
      </c>
      <c r="N1344" t="s">
        <v>30</v>
      </c>
      <c r="O1344">
        <v>37219</v>
      </c>
      <c r="P1344" t="s">
        <v>4953</v>
      </c>
      <c r="Q1344" s="2">
        <v>0.01</v>
      </c>
      <c r="R1344" s="2">
        <v>30</v>
      </c>
      <c r="S1344" s="2">
        <v>20</v>
      </c>
      <c r="T1344" t="s">
        <v>4954</v>
      </c>
      <c r="U1344" s="6">
        <v>29986</v>
      </c>
      <c r="V1344" s="2">
        <v>47037014200</v>
      </c>
      <c r="W1344" s="2" t="s">
        <v>68</v>
      </c>
      <c r="X1344" s="1">
        <v>45658</v>
      </c>
      <c r="Y1344" s="2">
        <v>14100</v>
      </c>
      <c r="Z1344" s="2">
        <v>0</v>
      </c>
      <c r="AA1344" s="2">
        <v>14100</v>
      </c>
    </row>
    <row r="1345" spans="1:27" x14ac:dyDescent="0.3">
      <c r="A1345" s="3">
        <v>19</v>
      </c>
      <c r="B1345" s="2" t="str">
        <f>"09310019300"</f>
        <v>09310019300</v>
      </c>
      <c r="C1345" s="2" t="s">
        <v>4955</v>
      </c>
      <c r="D1345" t="s">
        <v>29</v>
      </c>
      <c r="E1345" s="2" t="s">
        <v>30</v>
      </c>
      <c r="F1345" s="2">
        <v>37203</v>
      </c>
      <c r="G1345" s="2" t="s">
        <v>152</v>
      </c>
      <c r="H1345" t="s">
        <v>4956</v>
      </c>
      <c r="I1345" s="6">
        <v>41479</v>
      </c>
      <c r="J1345" s="2" t="s">
        <v>4957</v>
      </c>
      <c r="K1345" s="2">
        <v>0</v>
      </c>
      <c r="L1345" t="s">
        <v>35</v>
      </c>
      <c r="M1345" t="s">
        <v>29</v>
      </c>
      <c r="N1345" t="s">
        <v>30</v>
      </c>
      <c r="O1345">
        <v>37219</v>
      </c>
      <c r="P1345" t="s">
        <v>4958</v>
      </c>
      <c r="Q1345" s="2">
        <v>0.13</v>
      </c>
      <c r="R1345" s="2">
        <v>157</v>
      </c>
      <c r="S1345" s="2">
        <v>31</v>
      </c>
      <c r="T1345" t="s">
        <v>4959</v>
      </c>
      <c r="U1345" s="6">
        <v>41445</v>
      </c>
      <c r="V1345" s="2">
        <v>47037019500</v>
      </c>
      <c r="W1345" s="2" t="s">
        <v>4960</v>
      </c>
      <c r="X1345" s="1">
        <v>45658</v>
      </c>
      <c r="Y1345" s="2">
        <v>3432600</v>
      </c>
      <c r="Z1345" s="2">
        <v>0</v>
      </c>
      <c r="AA1345" s="2">
        <v>3432600</v>
      </c>
    </row>
    <row r="1346" spans="1:27" x14ac:dyDescent="0.3">
      <c r="A1346" s="3">
        <v>19</v>
      </c>
      <c r="B1346" s="2" t="str">
        <f>"09310048300"</f>
        <v>09310048300</v>
      </c>
      <c r="C1346" s="2" t="s">
        <v>4961</v>
      </c>
      <c r="D1346" t="s">
        <v>29</v>
      </c>
      <c r="E1346" s="2" t="s">
        <v>30</v>
      </c>
      <c r="F1346" s="2">
        <v>37203</v>
      </c>
      <c r="G1346" s="2" t="s">
        <v>152</v>
      </c>
      <c r="H1346" t="s">
        <v>4956</v>
      </c>
      <c r="I1346" s="6">
        <v>40289</v>
      </c>
      <c r="J1346" s="2" t="s">
        <v>4962</v>
      </c>
      <c r="K1346" s="2">
        <v>0</v>
      </c>
      <c r="L1346" t="s">
        <v>4963</v>
      </c>
      <c r="M1346" t="s">
        <v>29</v>
      </c>
      <c r="N1346" t="s">
        <v>30</v>
      </c>
      <c r="O1346">
        <v>37201</v>
      </c>
      <c r="P1346" t="s">
        <v>4964</v>
      </c>
      <c r="Q1346" s="2">
        <v>11.87</v>
      </c>
      <c r="R1346" s="2">
        <v>607</v>
      </c>
      <c r="S1346" s="2">
        <v>699</v>
      </c>
      <c r="T1346" t="s">
        <v>4965</v>
      </c>
      <c r="U1346" s="6">
        <v>42906</v>
      </c>
      <c r="V1346" s="2">
        <v>47037019500</v>
      </c>
      <c r="W1346" s="2" t="s">
        <v>4960</v>
      </c>
      <c r="X1346" s="1">
        <v>45658</v>
      </c>
      <c r="Y1346" s="2">
        <v>1052685500</v>
      </c>
      <c r="Z1346" s="2">
        <v>664892700</v>
      </c>
      <c r="AA1346" s="2">
        <v>387792800</v>
      </c>
    </row>
    <row r="1347" spans="1:27" x14ac:dyDescent="0.3">
      <c r="A1347" s="3">
        <v>19</v>
      </c>
      <c r="B1347" s="2" t="str">
        <f>"09310047300"</f>
        <v>09310047300</v>
      </c>
      <c r="C1347" s="2" t="s">
        <v>4966</v>
      </c>
      <c r="D1347" t="s">
        <v>29</v>
      </c>
      <c r="E1347" s="2" t="s">
        <v>30</v>
      </c>
      <c r="F1347" s="2">
        <v>37203</v>
      </c>
      <c r="G1347" s="2" t="s">
        <v>152</v>
      </c>
      <c r="H1347" t="s">
        <v>4956</v>
      </c>
      <c r="I1347" s="6">
        <v>40289</v>
      </c>
      <c r="J1347" s="2" t="s">
        <v>4962</v>
      </c>
      <c r="K1347" s="2">
        <v>0</v>
      </c>
      <c r="L1347" t="s">
        <v>4963</v>
      </c>
      <c r="M1347" t="s">
        <v>29</v>
      </c>
      <c r="N1347" t="s">
        <v>30</v>
      </c>
      <c r="O1347">
        <v>37201</v>
      </c>
      <c r="P1347" t="s">
        <v>4967</v>
      </c>
      <c r="Q1347" s="2">
        <v>7.18</v>
      </c>
      <c r="R1347" s="2">
        <v>445</v>
      </c>
      <c r="S1347" s="2">
        <v>691</v>
      </c>
      <c r="T1347" t="s">
        <v>4965</v>
      </c>
      <c r="U1347" s="6">
        <v>42906</v>
      </c>
      <c r="V1347" s="2">
        <v>47037019500</v>
      </c>
      <c r="W1347" s="2" t="s">
        <v>4960</v>
      </c>
      <c r="X1347" s="1">
        <v>45658</v>
      </c>
      <c r="Y1347" s="2">
        <v>234570800</v>
      </c>
      <c r="Z1347" s="2">
        <v>0</v>
      </c>
      <c r="AA1347" s="2">
        <v>234570800</v>
      </c>
    </row>
    <row r="1348" spans="1:27" x14ac:dyDescent="0.3">
      <c r="A1348" s="3">
        <v>19</v>
      </c>
      <c r="B1348" s="2" t="str">
        <f>"08214003800"</f>
        <v>08214003800</v>
      </c>
      <c r="C1348" s="2" t="s">
        <v>4968</v>
      </c>
      <c r="D1348" t="s">
        <v>29</v>
      </c>
      <c r="E1348" s="2" t="s">
        <v>30</v>
      </c>
      <c r="F1348" s="2">
        <v>37201</v>
      </c>
      <c r="G1348" s="2" t="s">
        <v>2490</v>
      </c>
      <c r="H1348" t="s">
        <v>4969</v>
      </c>
      <c r="I1348" s="6">
        <v>26854</v>
      </c>
      <c r="J1348" s="2" t="s">
        <v>4970</v>
      </c>
      <c r="K1348" s="2" t="s">
        <v>34</v>
      </c>
      <c r="L1348" t="s">
        <v>35</v>
      </c>
      <c r="M1348" t="s">
        <v>29</v>
      </c>
      <c r="N1348" t="s">
        <v>30</v>
      </c>
      <c r="O1348">
        <v>37219</v>
      </c>
      <c r="P1348" t="s">
        <v>4971</v>
      </c>
      <c r="Q1348" s="2">
        <v>1.04</v>
      </c>
      <c r="R1348" s="2">
        <v>364</v>
      </c>
      <c r="S1348" s="2">
        <v>142</v>
      </c>
      <c r="T1348" t="s">
        <v>4970</v>
      </c>
      <c r="U1348" s="6">
        <v>26854</v>
      </c>
      <c r="V1348" s="2">
        <v>47037019500</v>
      </c>
      <c r="W1348" s="2" t="s">
        <v>68</v>
      </c>
      <c r="X1348" s="1">
        <v>45658</v>
      </c>
      <c r="Y1348" s="2">
        <v>5829900</v>
      </c>
      <c r="Z1348" s="2">
        <v>31200</v>
      </c>
      <c r="AA1348" s="2">
        <v>5798700</v>
      </c>
    </row>
    <row r="1349" spans="1:27" x14ac:dyDescent="0.3">
      <c r="A1349" s="3">
        <v>19</v>
      </c>
      <c r="B1349" s="2" t="str">
        <f>"08214002200"</f>
        <v>08214002200</v>
      </c>
      <c r="C1349" s="2" t="s">
        <v>4972</v>
      </c>
      <c r="D1349" t="s">
        <v>29</v>
      </c>
      <c r="E1349" s="2" t="s">
        <v>30</v>
      </c>
      <c r="F1349" s="2">
        <v>37201</v>
      </c>
      <c r="G1349" s="2" t="s">
        <v>147</v>
      </c>
      <c r="H1349" t="s">
        <v>4969</v>
      </c>
      <c r="I1349" s="6">
        <v>26854</v>
      </c>
      <c r="J1349" s="2" t="s">
        <v>4970</v>
      </c>
      <c r="K1349" s="2" t="s">
        <v>34</v>
      </c>
      <c r="L1349" t="s">
        <v>35</v>
      </c>
      <c r="M1349" t="s">
        <v>29</v>
      </c>
      <c r="N1349" t="s">
        <v>30</v>
      </c>
      <c r="O1349">
        <v>37219</v>
      </c>
      <c r="P1349" t="s">
        <v>4973</v>
      </c>
      <c r="Q1349" s="2">
        <v>0.51</v>
      </c>
      <c r="R1349" s="2">
        <v>300</v>
      </c>
      <c r="S1349" s="2">
        <v>75</v>
      </c>
      <c r="T1349" t="s">
        <v>4974</v>
      </c>
      <c r="U1349" s="6">
        <v>44783</v>
      </c>
      <c r="V1349" s="2">
        <v>47037019500</v>
      </c>
      <c r="W1349" s="2" t="s">
        <v>68</v>
      </c>
      <c r="X1349" s="1">
        <v>45658</v>
      </c>
      <c r="Y1349" s="2">
        <v>20443600</v>
      </c>
      <c r="Z1349" s="2">
        <v>16000400</v>
      </c>
      <c r="AA1349" s="2">
        <v>4443200</v>
      </c>
    </row>
    <row r="1350" spans="1:27" x14ac:dyDescent="0.3">
      <c r="A1350" s="3">
        <v>19</v>
      </c>
      <c r="B1350" s="2" t="str">
        <f>"09302004900"</f>
        <v>09302004900</v>
      </c>
      <c r="C1350" s="2" t="s">
        <v>4975</v>
      </c>
      <c r="D1350" t="s">
        <v>29</v>
      </c>
      <c r="E1350" s="2" t="s">
        <v>30</v>
      </c>
      <c r="F1350" s="2">
        <v>37201</v>
      </c>
      <c r="G1350" s="2" t="s">
        <v>41</v>
      </c>
      <c r="H1350" t="s">
        <v>4969</v>
      </c>
      <c r="I1350" s="6">
        <v>26854</v>
      </c>
      <c r="J1350" s="2" t="s">
        <v>4970</v>
      </c>
      <c r="K1350" s="2">
        <v>0</v>
      </c>
      <c r="L1350" t="s">
        <v>35</v>
      </c>
      <c r="M1350" t="s">
        <v>29</v>
      </c>
      <c r="N1350" t="s">
        <v>30</v>
      </c>
      <c r="O1350">
        <v>37219</v>
      </c>
      <c r="P1350" t="s">
        <v>4976</v>
      </c>
      <c r="Q1350" s="2">
        <v>0.2</v>
      </c>
      <c r="R1350" s="2">
        <v>61</v>
      </c>
      <c r="S1350" s="2">
        <v>137</v>
      </c>
      <c r="T1350" t="s">
        <v>4970</v>
      </c>
      <c r="U1350" s="6">
        <v>26854</v>
      </c>
      <c r="V1350" s="2">
        <v>47037019500</v>
      </c>
      <c r="W1350" s="2" t="s">
        <v>68</v>
      </c>
      <c r="X1350" s="1">
        <v>45658</v>
      </c>
      <c r="Y1350" s="2">
        <v>1671400</v>
      </c>
      <c r="Z1350" s="2">
        <v>0</v>
      </c>
      <c r="AA1350" s="2">
        <v>1671400</v>
      </c>
    </row>
    <row r="1351" spans="1:27" x14ac:dyDescent="0.3">
      <c r="A1351" s="3">
        <v>19</v>
      </c>
      <c r="B1351" s="2" t="str">
        <f>"09302005200"</f>
        <v>09302005200</v>
      </c>
      <c r="C1351" s="2" t="s">
        <v>4977</v>
      </c>
      <c r="D1351" t="s">
        <v>29</v>
      </c>
      <c r="E1351" s="2" t="s">
        <v>30</v>
      </c>
      <c r="F1351" s="2">
        <v>37201</v>
      </c>
      <c r="G1351" s="2" t="s">
        <v>152</v>
      </c>
      <c r="H1351" t="s">
        <v>4969</v>
      </c>
      <c r="I1351" s="6">
        <v>26854</v>
      </c>
      <c r="J1351" s="2" t="s">
        <v>4970</v>
      </c>
      <c r="K1351" s="2" t="s">
        <v>34</v>
      </c>
      <c r="L1351" t="s">
        <v>35</v>
      </c>
      <c r="M1351" t="s">
        <v>29</v>
      </c>
      <c r="N1351" t="s">
        <v>30</v>
      </c>
      <c r="O1351">
        <v>37219</v>
      </c>
      <c r="P1351" t="s">
        <v>4978</v>
      </c>
      <c r="Q1351" s="2">
        <v>2.2000000000000002</v>
      </c>
      <c r="R1351" s="2">
        <v>317</v>
      </c>
      <c r="S1351" s="2">
        <v>300</v>
      </c>
      <c r="T1351" t="s">
        <v>4974</v>
      </c>
      <c r="U1351" s="6">
        <v>44783</v>
      </c>
      <c r="V1351" s="2">
        <v>47037019500</v>
      </c>
      <c r="W1351" s="2" t="s">
        <v>68</v>
      </c>
      <c r="X1351" s="1">
        <v>45658</v>
      </c>
      <c r="Y1351" s="2">
        <v>19166400</v>
      </c>
      <c r="Z1351" s="2">
        <v>0</v>
      </c>
      <c r="AA1351" s="2">
        <v>19166400</v>
      </c>
    </row>
    <row r="1352" spans="1:27" x14ac:dyDescent="0.3">
      <c r="A1352" s="3">
        <v>19</v>
      </c>
      <c r="B1352" s="2" t="str">
        <f>"09303000300"</f>
        <v>09303000300</v>
      </c>
      <c r="C1352" s="2" t="s">
        <v>4979</v>
      </c>
      <c r="D1352" t="s">
        <v>29</v>
      </c>
      <c r="E1352" s="2" t="s">
        <v>30</v>
      </c>
      <c r="F1352" s="2">
        <v>37213</v>
      </c>
      <c r="G1352" s="2" t="s">
        <v>152</v>
      </c>
      <c r="H1352" t="s">
        <v>4980</v>
      </c>
      <c r="I1352" s="6">
        <v>33480</v>
      </c>
      <c r="J1352" s="2" t="s">
        <v>4981</v>
      </c>
      <c r="K1352" s="2">
        <v>290000</v>
      </c>
      <c r="L1352" t="s">
        <v>35</v>
      </c>
      <c r="M1352" t="s">
        <v>29</v>
      </c>
      <c r="N1352" t="s">
        <v>30</v>
      </c>
      <c r="O1352">
        <v>37219</v>
      </c>
      <c r="P1352" t="s">
        <v>4982</v>
      </c>
      <c r="Q1352" s="2">
        <v>3.45</v>
      </c>
      <c r="R1352" s="2">
        <v>370</v>
      </c>
      <c r="S1352" s="2">
        <v>385</v>
      </c>
      <c r="T1352" t="s">
        <v>4913</v>
      </c>
      <c r="U1352" s="6">
        <v>45400</v>
      </c>
      <c r="V1352" s="2">
        <v>47047037019300</v>
      </c>
      <c r="W1352" s="2" t="s">
        <v>68</v>
      </c>
      <c r="X1352" s="1">
        <v>45658</v>
      </c>
      <c r="Y1352" s="2">
        <v>18033800</v>
      </c>
      <c r="Z1352" s="2">
        <v>0</v>
      </c>
      <c r="AA1352" s="2">
        <v>18033800</v>
      </c>
    </row>
    <row r="1353" spans="1:27" x14ac:dyDescent="0.3">
      <c r="A1353" s="3">
        <v>19</v>
      </c>
      <c r="B1353" s="2" t="str">
        <f>"09306113300"</f>
        <v>09306113300</v>
      </c>
      <c r="C1353" s="2" t="s">
        <v>4983</v>
      </c>
      <c r="D1353" t="s">
        <v>29</v>
      </c>
      <c r="E1353" s="2" t="s">
        <v>30</v>
      </c>
      <c r="F1353" s="2">
        <v>37219</v>
      </c>
      <c r="G1353" s="2" t="s">
        <v>152</v>
      </c>
      <c r="H1353" t="s">
        <v>4984</v>
      </c>
      <c r="I1353" s="6">
        <v>32030</v>
      </c>
      <c r="J1353" s="2" t="s">
        <v>4985</v>
      </c>
      <c r="K1353" s="2" t="s">
        <v>34</v>
      </c>
      <c r="L1353" t="s">
        <v>35</v>
      </c>
      <c r="M1353" t="s">
        <v>29</v>
      </c>
      <c r="N1353" t="s">
        <v>30</v>
      </c>
      <c r="O1353">
        <v>37219</v>
      </c>
      <c r="P1353" t="s">
        <v>4986</v>
      </c>
      <c r="Q1353" s="2">
        <v>3.81</v>
      </c>
      <c r="R1353" s="2">
        <v>358</v>
      </c>
      <c r="S1353" s="2">
        <v>453</v>
      </c>
      <c r="T1353" t="s">
        <v>4987</v>
      </c>
      <c r="U1353" s="6">
        <v>36411</v>
      </c>
      <c r="V1353" s="2">
        <v>47037019500</v>
      </c>
      <c r="W1353" s="2" t="s">
        <v>4960</v>
      </c>
      <c r="X1353" s="1">
        <v>45658</v>
      </c>
      <c r="Y1353" s="2">
        <v>132771200</v>
      </c>
      <c r="Z1353" s="2">
        <v>0</v>
      </c>
      <c r="AA1353" s="2">
        <v>132771200</v>
      </c>
    </row>
    <row r="1354" spans="1:27" x14ac:dyDescent="0.3">
      <c r="A1354" s="3">
        <v>19</v>
      </c>
      <c r="B1354" s="2" t="str">
        <f>"08116020300"</f>
        <v>08116020300</v>
      </c>
      <c r="C1354" s="2" t="s">
        <v>4988</v>
      </c>
      <c r="D1354" t="s">
        <v>29</v>
      </c>
      <c r="E1354" s="2" t="s">
        <v>30</v>
      </c>
      <c r="F1354" s="2">
        <v>37208</v>
      </c>
      <c r="G1354" s="2" t="s">
        <v>901</v>
      </c>
      <c r="H1354" t="s">
        <v>4989</v>
      </c>
      <c r="I1354" s="6">
        <v>21689</v>
      </c>
      <c r="J1354" s="2" t="s">
        <v>1512</v>
      </c>
      <c r="K1354" s="2" t="s">
        <v>34</v>
      </c>
      <c r="L1354" t="s">
        <v>35</v>
      </c>
      <c r="M1354" t="s">
        <v>29</v>
      </c>
      <c r="N1354" t="s">
        <v>30</v>
      </c>
      <c r="O1354">
        <v>37219</v>
      </c>
      <c r="P1354" t="s">
        <v>4990</v>
      </c>
      <c r="Q1354" s="2">
        <v>0.38</v>
      </c>
      <c r="R1354" s="2">
        <v>100</v>
      </c>
      <c r="S1354" s="2">
        <v>151</v>
      </c>
      <c r="T1354" t="s">
        <v>1512</v>
      </c>
      <c r="U1354" s="6">
        <v>21689</v>
      </c>
      <c r="V1354" s="2">
        <v>47037019400</v>
      </c>
      <c r="W1354" s="2" t="s">
        <v>68</v>
      </c>
      <c r="X1354" s="1">
        <v>45658</v>
      </c>
      <c r="Y1354" s="2">
        <v>373800</v>
      </c>
      <c r="Z1354" s="2">
        <v>0</v>
      </c>
      <c r="AA1354" s="2">
        <v>373800</v>
      </c>
    </row>
    <row r="1355" spans="1:27" x14ac:dyDescent="0.3">
      <c r="A1355" s="3">
        <v>19</v>
      </c>
      <c r="B1355" s="2" t="str">
        <f>"09302011000"</f>
        <v>09302011000</v>
      </c>
      <c r="C1355" s="2" t="s">
        <v>4991</v>
      </c>
      <c r="D1355" t="s">
        <v>29</v>
      </c>
      <c r="E1355" s="2" t="s">
        <v>30</v>
      </c>
      <c r="F1355" s="2">
        <v>37201</v>
      </c>
      <c r="G1355" s="2" t="s">
        <v>200</v>
      </c>
      <c r="H1355" t="s">
        <v>1668</v>
      </c>
      <c r="I1355" s="6">
        <v>28285</v>
      </c>
      <c r="J1355" s="2" t="s">
        <v>4992</v>
      </c>
      <c r="K1355" s="2" t="s">
        <v>34</v>
      </c>
      <c r="L1355" t="s">
        <v>35</v>
      </c>
      <c r="M1355" t="s">
        <v>29</v>
      </c>
      <c r="N1355" t="s">
        <v>30</v>
      </c>
      <c r="O1355">
        <v>37219</v>
      </c>
      <c r="P1355" t="s">
        <v>4993</v>
      </c>
      <c r="Q1355" s="2">
        <v>0.23</v>
      </c>
      <c r="R1355" s="2">
        <v>96</v>
      </c>
      <c r="S1355" s="2">
        <v>107</v>
      </c>
      <c r="T1355" t="s">
        <v>4994</v>
      </c>
      <c r="U1355" s="6">
        <v>27710</v>
      </c>
      <c r="V1355" s="2">
        <v>47037019500</v>
      </c>
      <c r="W1355" s="2" t="s">
        <v>68</v>
      </c>
      <c r="X1355" s="1">
        <v>45658</v>
      </c>
      <c r="Y1355" s="2">
        <v>1001900</v>
      </c>
      <c r="Z1355" s="2">
        <v>0</v>
      </c>
      <c r="AA1355" s="2">
        <v>1001900</v>
      </c>
    </row>
    <row r="1356" spans="1:27" x14ac:dyDescent="0.3">
      <c r="A1356" s="3">
        <v>19</v>
      </c>
      <c r="B1356" s="2" t="str">
        <f>"09302010900"</f>
        <v>09302010900</v>
      </c>
      <c r="C1356" s="2" t="s">
        <v>4991</v>
      </c>
      <c r="D1356" t="s">
        <v>29</v>
      </c>
      <c r="E1356" s="2" t="s">
        <v>30</v>
      </c>
      <c r="F1356" s="2">
        <v>37201</v>
      </c>
      <c r="G1356" s="2" t="s">
        <v>200</v>
      </c>
      <c r="H1356" t="s">
        <v>1668</v>
      </c>
      <c r="I1356" s="6">
        <v>28285</v>
      </c>
      <c r="J1356" s="2" t="s">
        <v>4992</v>
      </c>
      <c r="K1356" s="2" t="s">
        <v>34</v>
      </c>
      <c r="L1356" t="s">
        <v>35</v>
      </c>
      <c r="M1356" t="s">
        <v>29</v>
      </c>
      <c r="N1356" t="s">
        <v>30</v>
      </c>
      <c r="O1356">
        <v>37219</v>
      </c>
      <c r="P1356" t="s">
        <v>4995</v>
      </c>
      <c r="Q1356" s="2">
        <v>0.72</v>
      </c>
      <c r="R1356" s="2">
        <v>252</v>
      </c>
      <c r="S1356" s="2">
        <v>122</v>
      </c>
      <c r="T1356" t="s">
        <v>4996</v>
      </c>
      <c r="U1356" s="6">
        <v>27440</v>
      </c>
      <c r="V1356" s="2">
        <v>47037019500</v>
      </c>
      <c r="W1356" s="2" t="s">
        <v>4960</v>
      </c>
      <c r="X1356" s="1">
        <v>45658</v>
      </c>
      <c r="Y1356" s="2">
        <v>6272600</v>
      </c>
      <c r="Z1356" s="2">
        <v>0</v>
      </c>
      <c r="AA1356" s="2">
        <v>6272600</v>
      </c>
    </row>
    <row r="1357" spans="1:27" x14ac:dyDescent="0.3">
      <c r="A1357" s="3">
        <v>19</v>
      </c>
      <c r="B1357" s="2" t="str">
        <f>"09302403400"</f>
        <v>09302403400</v>
      </c>
      <c r="C1357" s="2" t="s">
        <v>4997</v>
      </c>
      <c r="D1357" t="s">
        <v>29</v>
      </c>
      <c r="E1357" s="2" t="s">
        <v>30</v>
      </c>
      <c r="F1357" s="2">
        <v>37201</v>
      </c>
      <c r="G1357" s="2" t="s">
        <v>41</v>
      </c>
      <c r="H1357" t="s">
        <v>1668</v>
      </c>
      <c r="I1357" s="6">
        <v>28285</v>
      </c>
      <c r="J1357" s="2" t="s">
        <v>4992</v>
      </c>
      <c r="K1357" s="2" t="s">
        <v>34</v>
      </c>
      <c r="L1357" t="s">
        <v>35</v>
      </c>
      <c r="M1357" t="s">
        <v>29</v>
      </c>
      <c r="N1357" t="s">
        <v>30</v>
      </c>
      <c r="O1357">
        <v>37219</v>
      </c>
      <c r="P1357" t="s">
        <v>4998</v>
      </c>
      <c r="Q1357" s="2">
        <v>0.68</v>
      </c>
      <c r="R1357" s="2">
        <v>549</v>
      </c>
      <c r="S1357" s="2">
        <v>35</v>
      </c>
      <c r="T1357" t="s">
        <v>4999</v>
      </c>
      <c r="U1357" s="6">
        <v>26273</v>
      </c>
      <c r="V1357" s="2">
        <v>47037019500</v>
      </c>
      <c r="W1357" s="2" t="s">
        <v>4960</v>
      </c>
      <c r="X1357" s="1">
        <v>45658</v>
      </c>
      <c r="Y1357" s="2">
        <v>3702500</v>
      </c>
      <c r="Z1357" s="2">
        <v>0</v>
      </c>
      <c r="AA1357" s="2">
        <v>3702500</v>
      </c>
    </row>
    <row r="1358" spans="1:27" x14ac:dyDescent="0.3">
      <c r="A1358" s="3">
        <v>19</v>
      </c>
      <c r="B1358" s="2" t="str">
        <f>"09302005600"</f>
        <v>09302005600</v>
      </c>
      <c r="C1358" s="2" t="s">
        <v>5000</v>
      </c>
      <c r="D1358" t="s">
        <v>29</v>
      </c>
      <c r="E1358" s="2" t="s">
        <v>30</v>
      </c>
      <c r="F1358" s="2">
        <v>37201</v>
      </c>
      <c r="G1358" s="2" t="s">
        <v>152</v>
      </c>
      <c r="H1358" t="s">
        <v>5001</v>
      </c>
      <c r="I1358" s="6">
        <v>27395</v>
      </c>
      <c r="J1358" s="2" t="s">
        <v>278</v>
      </c>
      <c r="K1358" s="2" t="s">
        <v>34</v>
      </c>
      <c r="L1358" t="s">
        <v>35</v>
      </c>
      <c r="M1358" t="s">
        <v>29</v>
      </c>
      <c r="N1358" t="s">
        <v>30</v>
      </c>
      <c r="O1358">
        <v>37219</v>
      </c>
      <c r="P1358" t="s">
        <v>5002</v>
      </c>
      <c r="Q1358" s="2">
        <v>6.35</v>
      </c>
      <c r="R1358" s="2">
        <v>354</v>
      </c>
      <c r="S1358" s="2">
        <v>505</v>
      </c>
      <c r="T1358" t="s">
        <v>5003</v>
      </c>
      <c r="U1358" s="6">
        <v>38491</v>
      </c>
      <c r="V1358" s="2">
        <v>47037019500</v>
      </c>
      <c r="W1358" s="2" t="s">
        <v>4960</v>
      </c>
      <c r="X1358" s="1">
        <v>45658</v>
      </c>
      <c r="Y1358" s="2">
        <v>138303000</v>
      </c>
      <c r="Z1358" s="2">
        <v>0</v>
      </c>
      <c r="AA1358" s="2">
        <v>138303000</v>
      </c>
    </row>
    <row r="1359" spans="1:27" x14ac:dyDescent="0.3">
      <c r="A1359" s="3">
        <v>19</v>
      </c>
      <c r="B1359" s="2" t="str">
        <f>"09311002700"</f>
        <v>09311002700</v>
      </c>
      <c r="C1359" s="2" t="s">
        <v>5004</v>
      </c>
      <c r="D1359" t="s">
        <v>29</v>
      </c>
      <c r="E1359" s="2" t="s">
        <v>30</v>
      </c>
      <c r="F1359" s="2">
        <v>37210</v>
      </c>
      <c r="G1359" s="2" t="s">
        <v>152</v>
      </c>
      <c r="H1359" t="s">
        <v>5005</v>
      </c>
      <c r="I1359" s="6">
        <v>37516</v>
      </c>
      <c r="J1359" s="2" t="s">
        <v>5006</v>
      </c>
      <c r="K1359" s="2">
        <v>1392266</v>
      </c>
      <c r="L1359" t="s">
        <v>35</v>
      </c>
      <c r="M1359" t="s">
        <v>29</v>
      </c>
      <c r="N1359" t="s">
        <v>30</v>
      </c>
      <c r="O1359">
        <v>37219</v>
      </c>
      <c r="P1359" t="s">
        <v>5007</v>
      </c>
      <c r="Q1359" s="2">
        <v>1.95</v>
      </c>
      <c r="R1359" s="2">
        <v>189</v>
      </c>
      <c r="S1359" s="2">
        <v>406</v>
      </c>
      <c r="T1359" t="s">
        <v>5008</v>
      </c>
      <c r="U1359" s="6">
        <v>45058</v>
      </c>
      <c r="V1359" s="2">
        <v>47037019500</v>
      </c>
      <c r="W1359" s="2" t="s">
        <v>4960</v>
      </c>
      <c r="X1359" s="1">
        <v>45658</v>
      </c>
      <c r="Y1359" s="2">
        <v>27606200</v>
      </c>
      <c r="Z1359" s="2">
        <v>0</v>
      </c>
      <c r="AA1359" s="2">
        <v>27606200</v>
      </c>
    </row>
    <row r="1360" spans="1:27" x14ac:dyDescent="0.3">
      <c r="A1360" s="3">
        <v>19</v>
      </c>
      <c r="B1360" s="2" t="str">
        <f>"09306000100"</f>
        <v>09306000100</v>
      </c>
      <c r="C1360" s="2" t="s">
        <v>5009</v>
      </c>
      <c r="D1360" t="s">
        <v>29</v>
      </c>
      <c r="E1360" s="2" t="s">
        <v>30</v>
      </c>
      <c r="F1360" s="2">
        <v>37203</v>
      </c>
      <c r="G1360" s="2" t="s">
        <v>2706</v>
      </c>
      <c r="H1360" t="s">
        <v>158</v>
      </c>
      <c r="I1360" s="6">
        <v>29458</v>
      </c>
      <c r="J1360" s="2" t="s">
        <v>5010</v>
      </c>
      <c r="K1360" s="2" t="s">
        <v>34</v>
      </c>
      <c r="L1360" t="s">
        <v>35</v>
      </c>
      <c r="M1360" t="s">
        <v>29</v>
      </c>
      <c r="N1360" t="s">
        <v>30</v>
      </c>
      <c r="O1360">
        <v>37219</v>
      </c>
      <c r="P1360" t="s">
        <v>5011</v>
      </c>
      <c r="Q1360" s="2">
        <v>1.1000000000000001</v>
      </c>
      <c r="R1360" s="2">
        <v>331</v>
      </c>
      <c r="S1360" s="2">
        <v>165</v>
      </c>
      <c r="T1360" t="s">
        <v>278</v>
      </c>
      <c r="U1360" s="6">
        <v>29037</v>
      </c>
      <c r="V1360" s="2">
        <v>47037019500</v>
      </c>
      <c r="W1360" s="2" t="s">
        <v>4960</v>
      </c>
      <c r="X1360" s="1">
        <v>45658</v>
      </c>
      <c r="Y1360" s="2">
        <v>0</v>
      </c>
      <c r="Z1360" s="2">
        <v>0</v>
      </c>
      <c r="AA1360" s="2">
        <v>0</v>
      </c>
    </row>
    <row r="1361" spans="1:27" x14ac:dyDescent="0.3">
      <c r="A1361" s="3">
        <v>19</v>
      </c>
      <c r="B1361" s="2" t="str">
        <f>"09306210300"</f>
        <v>09306210300</v>
      </c>
      <c r="C1361" s="2" t="s">
        <v>5012</v>
      </c>
      <c r="D1361" t="s">
        <v>29</v>
      </c>
      <c r="E1361" s="2" t="s">
        <v>30</v>
      </c>
      <c r="F1361" s="2">
        <v>37201</v>
      </c>
      <c r="G1361" s="2" t="s">
        <v>200</v>
      </c>
      <c r="H1361" t="s">
        <v>5013</v>
      </c>
      <c r="I1361" s="6">
        <v>18324</v>
      </c>
      <c r="J1361" s="2" t="s">
        <v>5014</v>
      </c>
      <c r="K1361" s="2" t="s">
        <v>34</v>
      </c>
      <c r="L1361" t="s">
        <v>35</v>
      </c>
      <c r="M1361" t="s">
        <v>29</v>
      </c>
      <c r="N1361" t="s">
        <v>30</v>
      </c>
      <c r="O1361">
        <v>37219</v>
      </c>
      <c r="P1361" t="s">
        <v>5015</v>
      </c>
      <c r="Q1361" s="2">
        <v>0.66</v>
      </c>
      <c r="R1361" s="2">
        <v>225</v>
      </c>
      <c r="S1361" s="2">
        <v>161</v>
      </c>
      <c r="T1361" t="s">
        <v>5016</v>
      </c>
      <c r="U1361" s="6">
        <v>30741</v>
      </c>
      <c r="V1361" s="2">
        <v>47037019500</v>
      </c>
      <c r="W1361" s="2" t="s">
        <v>4960</v>
      </c>
      <c r="X1361" s="1">
        <v>45658</v>
      </c>
      <c r="Y1361" s="2">
        <v>34498800</v>
      </c>
      <c r="Z1361" s="2">
        <v>0</v>
      </c>
      <c r="AA1361" s="2">
        <v>34498800</v>
      </c>
    </row>
    <row r="1362" spans="1:27" x14ac:dyDescent="0.3">
      <c r="A1362" s="3">
        <v>19</v>
      </c>
      <c r="B1362" s="2" t="str">
        <f>"09311019900"</f>
        <v>09311019900</v>
      </c>
      <c r="C1362" s="2" t="s">
        <v>5017</v>
      </c>
      <c r="D1362" t="s">
        <v>29</v>
      </c>
      <c r="E1362" s="2" t="s">
        <v>30</v>
      </c>
      <c r="F1362" s="2">
        <v>37210</v>
      </c>
      <c r="G1362" s="2" t="s">
        <v>2706</v>
      </c>
      <c r="H1362" t="s">
        <v>5018</v>
      </c>
      <c r="I1362" s="6">
        <v>14286</v>
      </c>
      <c r="J1362" s="2" t="s">
        <v>5019</v>
      </c>
      <c r="K1362" s="2" t="s">
        <v>34</v>
      </c>
      <c r="L1362" t="s">
        <v>35</v>
      </c>
      <c r="M1362" t="s">
        <v>29</v>
      </c>
      <c r="N1362" t="s">
        <v>30</v>
      </c>
      <c r="O1362">
        <v>37219</v>
      </c>
      <c r="P1362" t="s">
        <v>5020</v>
      </c>
      <c r="Q1362" s="2">
        <v>15.33</v>
      </c>
      <c r="R1362" s="2">
        <v>0</v>
      </c>
      <c r="S1362" s="2">
        <v>0</v>
      </c>
      <c r="T1362" t="s">
        <v>5021</v>
      </c>
      <c r="U1362" s="6">
        <v>30425</v>
      </c>
      <c r="V1362" s="2">
        <v>47037019500</v>
      </c>
      <c r="W1362" s="2" t="s">
        <v>68</v>
      </c>
      <c r="X1362" s="1">
        <v>45658</v>
      </c>
      <c r="Y1362" s="2">
        <v>100166300</v>
      </c>
      <c r="Z1362" s="2">
        <v>0</v>
      </c>
      <c r="AA1362" s="2">
        <v>100166300</v>
      </c>
    </row>
    <row r="1363" spans="1:27" x14ac:dyDescent="0.3">
      <c r="A1363" s="3">
        <v>19</v>
      </c>
      <c r="B1363" s="2" t="str">
        <f>"09302002100"</f>
        <v>09302002100</v>
      </c>
      <c r="C1363" s="2" t="s">
        <v>5022</v>
      </c>
      <c r="D1363" t="s">
        <v>29</v>
      </c>
      <c r="E1363" s="2" t="s">
        <v>30</v>
      </c>
      <c r="F1363" s="2">
        <v>37201</v>
      </c>
      <c r="G1363" s="2" t="s">
        <v>152</v>
      </c>
      <c r="H1363" t="s">
        <v>5018</v>
      </c>
      <c r="I1363" s="6">
        <v>30177</v>
      </c>
      <c r="J1363" s="2" t="s">
        <v>5023</v>
      </c>
      <c r="K1363" s="2">
        <v>825000</v>
      </c>
      <c r="L1363" t="s">
        <v>35</v>
      </c>
      <c r="M1363" t="s">
        <v>29</v>
      </c>
      <c r="N1363" t="s">
        <v>30</v>
      </c>
      <c r="O1363">
        <v>37219</v>
      </c>
      <c r="P1363" t="s">
        <v>5024</v>
      </c>
      <c r="Q1363" s="2">
        <v>3.65</v>
      </c>
      <c r="R1363" s="2">
        <v>584</v>
      </c>
      <c r="S1363" s="2">
        <v>0</v>
      </c>
      <c r="T1363" t="s">
        <v>5025</v>
      </c>
      <c r="U1363" s="6">
        <v>43081</v>
      </c>
      <c r="V1363" s="2">
        <v>47037019500</v>
      </c>
      <c r="W1363" s="2" t="s">
        <v>68</v>
      </c>
      <c r="X1363" s="1">
        <v>45658</v>
      </c>
      <c r="Y1363" s="2">
        <v>31798800</v>
      </c>
      <c r="Z1363" s="2">
        <v>0</v>
      </c>
      <c r="AA1363" s="2">
        <v>31798800</v>
      </c>
    </row>
    <row r="1364" spans="1:27" x14ac:dyDescent="0.3">
      <c r="A1364" s="3">
        <v>19</v>
      </c>
      <c r="B1364" s="2" t="str">
        <f>"09302005000"</f>
        <v>09302005000</v>
      </c>
      <c r="C1364" s="2" t="s">
        <v>5026</v>
      </c>
      <c r="D1364" t="s">
        <v>29</v>
      </c>
      <c r="E1364" s="2" t="s">
        <v>30</v>
      </c>
      <c r="F1364" s="2">
        <v>37201</v>
      </c>
      <c r="G1364" s="2" t="s">
        <v>2495</v>
      </c>
      <c r="H1364" t="s">
        <v>5018</v>
      </c>
      <c r="I1364" s="6">
        <v>14475</v>
      </c>
      <c r="J1364" s="2" t="s">
        <v>5027</v>
      </c>
      <c r="K1364" s="2" t="s">
        <v>34</v>
      </c>
      <c r="L1364" t="s">
        <v>35</v>
      </c>
      <c r="M1364" t="s">
        <v>29</v>
      </c>
      <c r="N1364" t="s">
        <v>30</v>
      </c>
      <c r="O1364">
        <v>37219</v>
      </c>
      <c r="P1364" t="s">
        <v>5028</v>
      </c>
      <c r="Q1364" s="2">
        <v>2.12</v>
      </c>
      <c r="R1364" s="2">
        <v>293</v>
      </c>
      <c r="S1364" s="2">
        <v>349</v>
      </c>
      <c r="T1364" t="s">
        <v>5029</v>
      </c>
      <c r="U1364" s="6">
        <v>30393</v>
      </c>
      <c r="V1364" s="2">
        <v>47037019500</v>
      </c>
      <c r="W1364" s="2" t="s">
        <v>68</v>
      </c>
      <c r="X1364" s="1">
        <v>45658</v>
      </c>
      <c r="Y1364" s="2">
        <v>18469400</v>
      </c>
      <c r="Z1364" s="2">
        <v>0</v>
      </c>
      <c r="AA1364" s="2">
        <v>18469400</v>
      </c>
    </row>
    <row r="1365" spans="1:27" x14ac:dyDescent="0.3">
      <c r="A1365" s="3">
        <v>19</v>
      </c>
      <c r="B1365" s="2" t="str">
        <f>"08214002601"</f>
        <v>08214002601</v>
      </c>
      <c r="C1365" s="2" t="s">
        <v>5030</v>
      </c>
      <c r="D1365" t="s">
        <v>29</v>
      </c>
      <c r="E1365" s="2" t="s">
        <v>30</v>
      </c>
      <c r="F1365" s="2">
        <v>37201</v>
      </c>
      <c r="G1365" s="2" t="s">
        <v>2490</v>
      </c>
      <c r="H1365" t="s">
        <v>5031</v>
      </c>
      <c r="I1365" s="6">
        <v>33434</v>
      </c>
      <c r="J1365" s="2" t="s">
        <v>5032</v>
      </c>
      <c r="K1365" s="2" t="s">
        <v>34</v>
      </c>
      <c r="L1365" t="s">
        <v>35</v>
      </c>
      <c r="M1365" t="s">
        <v>29</v>
      </c>
      <c r="N1365" t="s">
        <v>30</v>
      </c>
      <c r="O1365">
        <v>37219</v>
      </c>
      <c r="P1365" t="s">
        <v>5033</v>
      </c>
      <c r="Q1365" s="2">
        <v>0.47</v>
      </c>
      <c r="R1365" s="2">
        <v>175</v>
      </c>
      <c r="S1365" s="2">
        <v>125</v>
      </c>
      <c r="T1365" t="s">
        <v>278</v>
      </c>
      <c r="U1365" s="6">
        <v>32143</v>
      </c>
      <c r="V1365" s="2">
        <v>47037019400</v>
      </c>
      <c r="W1365" s="2" t="s">
        <v>68</v>
      </c>
      <c r="X1365" s="1">
        <v>45658</v>
      </c>
      <c r="Y1365" s="2">
        <v>928000</v>
      </c>
      <c r="Z1365" s="2">
        <v>6700</v>
      </c>
      <c r="AA1365" s="2">
        <v>921300</v>
      </c>
    </row>
    <row r="1366" spans="1:27" x14ac:dyDescent="0.3">
      <c r="A1366" s="3">
        <v>19</v>
      </c>
      <c r="B1366" s="2" t="str">
        <f>"08200001400"</f>
        <v>08200001400</v>
      </c>
      <c r="C1366" s="2" t="s">
        <v>1738</v>
      </c>
      <c r="D1366" t="s">
        <v>29</v>
      </c>
      <c r="E1366" s="2" t="s">
        <v>30</v>
      </c>
      <c r="F1366" s="2">
        <v>37208</v>
      </c>
      <c r="G1366" s="2" t="s">
        <v>1485</v>
      </c>
      <c r="H1366" t="s">
        <v>5034</v>
      </c>
      <c r="I1366" s="6">
        <v>27395</v>
      </c>
      <c r="J1366" s="2" t="s">
        <v>5035</v>
      </c>
      <c r="K1366" s="2" t="s">
        <v>34</v>
      </c>
      <c r="L1366" t="s">
        <v>35</v>
      </c>
      <c r="M1366" t="s">
        <v>29</v>
      </c>
      <c r="N1366" t="s">
        <v>30</v>
      </c>
      <c r="O1366">
        <v>37219</v>
      </c>
      <c r="P1366" t="s">
        <v>5036</v>
      </c>
      <c r="Q1366" s="2">
        <v>1.29</v>
      </c>
      <c r="R1366" s="2">
        <v>0</v>
      </c>
      <c r="S1366" s="2">
        <v>0</v>
      </c>
      <c r="T1366" t="s">
        <v>5037</v>
      </c>
      <c r="U1366" s="2" t="s">
        <v>5038</v>
      </c>
      <c r="V1366" s="2">
        <v>47037019400</v>
      </c>
      <c r="W1366" s="2" t="s">
        <v>68</v>
      </c>
      <c r="X1366" s="1">
        <v>45658</v>
      </c>
      <c r="Y1366" s="2">
        <v>400</v>
      </c>
      <c r="Z1366" s="2">
        <v>0</v>
      </c>
      <c r="AA1366" s="2">
        <v>400</v>
      </c>
    </row>
    <row r="1367" spans="1:27" x14ac:dyDescent="0.3">
      <c r="A1367" s="3">
        <v>19</v>
      </c>
      <c r="B1367" s="2" t="str">
        <f>"09309032600"</f>
        <v>09309032600</v>
      </c>
      <c r="C1367" s="2" t="s">
        <v>5039</v>
      </c>
      <c r="D1367" t="s">
        <v>29</v>
      </c>
      <c r="E1367" s="2" t="s">
        <v>30</v>
      </c>
      <c r="F1367" s="2">
        <v>37203</v>
      </c>
      <c r="G1367" s="2" t="s">
        <v>505</v>
      </c>
      <c r="H1367" t="s">
        <v>5040</v>
      </c>
      <c r="I1367" s="6">
        <v>31320</v>
      </c>
      <c r="J1367" s="2" t="s">
        <v>5041</v>
      </c>
      <c r="K1367" s="2">
        <v>0</v>
      </c>
      <c r="L1367" t="s">
        <v>35</v>
      </c>
      <c r="M1367" t="s">
        <v>29</v>
      </c>
      <c r="N1367" t="s">
        <v>30</v>
      </c>
      <c r="O1367">
        <v>37219</v>
      </c>
      <c r="P1367" t="s">
        <v>5042</v>
      </c>
      <c r="Q1367" s="2">
        <v>1.38</v>
      </c>
      <c r="R1367" s="2">
        <v>0</v>
      </c>
      <c r="S1367" s="2">
        <v>0</v>
      </c>
      <c r="T1367" t="s">
        <v>5043</v>
      </c>
      <c r="U1367" s="6">
        <v>31400</v>
      </c>
      <c r="V1367" s="2">
        <v>47037019500</v>
      </c>
      <c r="W1367" s="2" t="s">
        <v>4960</v>
      </c>
      <c r="X1367" s="1">
        <v>45658</v>
      </c>
      <c r="Y1367" s="2">
        <v>0</v>
      </c>
      <c r="Z1367" s="2">
        <v>0</v>
      </c>
      <c r="AA1367" s="2">
        <v>0</v>
      </c>
    </row>
    <row r="1368" spans="1:27" x14ac:dyDescent="0.3">
      <c r="A1368" s="3">
        <v>19</v>
      </c>
      <c r="B1368" s="2" t="str">
        <f>"09306101500"</f>
        <v>09306101500</v>
      </c>
      <c r="C1368" s="2" t="s">
        <v>5044</v>
      </c>
      <c r="D1368" t="s">
        <v>29</v>
      </c>
      <c r="E1368" s="2" t="s">
        <v>30</v>
      </c>
      <c r="F1368" s="2">
        <v>37219</v>
      </c>
      <c r="G1368" s="2" t="s">
        <v>200</v>
      </c>
      <c r="H1368" t="s">
        <v>171</v>
      </c>
      <c r="I1368" s="6">
        <v>35997</v>
      </c>
      <c r="J1368" s="2" t="s">
        <v>5045</v>
      </c>
      <c r="K1368" s="2">
        <v>391500</v>
      </c>
      <c r="L1368" t="s">
        <v>35</v>
      </c>
      <c r="M1368" t="s">
        <v>29</v>
      </c>
      <c r="N1368" t="s">
        <v>30</v>
      </c>
      <c r="O1368">
        <v>37219</v>
      </c>
      <c r="P1368" t="s">
        <v>5046</v>
      </c>
      <c r="Q1368" s="2">
        <v>0.27</v>
      </c>
      <c r="R1368" s="2">
        <v>138</v>
      </c>
      <c r="S1368" s="2">
        <v>87</v>
      </c>
      <c r="T1368" t="s">
        <v>278</v>
      </c>
      <c r="U1368" s="6">
        <v>35927</v>
      </c>
      <c r="V1368" s="2">
        <v>47037019500</v>
      </c>
      <c r="W1368" s="2" t="s">
        <v>4960</v>
      </c>
      <c r="X1368" s="1">
        <v>45658</v>
      </c>
      <c r="Y1368" s="2">
        <v>6003000</v>
      </c>
      <c r="Z1368" s="2">
        <v>0</v>
      </c>
      <c r="AA1368" s="2">
        <v>6003000</v>
      </c>
    </row>
    <row r="1369" spans="1:27" x14ac:dyDescent="0.3">
      <c r="A1369" s="3">
        <v>19</v>
      </c>
      <c r="B1369" s="2" t="str">
        <f>"09306004100"</f>
        <v>09306004100</v>
      </c>
      <c r="C1369" s="2" t="s">
        <v>5047</v>
      </c>
      <c r="D1369" t="s">
        <v>29</v>
      </c>
      <c r="E1369" s="2" t="s">
        <v>30</v>
      </c>
      <c r="F1369" s="2">
        <v>37201</v>
      </c>
      <c r="G1369" s="2" t="s">
        <v>41</v>
      </c>
      <c r="H1369" t="s">
        <v>171</v>
      </c>
      <c r="I1369" s="6">
        <v>30981</v>
      </c>
      <c r="J1369" s="2" t="s">
        <v>5048</v>
      </c>
      <c r="K1369" s="2" t="s">
        <v>34</v>
      </c>
      <c r="L1369" t="s">
        <v>35</v>
      </c>
      <c r="M1369" t="s">
        <v>29</v>
      </c>
      <c r="N1369" t="s">
        <v>30</v>
      </c>
      <c r="O1369">
        <v>37219</v>
      </c>
      <c r="P1369" t="s">
        <v>5049</v>
      </c>
      <c r="Q1369" s="2">
        <v>12.54</v>
      </c>
      <c r="R1369" s="2">
        <v>1027</v>
      </c>
      <c r="S1369" s="2">
        <v>0</v>
      </c>
      <c r="T1369" t="s">
        <v>5050</v>
      </c>
      <c r="U1369" s="6">
        <v>42129</v>
      </c>
      <c r="V1369" s="2">
        <v>47037019500</v>
      </c>
      <c r="W1369" s="2" t="s">
        <v>4960</v>
      </c>
      <c r="X1369" s="1">
        <v>45658</v>
      </c>
      <c r="Y1369" s="2">
        <v>88764300</v>
      </c>
      <c r="Z1369" s="2">
        <v>0</v>
      </c>
      <c r="AA1369" s="2">
        <v>88764300</v>
      </c>
    </row>
    <row r="1370" spans="1:27" x14ac:dyDescent="0.3">
      <c r="A1370" s="3">
        <v>19</v>
      </c>
      <c r="B1370" s="2" t="str">
        <f>"09302001300"</f>
        <v>09302001300</v>
      </c>
      <c r="C1370" s="2" t="s">
        <v>5051</v>
      </c>
      <c r="D1370" t="s">
        <v>29</v>
      </c>
      <c r="E1370" s="2" t="s">
        <v>30</v>
      </c>
      <c r="F1370" s="2">
        <v>37219</v>
      </c>
      <c r="G1370" s="2" t="s">
        <v>5052</v>
      </c>
      <c r="H1370" t="s">
        <v>5053</v>
      </c>
      <c r="I1370" s="6">
        <v>22052</v>
      </c>
      <c r="J1370" s="2" t="s">
        <v>5054</v>
      </c>
      <c r="K1370" s="2" t="s">
        <v>34</v>
      </c>
      <c r="L1370" t="s">
        <v>35</v>
      </c>
      <c r="M1370" t="s">
        <v>29</v>
      </c>
      <c r="N1370" t="s">
        <v>30</v>
      </c>
      <c r="O1370">
        <v>37219</v>
      </c>
      <c r="P1370" t="s">
        <v>5055</v>
      </c>
      <c r="Q1370" s="2">
        <v>2.7</v>
      </c>
      <c r="R1370" s="2">
        <v>393</v>
      </c>
      <c r="S1370" s="2">
        <v>325</v>
      </c>
      <c r="T1370" t="s">
        <v>5054</v>
      </c>
      <c r="U1370" s="6">
        <v>22052</v>
      </c>
      <c r="V1370" s="2">
        <v>47037019500</v>
      </c>
      <c r="W1370" s="2" t="s">
        <v>68</v>
      </c>
      <c r="X1370" s="1">
        <v>45658</v>
      </c>
      <c r="Y1370" s="2">
        <v>31284800</v>
      </c>
      <c r="Z1370" s="2">
        <v>0</v>
      </c>
      <c r="AA1370" s="2">
        <v>31284800</v>
      </c>
    </row>
    <row r="1371" spans="1:27" x14ac:dyDescent="0.3">
      <c r="A1371" s="3">
        <v>19</v>
      </c>
      <c r="B1371" s="2" t="str">
        <f>"08214003801"</f>
        <v>08214003801</v>
      </c>
      <c r="C1371" s="2" t="s">
        <v>5056</v>
      </c>
      <c r="D1371" t="s">
        <v>29</v>
      </c>
      <c r="E1371" s="2" t="s">
        <v>30</v>
      </c>
      <c r="F1371" s="2">
        <v>37201</v>
      </c>
      <c r="G1371" s="2" t="s">
        <v>2490</v>
      </c>
      <c r="H1371" t="s">
        <v>5057</v>
      </c>
      <c r="I1371" s="6">
        <v>23741</v>
      </c>
      <c r="J1371" s="2" t="s">
        <v>5058</v>
      </c>
      <c r="K1371" s="2" t="s">
        <v>34</v>
      </c>
      <c r="L1371" t="s">
        <v>35</v>
      </c>
      <c r="M1371" t="s">
        <v>29</v>
      </c>
      <c r="N1371" t="s">
        <v>30</v>
      </c>
      <c r="O1371">
        <v>37219</v>
      </c>
      <c r="P1371" t="s">
        <v>5059</v>
      </c>
      <c r="Q1371" s="2">
        <v>1.03</v>
      </c>
      <c r="R1371" s="2">
        <v>22</v>
      </c>
      <c r="S1371" s="2">
        <v>144</v>
      </c>
      <c r="T1371" t="s">
        <v>5058</v>
      </c>
      <c r="U1371" s="6">
        <v>23741</v>
      </c>
      <c r="V1371" s="2">
        <v>47037019500</v>
      </c>
      <c r="W1371" s="2" t="s">
        <v>68</v>
      </c>
      <c r="X1371" s="1">
        <v>45658</v>
      </c>
      <c r="Y1371" s="2">
        <v>5801500</v>
      </c>
      <c r="Z1371" s="2">
        <v>58500</v>
      </c>
      <c r="AA1371" s="2">
        <v>5743000</v>
      </c>
    </row>
    <row r="1372" spans="1:27" x14ac:dyDescent="0.3">
      <c r="A1372" s="3">
        <v>19</v>
      </c>
      <c r="B1372" s="2" t="str">
        <f>"09302005400"</f>
        <v>09302005400</v>
      </c>
      <c r="C1372" s="2" t="s">
        <v>4991</v>
      </c>
      <c r="D1372" t="s">
        <v>29</v>
      </c>
      <c r="E1372" s="2" t="s">
        <v>30</v>
      </c>
      <c r="F1372" s="2">
        <v>37201</v>
      </c>
      <c r="G1372" s="2" t="s">
        <v>41</v>
      </c>
      <c r="H1372" t="s">
        <v>911</v>
      </c>
      <c r="I1372" s="6">
        <v>24814</v>
      </c>
      <c r="J1372" s="2" t="s">
        <v>5060</v>
      </c>
      <c r="K1372" s="2" t="s">
        <v>34</v>
      </c>
      <c r="L1372" t="s">
        <v>35</v>
      </c>
      <c r="M1372" t="s">
        <v>29</v>
      </c>
      <c r="N1372" t="s">
        <v>30</v>
      </c>
      <c r="O1372">
        <v>37219</v>
      </c>
      <c r="P1372" t="s">
        <v>5061</v>
      </c>
      <c r="Q1372" s="2">
        <v>0.14000000000000001</v>
      </c>
      <c r="R1372" s="2">
        <v>201</v>
      </c>
      <c r="S1372" s="2">
        <v>35</v>
      </c>
      <c r="T1372" t="s">
        <v>5060</v>
      </c>
      <c r="U1372" s="6">
        <v>24814</v>
      </c>
      <c r="V1372" s="2">
        <v>47037019500</v>
      </c>
      <c r="W1372" s="2" t="s">
        <v>68</v>
      </c>
      <c r="X1372" s="1">
        <v>45658</v>
      </c>
      <c r="Y1372" s="2">
        <v>609800</v>
      </c>
      <c r="Z1372" s="2">
        <v>0</v>
      </c>
      <c r="AA1372" s="2">
        <v>609800</v>
      </c>
    </row>
    <row r="1373" spans="1:27" x14ac:dyDescent="0.3">
      <c r="A1373" s="3">
        <v>19</v>
      </c>
      <c r="B1373" s="2" t="str">
        <f>"09204024100"</f>
        <v>09204024100</v>
      </c>
      <c r="C1373" s="2" t="s">
        <v>5062</v>
      </c>
      <c r="D1373" t="s">
        <v>29</v>
      </c>
      <c r="E1373" s="2" t="s">
        <v>30</v>
      </c>
      <c r="F1373" s="2">
        <v>37208</v>
      </c>
      <c r="G1373" s="2" t="s">
        <v>64</v>
      </c>
      <c r="H1373" t="s">
        <v>911</v>
      </c>
      <c r="I1373" s="6">
        <v>26373</v>
      </c>
      <c r="J1373" s="2" t="s">
        <v>5063</v>
      </c>
      <c r="K1373" s="2" t="s">
        <v>34</v>
      </c>
      <c r="L1373" t="s">
        <v>35</v>
      </c>
      <c r="M1373" t="s">
        <v>29</v>
      </c>
      <c r="N1373" t="s">
        <v>30</v>
      </c>
      <c r="O1373">
        <v>37219</v>
      </c>
      <c r="P1373" t="s">
        <v>5064</v>
      </c>
      <c r="Q1373" s="2">
        <v>0.02</v>
      </c>
      <c r="R1373" s="2">
        <v>4</v>
      </c>
      <c r="S1373" s="2">
        <v>139</v>
      </c>
      <c r="T1373" t="s">
        <v>5063</v>
      </c>
      <c r="U1373" s="6">
        <v>26373</v>
      </c>
      <c r="V1373" s="2">
        <v>47037019400</v>
      </c>
      <c r="W1373" s="2" t="s">
        <v>68</v>
      </c>
      <c r="X1373" s="1">
        <v>45658</v>
      </c>
      <c r="Y1373" s="2">
        <v>2300</v>
      </c>
      <c r="Z1373" s="2">
        <v>0</v>
      </c>
      <c r="AA1373" s="2">
        <v>2300</v>
      </c>
    </row>
    <row r="1374" spans="1:27" x14ac:dyDescent="0.3">
      <c r="A1374" s="3">
        <v>19</v>
      </c>
      <c r="B1374" s="2" t="str">
        <f>"09311024100"</f>
        <v>09311024100</v>
      </c>
      <c r="C1374" s="2" t="s">
        <v>5065</v>
      </c>
      <c r="D1374" t="s">
        <v>29</v>
      </c>
      <c r="E1374" s="2" t="s">
        <v>30</v>
      </c>
      <c r="F1374" s="2">
        <v>37210</v>
      </c>
      <c r="G1374" s="2" t="s">
        <v>2495</v>
      </c>
      <c r="H1374" t="s">
        <v>5066</v>
      </c>
      <c r="I1374" s="6">
        <v>44803</v>
      </c>
      <c r="J1374" s="2" t="s">
        <v>5067</v>
      </c>
      <c r="K1374" s="2">
        <v>20300000</v>
      </c>
      <c r="L1374" t="s">
        <v>85</v>
      </c>
      <c r="M1374" t="s">
        <v>29</v>
      </c>
      <c r="N1374" t="s">
        <v>30</v>
      </c>
      <c r="O1374">
        <v>37219</v>
      </c>
      <c r="P1374" t="s">
        <v>5068</v>
      </c>
      <c r="Q1374" s="2">
        <v>2.59</v>
      </c>
      <c r="R1374" s="2">
        <v>0</v>
      </c>
      <c r="S1374" s="2">
        <v>0</v>
      </c>
      <c r="T1374" t="s">
        <v>5069</v>
      </c>
      <c r="U1374" s="6">
        <v>26590</v>
      </c>
      <c r="V1374" s="2">
        <v>47037019500</v>
      </c>
      <c r="W1374" s="2" t="s">
        <v>68</v>
      </c>
      <c r="X1374" s="1">
        <v>45658</v>
      </c>
      <c r="Y1374" s="2">
        <v>27076800</v>
      </c>
      <c r="Z1374" s="2">
        <v>0</v>
      </c>
      <c r="AA1374" s="2">
        <v>27076800</v>
      </c>
    </row>
    <row r="1375" spans="1:27" x14ac:dyDescent="0.3">
      <c r="A1375" s="3">
        <v>19</v>
      </c>
      <c r="B1375" s="2" t="str">
        <f>"09302006602"</f>
        <v>09302006602</v>
      </c>
      <c r="C1375" s="2" t="s">
        <v>5070</v>
      </c>
      <c r="D1375" t="s">
        <v>29</v>
      </c>
      <c r="E1375" s="2" t="s">
        <v>30</v>
      </c>
      <c r="F1375" s="2">
        <v>37213</v>
      </c>
      <c r="G1375" s="2" t="s">
        <v>152</v>
      </c>
      <c r="H1375" t="s">
        <v>176</v>
      </c>
      <c r="I1375" s="6">
        <v>14472</v>
      </c>
      <c r="J1375" s="2" t="s">
        <v>1267</v>
      </c>
      <c r="K1375" s="2" t="s">
        <v>34</v>
      </c>
      <c r="L1375" t="s">
        <v>178</v>
      </c>
      <c r="M1375" t="s">
        <v>29</v>
      </c>
      <c r="N1375" t="s">
        <v>30</v>
      </c>
      <c r="O1375">
        <v>37246</v>
      </c>
      <c r="P1375" t="s">
        <v>5071</v>
      </c>
      <c r="Q1375" s="2">
        <v>0.03</v>
      </c>
      <c r="R1375" s="2">
        <v>10</v>
      </c>
      <c r="S1375" s="2">
        <v>82</v>
      </c>
      <c r="T1375" t="s">
        <v>1267</v>
      </c>
      <c r="U1375" s="6">
        <v>14472</v>
      </c>
      <c r="V1375" s="2">
        <v>47037019300</v>
      </c>
      <c r="W1375" s="2" t="s">
        <v>68</v>
      </c>
      <c r="X1375" s="1">
        <v>45658</v>
      </c>
      <c r="Y1375" s="2">
        <v>58800</v>
      </c>
      <c r="Z1375" s="2">
        <v>0</v>
      </c>
      <c r="AA1375" s="2">
        <v>58800</v>
      </c>
    </row>
    <row r="1376" spans="1:27" x14ac:dyDescent="0.3">
      <c r="A1376" s="3">
        <v>19</v>
      </c>
      <c r="B1376" s="2" t="str">
        <f>"09302006603"</f>
        <v>09302006603</v>
      </c>
      <c r="C1376" s="2" t="s">
        <v>5072</v>
      </c>
      <c r="D1376" t="s">
        <v>29</v>
      </c>
      <c r="E1376" s="2" t="s">
        <v>30</v>
      </c>
      <c r="F1376" s="2">
        <v>37213</v>
      </c>
      <c r="G1376" s="2" t="s">
        <v>152</v>
      </c>
      <c r="H1376" t="s">
        <v>176</v>
      </c>
      <c r="I1376" s="6">
        <v>14472</v>
      </c>
      <c r="J1376" s="2" t="s">
        <v>1267</v>
      </c>
      <c r="K1376" s="2" t="s">
        <v>34</v>
      </c>
      <c r="L1376" t="s">
        <v>178</v>
      </c>
      <c r="M1376" t="s">
        <v>29</v>
      </c>
      <c r="N1376" t="s">
        <v>30</v>
      </c>
      <c r="O1376">
        <v>37246</v>
      </c>
      <c r="P1376" t="s">
        <v>5073</v>
      </c>
      <c r="Q1376" s="2">
        <v>0.17</v>
      </c>
      <c r="R1376" s="2">
        <v>85</v>
      </c>
      <c r="S1376" s="2">
        <v>90</v>
      </c>
      <c r="T1376" t="s">
        <v>1267</v>
      </c>
      <c r="U1376" s="6">
        <v>14472</v>
      </c>
      <c r="V1376" s="2">
        <v>47037019300</v>
      </c>
      <c r="W1376" s="2" t="s">
        <v>68</v>
      </c>
      <c r="X1376" s="1">
        <v>45658</v>
      </c>
      <c r="Y1376" s="2">
        <v>333200</v>
      </c>
      <c r="Z1376" s="2">
        <v>0</v>
      </c>
      <c r="AA1376" s="2">
        <v>333200</v>
      </c>
    </row>
    <row r="1377" spans="1:27" x14ac:dyDescent="0.3">
      <c r="A1377" s="3">
        <v>19</v>
      </c>
      <c r="B1377" s="2" t="str">
        <f>"09310019000"</f>
        <v>09310019000</v>
      </c>
      <c r="C1377" s="2" t="s">
        <v>5074</v>
      </c>
      <c r="D1377" t="s">
        <v>29</v>
      </c>
      <c r="E1377" s="2" t="s">
        <v>30</v>
      </c>
      <c r="F1377" s="2">
        <v>37203</v>
      </c>
      <c r="G1377" s="2" t="s">
        <v>41</v>
      </c>
      <c r="H1377" t="s">
        <v>176</v>
      </c>
      <c r="I1377" s="6">
        <v>41234</v>
      </c>
      <c r="J1377" s="2" t="s">
        <v>5075</v>
      </c>
      <c r="K1377" s="2">
        <v>0</v>
      </c>
      <c r="L1377" t="s">
        <v>542</v>
      </c>
      <c r="M1377" t="s">
        <v>29</v>
      </c>
      <c r="N1377" t="s">
        <v>30</v>
      </c>
      <c r="O1377">
        <v>37246</v>
      </c>
      <c r="P1377" t="s">
        <v>5076</v>
      </c>
      <c r="Q1377" s="2">
        <v>0.56000000000000005</v>
      </c>
      <c r="R1377" s="2">
        <v>154</v>
      </c>
      <c r="S1377" s="2">
        <v>158</v>
      </c>
      <c r="T1377" t="s">
        <v>4959</v>
      </c>
      <c r="U1377" s="6">
        <v>41445</v>
      </c>
      <c r="V1377" s="2">
        <v>47037019500</v>
      </c>
      <c r="W1377" s="2" t="s">
        <v>4960</v>
      </c>
      <c r="X1377" s="1">
        <v>45658</v>
      </c>
      <c r="Y1377" s="2">
        <v>14593200</v>
      </c>
      <c r="Z1377" s="2">
        <v>0</v>
      </c>
      <c r="AA1377" s="2">
        <v>14593200</v>
      </c>
    </row>
    <row r="1378" spans="1:27" x14ac:dyDescent="0.3">
      <c r="A1378" s="3">
        <v>19</v>
      </c>
      <c r="B1378" s="2" t="str">
        <f>"08209002100"</f>
        <v>08209002100</v>
      </c>
      <c r="C1378" s="2" t="s">
        <v>5077</v>
      </c>
      <c r="D1378" t="s">
        <v>29</v>
      </c>
      <c r="E1378" s="2" t="s">
        <v>30</v>
      </c>
      <c r="F1378" s="2">
        <v>37208</v>
      </c>
      <c r="G1378" s="2" t="s">
        <v>152</v>
      </c>
      <c r="H1378" t="s">
        <v>176</v>
      </c>
      <c r="I1378" s="6">
        <v>17040</v>
      </c>
      <c r="J1378" s="2" t="s">
        <v>5078</v>
      </c>
      <c r="K1378" s="2" t="s">
        <v>34</v>
      </c>
      <c r="L1378" t="s">
        <v>178</v>
      </c>
      <c r="M1378" t="s">
        <v>29</v>
      </c>
      <c r="N1378" t="s">
        <v>30</v>
      </c>
      <c r="O1378">
        <v>37246</v>
      </c>
      <c r="P1378" t="s">
        <v>5079</v>
      </c>
      <c r="Q1378" s="2">
        <v>7.0000000000000007E-2</v>
      </c>
      <c r="R1378" s="2">
        <v>60</v>
      </c>
      <c r="S1378" s="2">
        <v>55</v>
      </c>
      <c r="T1378" t="s">
        <v>5078</v>
      </c>
      <c r="U1378" s="6">
        <v>17040</v>
      </c>
      <c r="V1378" s="2">
        <v>47037019400</v>
      </c>
      <c r="W1378" s="2" t="s">
        <v>68</v>
      </c>
      <c r="X1378" s="1">
        <v>45658</v>
      </c>
      <c r="Y1378" s="2">
        <v>23800</v>
      </c>
      <c r="Z1378" s="2">
        <v>0</v>
      </c>
      <c r="AA1378" s="2">
        <v>23800</v>
      </c>
    </row>
    <row r="1379" spans="1:27" x14ac:dyDescent="0.3">
      <c r="A1379" s="3">
        <v>19</v>
      </c>
      <c r="B1379" s="2" t="str">
        <f>"09305012400"</f>
        <v>09305012400</v>
      </c>
      <c r="C1379" s="2" t="s">
        <v>5080</v>
      </c>
      <c r="D1379" t="s">
        <v>29</v>
      </c>
      <c r="E1379" s="2" t="s">
        <v>30</v>
      </c>
      <c r="F1379" s="2">
        <v>37203</v>
      </c>
      <c r="G1379" s="2" t="s">
        <v>152</v>
      </c>
      <c r="H1379" t="s">
        <v>176</v>
      </c>
      <c r="I1379" s="6">
        <v>40472</v>
      </c>
      <c r="J1379" s="2" t="s">
        <v>5081</v>
      </c>
      <c r="K1379" s="2">
        <v>0</v>
      </c>
      <c r="L1379" t="s">
        <v>542</v>
      </c>
      <c r="M1379" t="s">
        <v>29</v>
      </c>
      <c r="N1379" t="s">
        <v>30</v>
      </c>
      <c r="O1379">
        <v>37246</v>
      </c>
      <c r="P1379" t="s">
        <v>5082</v>
      </c>
      <c r="Q1379" s="2">
        <v>3.28</v>
      </c>
      <c r="R1379" s="2">
        <v>333</v>
      </c>
      <c r="S1379" s="2">
        <v>162</v>
      </c>
      <c r="T1379" t="s">
        <v>5083</v>
      </c>
      <c r="U1379" s="6">
        <v>32008</v>
      </c>
      <c r="V1379" s="2">
        <v>47037019500</v>
      </c>
      <c r="W1379" s="2" t="s">
        <v>68</v>
      </c>
      <c r="X1379" s="1">
        <v>45658</v>
      </c>
      <c r="Y1379" s="2">
        <v>42863100</v>
      </c>
      <c r="Z1379" s="2">
        <v>0</v>
      </c>
      <c r="AA1379" s="2">
        <v>42863100</v>
      </c>
    </row>
    <row r="1380" spans="1:27" x14ac:dyDescent="0.3">
      <c r="A1380" s="3">
        <v>19</v>
      </c>
      <c r="B1380" s="2" t="str">
        <f>"09305012200"</f>
        <v>09305012200</v>
      </c>
      <c r="C1380" s="2" t="s">
        <v>542</v>
      </c>
      <c r="D1380" t="s">
        <v>29</v>
      </c>
      <c r="E1380" s="2" t="s">
        <v>30</v>
      </c>
      <c r="F1380" s="2">
        <v>37246</v>
      </c>
      <c r="G1380" s="2" t="s">
        <v>2706</v>
      </c>
      <c r="H1380" t="s">
        <v>176</v>
      </c>
      <c r="I1380" s="6">
        <v>16079</v>
      </c>
      <c r="J1380" s="2" t="s">
        <v>5084</v>
      </c>
      <c r="K1380" s="2" t="s">
        <v>34</v>
      </c>
      <c r="L1380" t="s">
        <v>178</v>
      </c>
      <c r="M1380" t="s">
        <v>29</v>
      </c>
      <c r="N1380" t="s">
        <v>30</v>
      </c>
      <c r="O1380">
        <v>37246</v>
      </c>
      <c r="P1380" t="s">
        <v>5085</v>
      </c>
      <c r="Q1380" s="2">
        <v>4.1399999999999997</v>
      </c>
      <c r="R1380" s="2">
        <v>323</v>
      </c>
      <c r="S1380" s="2">
        <v>557</v>
      </c>
      <c r="T1380" t="s">
        <v>5083</v>
      </c>
      <c r="U1380" s="6">
        <v>32008</v>
      </c>
      <c r="V1380" s="2">
        <v>47037019500</v>
      </c>
      <c r="W1380" s="2" t="s">
        <v>68</v>
      </c>
      <c r="X1380" s="1">
        <v>45658</v>
      </c>
      <c r="Y1380" s="2">
        <v>54101400</v>
      </c>
      <c r="Z1380" s="2">
        <v>0</v>
      </c>
      <c r="AA1380" s="2">
        <v>54101400</v>
      </c>
    </row>
    <row r="1381" spans="1:27" x14ac:dyDescent="0.3">
      <c r="A1381" s="3">
        <v>19</v>
      </c>
      <c r="B1381" s="2" t="str">
        <f>"09305012300"</f>
        <v>09305012300</v>
      </c>
      <c r="C1381" s="2" t="s">
        <v>5086</v>
      </c>
      <c r="D1381" t="s">
        <v>29</v>
      </c>
      <c r="E1381" s="2" t="s">
        <v>30</v>
      </c>
      <c r="F1381" s="2">
        <v>37203</v>
      </c>
      <c r="G1381" s="2" t="s">
        <v>5087</v>
      </c>
      <c r="H1381" t="s">
        <v>176</v>
      </c>
      <c r="I1381" s="6">
        <v>40472</v>
      </c>
      <c r="J1381" s="2" t="s">
        <v>5081</v>
      </c>
      <c r="K1381" s="2">
        <v>0</v>
      </c>
      <c r="L1381" t="s">
        <v>542</v>
      </c>
      <c r="M1381" t="s">
        <v>29</v>
      </c>
      <c r="N1381" t="s">
        <v>30</v>
      </c>
      <c r="O1381">
        <v>37246</v>
      </c>
      <c r="P1381" t="s">
        <v>5088</v>
      </c>
      <c r="Q1381" s="2">
        <v>0.87</v>
      </c>
      <c r="R1381" s="2">
        <v>225</v>
      </c>
      <c r="S1381" s="2">
        <v>168</v>
      </c>
      <c r="T1381" t="s">
        <v>5083</v>
      </c>
      <c r="U1381" s="6">
        <v>32008</v>
      </c>
      <c r="V1381" s="2">
        <v>47037019500</v>
      </c>
      <c r="W1381" s="2" t="s">
        <v>68</v>
      </c>
      <c r="X1381" s="1">
        <v>45658</v>
      </c>
      <c r="Y1381" s="2">
        <v>22680000</v>
      </c>
      <c r="Z1381" s="2">
        <v>0</v>
      </c>
      <c r="AA1381" s="2">
        <v>22680000</v>
      </c>
    </row>
    <row r="1382" spans="1:27" x14ac:dyDescent="0.3">
      <c r="A1382" s="3">
        <v>19</v>
      </c>
      <c r="B1382" s="2" t="str">
        <f>"09305010000"</f>
        <v>09305010000</v>
      </c>
      <c r="C1382" s="2" t="s">
        <v>5089</v>
      </c>
      <c r="D1382" t="s">
        <v>29</v>
      </c>
      <c r="E1382" s="2" t="s">
        <v>30</v>
      </c>
      <c r="F1382" s="2">
        <v>37203</v>
      </c>
      <c r="G1382" s="2" t="s">
        <v>152</v>
      </c>
      <c r="H1382" t="s">
        <v>176</v>
      </c>
      <c r="I1382" s="6">
        <v>16625</v>
      </c>
      <c r="J1382" s="2" t="s">
        <v>5090</v>
      </c>
      <c r="K1382" s="2">
        <v>0</v>
      </c>
      <c r="L1382" t="s">
        <v>178</v>
      </c>
      <c r="M1382" t="s">
        <v>29</v>
      </c>
      <c r="N1382" t="s">
        <v>30</v>
      </c>
      <c r="O1382">
        <v>37246</v>
      </c>
      <c r="P1382" t="s">
        <v>5091</v>
      </c>
      <c r="Q1382" s="2">
        <v>3.67</v>
      </c>
      <c r="R1382" s="2">
        <v>532</v>
      </c>
      <c r="S1382" s="2">
        <v>320</v>
      </c>
      <c r="T1382" t="s">
        <v>278</v>
      </c>
      <c r="U1382" s="6">
        <v>34336</v>
      </c>
      <c r="V1382" s="2">
        <v>47037019500</v>
      </c>
      <c r="W1382" s="2" t="s">
        <v>68</v>
      </c>
      <c r="X1382" s="1">
        <v>45658</v>
      </c>
      <c r="Y1382" s="2">
        <v>47959500</v>
      </c>
      <c r="Z1382" s="2">
        <v>0</v>
      </c>
      <c r="AA1382" s="2">
        <v>47959500</v>
      </c>
    </row>
    <row r="1383" spans="1:27" x14ac:dyDescent="0.3">
      <c r="A1383" s="3">
        <v>19</v>
      </c>
      <c r="B1383" s="2" t="str">
        <f>"09305010100"</f>
        <v>09305010100</v>
      </c>
      <c r="C1383" s="2" t="s">
        <v>5092</v>
      </c>
      <c r="D1383" t="s">
        <v>29</v>
      </c>
      <c r="E1383" s="2" t="s">
        <v>30</v>
      </c>
      <c r="F1383" s="2">
        <v>37203</v>
      </c>
      <c r="G1383" s="2" t="s">
        <v>152</v>
      </c>
      <c r="H1383" t="s">
        <v>176</v>
      </c>
      <c r="I1383" s="6">
        <v>22676</v>
      </c>
      <c r="J1383" s="2" t="s">
        <v>5093</v>
      </c>
      <c r="K1383" s="2" t="s">
        <v>34</v>
      </c>
      <c r="L1383" t="s">
        <v>178</v>
      </c>
      <c r="M1383" t="s">
        <v>29</v>
      </c>
      <c r="N1383" t="s">
        <v>30</v>
      </c>
      <c r="O1383">
        <v>37246</v>
      </c>
      <c r="P1383" t="s">
        <v>5094</v>
      </c>
      <c r="Q1383" s="2">
        <v>3.83</v>
      </c>
      <c r="R1383" s="2">
        <v>531</v>
      </c>
      <c r="S1383" s="2">
        <v>320</v>
      </c>
      <c r="T1383" t="s">
        <v>5083</v>
      </c>
      <c r="U1383" s="6">
        <v>32008</v>
      </c>
      <c r="V1383" s="2">
        <v>47037019500</v>
      </c>
      <c r="W1383" s="2" t="s">
        <v>68</v>
      </c>
      <c r="X1383" s="1">
        <v>45658</v>
      </c>
      <c r="Y1383" s="2">
        <v>50050500</v>
      </c>
      <c r="Z1383" s="2">
        <v>0</v>
      </c>
      <c r="AA1383" s="2">
        <v>50050500</v>
      </c>
    </row>
    <row r="1384" spans="1:27" x14ac:dyDescent="0.3">
      <c r="A1384" s="3">
        <v>19</v>
      </c>
      <c r="B1384" s="2" t="str">
        <f>"09302005100"</f>
        <v>09302005100</v>
      </c>
      <c r="C1384" s="2" t="s">
        <v>5095</v>
      </c>
      <c r="D1384" t="s">
        <v>29</v>
      </c>
      <c r="E1384" s="2" t="s">
        <v>30</v>
      </c>
      <c r="F1384" s="2">
        <v>37201</v>
      </c>
      <c r="G1384" s="2" t="s">
        <v>152</v>
      </c>
      <c r="H1384" t="s">
        <v>176</v>
      </c>
      <c r="I1384" s="6">
        <v>14472</v>
      </c>
      <c r="J1384" s="2" t="s">
        <v>5096</v>
      </c>
      <c r="K1384" s="2" t="s">
        <v>34</v>
      </c>
      <c r="L1384" t="s">
        <v>178</v>
      </c>
      <c r="M1384" t="s">
        <v>29</v>
      </c>
      <c r="N1384" t="s">
        <v>30</v>
      </c>
      <c r="O1384">
        <v>37246</v>
      </c>
      <c r="P1384" t="s">
        <v>5097</v>
      </c>
      <c r="Q1384" s="2">
        <v>2.0499999999999998</v>
      </c>
      <c r="R1384" s="2">
        <v>539</v>
      </c>
      <c r="S1384" s="2">
        <v>340</v>
      </c>
      <c r="T1384" t="s">
        <v>5029</v>
      </c>
      <c r="U1384" s="6">
        <v>30393</v>
      </c>
      <c r="V1384" s="2">
        <v>47037019500</v>
      </c>
      <c r="W1384" s="2" t="s">
        <v>68</v>
      </c>
      <c r="X1384" s="1">
        <v>45658</v>
      </c>
      <c r="Y1384" s="2">
        <v>17859600</v>
      </c>
      <c r="Z1384" s="2">
        <v>0</v>
      </c>
      <c r="AA1384" s="2">
        <v>17859600</v>
      </c>
    </row>
    <row r="1385" spans="1:27" x14ac:dyDescent="0.3">
      <c r="A1385" s="3">
        <v>19</v>
      </c>
      <c r="B1385" s="2" t="str">
        <f>"08116062500"</f>
        <v>08116062500</v>
      </c>
      <c r="C1385" s="2" t="s">
        <v>5098</v>
      </c>
      <c r="D1385" t="s">
        <v>29</v>
      </c>
      <c r="E1385" s="2" t="s">
        <v>30</v>
      </c>
      <c r="F1385" s="2">
        <v>37208</v>
      </c>
      <c r="G1385" s="2" t="s">
        <v>64</v>
      </c>
      <c r="H1385" t="s">
        <v>5099</v>
      </c>
      <c r="I1385" s="6">
        <v>36549</v>
      </c>
      <c r="J1385" s="2" t="s">
        <v>5100</v>
      </c>
      <c r="K1385" s="2" t="s">
        <v>34</v>
      </c>
      <c r="L1385" t="s">
        <v>35</v>
      </c>
      <c r="M1385" t="s">
        <v>29</v>
      </c>
      <c r="N1385" t="s">
        <v>30</v>
      </c>
      <c r="O1385">
        <v>37219</v>
      </c>
      <c r="P1385" t="s">
        <v>5101</v>
      </c>
      <c r="Q1385" s="2">
        <v>0.4</v>
      </c>
      <c r="R1385" s="2">
        <v>146</v>
      </c>
      <c r="S1385" s="2">
        <v>122</v>
      </c>
      <c r="T1385" t="s">
        <v>5102</v>
      </c>
      <c r="U1385" s="6">
        <v>24884</v>
      </c>
      <c r="V1385" s="2">
        <v>47037019400</v>
      </c>
      <c r="W1385" s="2" t="s">
        <v>68</v>
      </c>
      <c r="X1385" s="1">
        <v>45658</v>
      </c>
      <c r="Y1385" s="2">
        <v>373800</v>
      </c>
      <c r="Z1385" s="2">
        <v>0</v>
      </c>
      <c r="AA1385" s="2">
        <v>373800</v>
      </c>
    </row>
    <row r="1386" spans="1:27" x14ac:dyDescent="0.3">
      <c r="A1386" s="3">
        <v>19</v>
      </c>
      <c r="B1386" s="2" t="str">
        <f>"08209007900"</f>
        <v>08209007900</v>
      </c>
      <c r="C1386" s="2" t="s">
        <v>5103</v>
      </c>
      <c r="D1386" t="s">
        <v>29</v>
      </c>
      <c r="E1386" s="2" t="s">
        <v>30</v>
      </c>
      <c r="F1386" s="2">
        <v>37208</v>
      </c>
      <c r="G1386" s="2" t="s">
        <v>200</v>
      </c>
      <c r="H1386" t="s">
        <v>5104</v>
      </c>
      <c r="I1386" s="6">
        <v>4010</v>
      </c>
      <c r="J1386" s="2" t="s">
        <v>5105</v>
      </c>
      <c r="K1386" s="2" t="s">
        <v>34</v>
      </c>
      <c r="L1386" t="s">
        <v>35</v>
      </c>
      <c r="M1386" t="s">
        <v>29</v>
      </c>
      <c r="N1386" t="s">
        <v>30</v>
      </c>
      <c r="O1386">
        <v>37219</v>
      </c>
      <c r="P1386" t="s">
        <v>5106</v>
      </c>
      <c r="Q1386" s="2">
        <v>3.52</v>
      </c>
      <c r="R1386" s="2">
        <v>369</v>
      </c>
      <c r="S1386" s="2">
        <v>406</v>
      </c>
      <c r="T1386" t="s">
        <v>278</v>
      </c>
      <c r="U1386" s="6">
        <v>36579</v>
      </c>
      <c r="V1386" s="2">
        <v>47037019400</v>
      </c>
      <c r="W1386" s="2" t="s">
        <v>68</v>
      </c>
      <c r="X1386" s="1">
        <v>45658</v>
      </c>
      <c r="Y1386" s="2">
        <v>931000</v>
      </c>
      <c r="Z1386" s="2">
        <v>0</v>
      </c>
      <c r="AA1386" s="2">
        <v>931000</v>
      </c>
    </row>
    <row r="1387" spans="1:27" x14ac:dyDescent="0.3">
      <c r="A1387" s="3">
        <v>19</v>
      </c>
      <c r="B1387" s="2" t="str">
        <f>"08205011900"</f>
        <v>08205011900</v>
      </c>
      <c r="C1387" s="2" t="s">
        <v>5107</v>
      </c>
      <c r="D1387" t="s">
        <v>29</v>
      </c>
      <c r="E1387" s="2" t="s">
        <v>30</v>
      </c>
      <c r="F1387" s="2">
        <v>37208</v>
      </c>
      <c r="G1387" s="2" t="s">
        <v>200</v>
      </c>
      <c r="H1387" t="s">
        <v>5104</v>
      </c>
      <c r="I1387" s="6">
        <v>27395</v>
      </c>
      <c r="J1387" s="2" t="s">
        <v>5108</v>
      </c>
      <c r="K1387" s="2" t="s">
        <v>34</v>
      </c>
      <c r="L1387" t="s">
        <v>35</v>
      </c>
      <c r="M1387" t="s">
        <v>29</v>
      </c>
      <c r="N1387" t="s">
        <v>30</v>
      </c>
      <c r="O1387">
        <v>37219</v>
      </c>
      <c r="P1387" t="s">
        <v>5109</v>
      </c>
      <c r="Q1387" s="2">
        <v>3.16</v>
      </c>
      <c r="R1387" s="2">
        <v>370</v>
      </c>
      <c r="S1387" s="2">
        <v>384</v>
      </c>
      <c r="T1387" t="s">
        <v>5110</v>
      </c>
      <c r="U1387" s="2" t="s">
        <v>5111</v>
      </c>
      <c r="V1387" s="2">
        <v>47037019400</v>
      </c>
      <c r="W1387" s="2" t="s">
        <v>68</v>
      </c>
      <c r="X1387" s="1">
        <v>45658</v>
      </c>
      <c r="Y1387" s="2">
        <v>22024000</v>
      </c>
      <c r="Z1387" s="2">
        <v>0</v>
      </c>
      <c r="AA1387" s="2">
        <v>22024000</v>
      </c>
    </row>
    <row r="1388" spans="1:27" x14ac:dyDescent="0.3">
      <c r="A1388" s="3">
        <v>19</v>
      </c>
      <c r="B1388" s="2" t="str">
        <f>"08116025400"</f>
        <v>08116025400</v>
      </c>
      <c r="C1388" s="2" t="s">
        <v>5112</v>
      </c>
      <c r="D1388" t="s">
        <v>29</v>
      </c>
      <c r="E1388" s="2" t="s">
        <v>30</v>
      </c>
      <c r="F1388" s="2">
        <v>37208</v>
      </c>
      <c r="G1388" s="2" t="s">
        <v>200</v>
      </c>
      <c r="H1388" t="s">
        <v>206</v>
      </c>
      <c r="I1388" s="6">
        <v>30979</v>
      </c>
      <c r="J1388" s="2" t="s">
        <v>5113</v>
      </c>
      <c r="K1388" s="2" t="s">
        <v>34</v>
      </c>
      <c r="L1388" t="s">
        <v>35</v>
      </c>
      <c r="M1388" t="s">
        <v>29</v>
      </c>
      <c r="N1388" t="s">
        <v>30</v>
      </c>
      <c r="O1388">
        <v>37219</v>
      </c>
      <c r="P1388" t="s">
        <v>5114</v>
      </c>
      <c r="Q1388" s="2">
        <v>0.32</v>
      </c>
      <c r="R1388" s="2">
        <v>75</v>
      </c>
      <c r="S1388" s="2">
        <v>157</v>
      </c>
      <c r="T1388" t="s">
        <v>5115</v>
      </c>
      <c r="U1388" s="6">
        <v>18330</v>
      </c>
      <c r="V1388" s="2">
        <v>47037019400</v>
      </c>
      <c r="W1388" s="2" t="s">
        <v>68</v>
      </c>
      <c r="X1388" s="1">
        <v>45658</v>
      </c>
      <c r="Y1388" s="2">
        <v>379500</v>
      </c>
      <c r="Z1388" s="2">
        <v>0</v>
      </c>
      <c r="AA1388" s="2">
        <v>379500</v>
      </c>
    </row>
    <row r="1389" spans="1:27" x14ac:dyDescent="0.3">
      <c r="A1389" s="3">
        <v>19</v>
      </c>
      <c r="B1389" s="2" t="str">
        <f>"09302403500"</f>
        <v>09302403500</v>
      </c>
      <c r="C1389" s="2" t="s">
        <v>4997</v>
      </c>
      <c r="D1389" t="s">
        <v>29</v>
      </c>
      <c r="E1389" s="2" t="s">
        <v>30</v>
      </c>
      <c r="F1389" s="2">
        <v>37201</v>
      </c>
      <c r="G1389" s="2" t="s">
        <v>200</v>
      </c>
      <c r="H1389" t="s">
        <v>206</v>
      </c>
      <c r="I1389" s="6">
        <v>28227</v>
      </c>
      <c r="J1389" s="2" t="s">
        <v>5116</v>
      </c>
      <c r="K1389" s="2">
        <v>23000</v>
      </c>
      <c r="L1389" t="s">
        <v>35</v>
      </c>
      <c r="M1389" t="s">
        <v>29</v>
      </c>
      <c r="N1389" t="s">
        <v>30</v>
      </c>
      <c r="O1389">
        <v>37219</v>
      </c>
      <c r="P1389" t="s">
        <v>5117</v>
      </c>
      <c r="Q1389" s="2">
        <v>0.22</v>
      </c>
      <c r="R1389" s="2">
        <v>166</v>
      </c>
      <c r="S1389" s="2">
        <v>74</v>
      </c>
      <c r="T1389" t="s">
        <v>5118</v>
      </c>
      <c r="U1389" s="6">
        <v>26707</v>
      </c>
      <c r="V1389" s="2">
        <v>47037019500</v>
      </c>
      <c r="W1389" s="2" t="s">
        <v>4960</v>
      </c>
      <c r="X1389" s="1">
        <v>45658</v>
      </c>
      <c r="Y1389" s="2">
        <v>1197900</v>
      </c>
      <c r="Z1389" s="2">
        <v>0</v>
      </c>
      <c r="AA1389" s="2">
        <v>1197900</v>
      </c>
    </row>
    <row r="1390" spans="1:27" x14ac:dyDescent="0.3">
      <c r="A1390" s="3">
        <v>19</v>
      </c>
      <c r="B1390" s="2" t="str">
        <f>"08116018500"</f>
        <v>08116018500</v>
      </c>
      <c r="C1390" s="2" t="s">
        <v>5119</v>
      </c>
      <c r="D1390" t="s">
        <v>29</v>
      </c>
      <c r="E1390" s="2" t="s">
        <v>30</v>
      </c>
      <c r="F1390" s="2">
        <v>37208</v>
      </c>
      <c r="G1390" s="2" t="s">
        <v>200</v>
      </c>
      <c r="H1390" t="s">
        <v>206</v>
      </c>
      <c r="I1390" s="6">
        <v>30979</v>
      </c>
      <c r="J1390" s="2" t="s">
        <v>5113</v>
      </c>
      <c r="K1390" s="2" t="s">
        <v>34</v>
      </c>
      <c r="L1390" t="s">
        <v>35</v>
      </c>
      <c r="M1390" t="s">
        <v>29</v>
      </c>
      <c r="N1390" t="s">
        <v>30</v>
      </c>
      <c r="O1390">
        <v>37219</v>
      </c>
      <c r="P1390" t="s">
        <v>5120</v>
      </c>
      <c r="Q1390" s="2">
        <v>0.31</v>
      </c>
      <c r="R1390" s="2">
        <v>118</v>
      </c>
      <c r="S1390" s="2">
        <v>151</v>
      </c>
      <c r="T1390" t="s">
        <v>278</v>
      </c>
      <c r="U1390" s="6">
        <v>28491</v>
      </c>
      <c r="V1390" s="2">
        <v>47037019400</v>
      </c>
      <c r="W1390" s="2" t="s">
        <v>68</v>
      </c>
      <c r="X1390" s="1">
        <v>45658</v>
      </c>
      <c r="Y1390" s="2">
        <v>373800</v>
      </c>
      <c r="Z1390" s="2">
        <v>0</v>
      </c>
      <c r="AA1390" s="2">
        <v>373800</v>
      </c>
    </row>
    <row r="1391" spans="1:27" x14ac:dyDescent="0.3">
      <c r="A1391" s="3">
        <v>19</v>
      </c>
      <c r="B1391" s="2" t="str">
        <f>"09302403600"</f>
        <v>09302403600</v>
      </c>
      <c r="C1391" s="2" t="s">
        <v>5121</v>
      </c>
      <c r="D1391" t="s">
        <v>29</v>
      </c>
      <c r="E1391" s="2" t="s">
        <v>30</v>
      </c>
      <c r="F1391" s="2">
        <v>37201</v>
      </c>
      <c r="G1391" s="2" t="s">
        <v>200</v>
      </c>
      <c r="H1391" t="s">
        <v>206</v>
      </c>
      <c r="I1391" s="6">
        <v>28227</v>
      </c>
      <c r="J1391" s="2" t="s">
        <v>5122</v>
      </c>
      <c r="K1391" s="2">
        <v>55000</v>
      </c>
      <c r="L1391" t="s">
        <v>35</v>
      </c>
      <c r="M1391" t="s">
        <v>29</v>
      </c>
      <c r="N1391" t="s">
        <v>30</v>
      </c>
      <c r="O1391">
        <v>37219</v>
      </c>
      <c r="P1391" t="s">
        <v>5123</v>
      </c>
      <c r="Q1391" s="2">
        <v>2.58</v>
      </c>
      <c r="R1391" s="2">
        <v>606</v>
      </c>
      <c r="S1391" s="2">
        <v>111</v>
      </c>
      <c r="T1391" t="s">
        <v>4999</v>
      </c>
      <c r="U1391" s="6">
        <v>26273</v>
      </c>
      <c r="V1391" s="2">
        <v>47037019500</v>
      </c>
      <c r="W1391" s="2" t="s">
        <v>4960</v>
      </c>
      <c r="X1391" s="1">
        <v>45658</v>
      </c>
      <c r="Y1391" s="2">
        <v>14048100</v>
      </c>
      <c r="Z1391" s="2">
        <v>0</v>
      </c>
      <c r="AA1391" s="2">
        <v>14048100</v>
      </c>
    </row>
    <row r="1392" spans="1:27" x14ac:dyDescent="0.3">
      <c r="A1392" s="3">
        <v>19</v>
      </c>
      <c r="B1392" s="2" t="str">
        <f>"08112004700"</f>
        <v>08112004700</v>
      </c>
      <c r="C1392" s="2" t="s">
        <v>5124</v>
      </c>
      <c r="D1392" t="s">
        <v>29</v>
      </c>
      <c r="E1392" s="2" t="s">
        <v>30</v>
      </c>
      <c r="F1392" s="2">
        <v>37208</v>
      </c>
      <c r="G1392" s="2" t="s">
        <v>64</v>
      </c>
      <c r="H1392" t="s">
        <v>211</v>
      </c>
      <c r="I1392" s="6">
        <v>28523</v>
      </c>
      <c r="J1392" s="2" t="s">
        <v>5125</v>
      </c>
      <c r="K1392" s="2">
        <v>304</v>
      </c>
      <c r="L1392" t="s">
        <v>35</v>
      </c>
      <c r="M1392" t="s">
        <v>29</v>
      </c>
      <c r="N1392" t="s">
        <v>30</v>
      </c>
      <c r="O1392">
        <v>37219</v>
      </c>
      <c r="P1392" t="s">
        <v>5126</v>
      </c>
      <c r="Q1392" s="2">
        <v>0.05</v>
      </c>
      <c r="R1392" s="2">
        <v>9</v>
      </c>
      <c r="S1392" s="2">
        <v>92</v>
      </c>
      <c r="T1392" t="s">
        <v>5127</v>
      </c>
      <c r="U1392" s="6">
        <v>24672</v>
      </c>
      <c r="V1392" s="2">
        <v>47037019400</v>
      </c>
      <c r="W1392" s="2" t="s">
        <v>68</v>
      </c>
      <c r="X1392" s="1">
        <v>45658</v>
      </c>
      <c r="Y1392" s="2">
        <v>9800</v>
      </c>
      <c r="Z1392" s="2">
        <v>0</v>
      </c>
      <c r="AA1392" s="2">
        <v>9800</v>
      </c>
    </row>
    <row r="1393" spans="1:27" x14ac:dyDescent="0.3">
      <c r="A1393" s="3">
        <v>19</v>
      </c>
      <c r="B1393" s="2" t="str">
        <f>"08112004600"</f>
        <v>08112004600</v>
      </c>
      <c r="C1393" s="2" t="s">
        <v>5128</v>
      </c>
      <c r="D1393" t="s">
        <v>29</v>
      </c>
      <c r="E1393" s="2" t="s">
        <v>30</v>
      </c>
      <c r="F1393" s="2">
        <v>37208</v>
      </c>
      <c r="G1393" s="2" t="s">
        <v>64</v>
      </c>
      <c r="H1393" t="s">
        <v>211</v>
      </c>
      <c r="I1393" s="6">
        <v>28145</v>
      </c>
      <c r="J1393" s="2" t="s">
        <v>5129</v>
      </c>
      <c r="K1393" s="2">
        <v>303</v>
      </c>
      <c r="L1393" t="s">
        <v>35</v>
      </c>
      <c r="M1393" t="s">
        <v>29</v>
      </c>
      <c r="N1393" t="s">
        <v>30</v>
      </c>
      <c r="O1393">
        <v>37219</v>
      </c>
      <c r="P1393" t="s">
        <v>5130</v>
      </c>
      <c r="Q1393" s="2">
        <v>0.01</v>
      </c>
      <c r="R1393" s="2">
        <v>57</v>
      </c>
      <c r="S1393" s="2">
        <v>53</v>
      </c>
      <c r="T1393" t="s">
        <v>5131</v>
      </c>
      <c r="U1393" s="6">
        <v>22390</v>
      </c>
      <c r="V1393" s="2">
        <v>47037019400</v>
      </c>
      <c r="W1393" s="2" t="s">
        <v>68</v>
      </c>
      <c r="X1393" s="1">
        <v>45658</v>
      </c>
      <c r="Y1393" s="2">
        <v>9800</v>
      </c>
      <c r="Z1393" s="2">
        <v>0</v>
      </c>
      <c r="AA1393" s="2">
        <v>9800</v>
      </c>
    </row>
    <row r="1394" spans="1:27" x14ac:dyDescent="0.3">
      <c r="A1394" s="3">
        <v>19</v>
      </c>
      <c r="B1394" s="2" t="str">
        <f>"09311020700"</f>
        <v>09311020700</v>
      </c>
      <c r="C1394" s="2" t="s">
        <v>5132</v>
      </c>
      <c r="D1394" t="s">
        <v>29</v>
      </c>
      <c r="E1394" s="2" t="s">
        <v>30</v>
      </c>
      <c r="F1394" s="2">
        <v>37210</v>
      </c>
      <c r="G1394" s="2" t="s">
        <v>152</v>
      </c>
      <c r="H1394" t="s">
        <v>5133</v>
      </c>
      <c r="I1394" s="6">
        <v>23545</v>
      </c>
      <c r="J1394" s="2" t="s">
        <v>5134</v>
      </c>
      <c r="K1394" s="2" t="s">
        <v>34</v>
      </c>
      <c r="L1394" t="s">
        <v>35</v>
      </c>
      <c r="M1394" t="s">
        <v>29</v>
      </c>
      <c r="N1394" t="s">
        <v>30</v>
      </c>
      <c r="O1394">
        <v>37219</v>
      </c>
      <c r="P1394" t="s">
        <v>5135</v>
      </c>
      <c r="Q1394" s="2">
        <v>2.19</v>
      </c>
      <c r="R1394" s="2">
        <v>102</v>
      </c>
      <c r="S1394" s="2">
        <v>388</v>
      </c>
      <c r="T1394" t="s">
        <v>198</v>
      </c>
      <c r="U1394" s="6">
        <v>39082</v>
      </c>
      <c r="V1394" s="2">
        <v>47037019500</v>
      </c>
      <c r="W1394" s="2" t="s">
        <v>68</v>
      </c>
      <c r="X1394" s="1">
        <v>45658</v>
      </c>
      <c r="Y1394" s="2">
        <v>23997400</v>
      </c>
      <c r="Z1394" s="2">
        <v>148400</v>
      </c>
      <c r="AA1394" s="2">
        <v>23849000</v>
      </c>
    </row>
    <row r="1395" spans="1:27" x14ac:dyDescent="0.3">
      <c r="A1395" s="3">
        <v>19</v>
      </c>
      <c r="B1395" s="2" t="str">
        <f>"09208001700"</f>
        <v>09208001700</v>
      </c>
      <c r="C1395" s="2" t="s">
        <v>5136</v>
      </c>
      <c r="D1395" t="s">
        <v>29</v>
      </c>
      <c r="E1395" s="2" t="s">
        <v>30</v>
      </c>
      <c r="F1395" s="2">
        <v>37203</v>
      </c>
      <c r="G1395" s="2" t="s">
        <v>200</v>
      </c>
      <c r="H1395" t="s">
        <v>5137</v>
      </c>
      <c r="I1395" s="6">
        <v>25737</v>
      </c>
      <c r="J1395" s="2" t="s">
        <v>5138</v>
      </c>
      <c r="K1395" s="2" t="s">
        <v>34</v>
      </c>
      <c r="L1395" t="s">
        <v>35</v>
      </c>
      <c r="M1395" t="s">
        <v>29</v>
      </c>
      <c r="N1395" t="s">
        <v>30</v>
      </c>
      <c r="O1395">
        <v>37219</v>
      </c>
      <c r="P1395" t="s">
        <v>5139</v>
      </c>
      <c r="Q1395" s="2">
        <v>8.24</v>
      </c>
      <c r="R1395" s="2">
        <v>584</v>
      </c>
      <c r="S1395" s="2">
        <v>612</v>
      </c>
      <c r="T1395" t="s">
        <v>5138</v>
      </c>
      <c r="U1395" s="6">
        <v>25737</v>
      </c>
      <c r="V1395" s="2">
        <v>47037014400</v>
      </c>
      <c r="W1395" s="2" t="s">
        <v>68</v>
      </c>
      <c r="X1395" s="1">
        <v>45658</v>
      </c>
      <c r="Y1395" s="2">
        <v>32304100</v>
      </c>
      <c r="Z1395" s="2">
        <v>0</v>
      </c>
      <c r="AA1395" s="2">
        <v>32304100</v>
      </c>
    </row>
    <row r="1396" spans="1:27" x14ac:dyDescent="0.3">
      <c r="A1396" s="3">
        <v>19</v>
      </c>
      <c r="B1396" s="2" t="str">
        <f>"09301009100"</f>
        <v>09301009100</v>
      </c>
      <c r="C1396" s="2" t="s">
        <v>5140</v>
      </c>
      <c r="D1396" t="s">
        <v>29</v>
      </c>
      <c r="E1396" s="2" t="s">
        <v>30</v>
      </c>
      <c r="F1396" s="2">
        <v>37203</v>
      </c>
      <c r="G1396" s="2" t="s">
        <v>41</v>
      </c>
      <c r="H1396" t="s">
        <v>5141</v>
      </c>
      <c r="I1396" s="6">
        <v>42516</v>
      </c>
      <c r="J1396" s="2" t="s">
        <v>5142</v>
      </c>
      <c r="K1396" s="2">
        <v>0</v>
      </c>
      <c r="L1396" t="s">
        <v>5143</v>
      </c>
      <c r="M1396" t="s">
        <v>29</v>
      </c>
      <c r="N1396" t="s">
        <v>30</v>
      </c>
      <c r="O1396">
        <v>37219</v>
      </c>
      <c r="P1396" t="s">
        <v>5144</v>
      </c>
      <c r="Q1396" s="2">
        <v>0.6</v>
      </c>
      <c r="R1396" s="2">
        <v>266</v>
      </c>
      <c r="S1396" s="2">
        <v>117</v>
      </c>
      <c r="T1396" t="s">
        <v>5145</v>
      </c>
      <c r="U1396" s="6">
        <v>42494</v>
      </c>
      <c r="V1396" s="2">
        <v>47037019400</v>
      </c>
      <c r="W1396" s="2" t="s">
        <v>68</v>
      </c>
      <c r="X1396" s="1">
        <v>45658</v>
      </c>
      <c r="Y1396" s="2">
        <v>2070000</v>
      </c>
      <c r="Z1396" s="2">
        <v>0</v>
      </c>
      <c r="AA1396" s="2">
        <v>2070000</v>
      </c>
    </row>
    <row r="1397" spans="1:27" x14ac:dyDescent="0.3">
      <c r="A1397" s="3">
        <v>19</v>
      </c>
      <c r="B1397" s="2" t="str">
        <f>"09306301300"</f>
        <v>09306301300</v>
      </c>
      <c r="C1397" s="2" t="s">
        <v>5146</v>
      </c>
      <c r="D1397" t="s">
        <v>29</v>
      </c>
      <c r="E1397" s="2" t="s">
        <v>30</v>
      </c>
      <c r="F1397" s="2">
        <v>37203</v>
      </c>
      <c r="G1397" s="2" t="s">
        <v>41</v>
      </c>
      <c r="H1397" t="s">
        <v>249</v>
      </c>
      <c r="I1397" s="6">
        <v>38581</v>
      </c>
      <c r="J1397" s="2" t="s">
        <v>5147</v>
      </c>
      <c r="K1397" s="2">
        <v>275000</v>
      </c>
      <c r="L1397" t="s">
        <v>35</v>
      </c>
      <c r="M1397" t="s">
        <v>29</v>
      </c>
      <c r="N1397" t="s">
        <v>30</v>
      </c>
      <c r="O1397">
        <v>37219</v>
      </c>
      <c r="P1397" t="s">
        <v>5148</v>
      </c>
      <c r="Q1397" s="2">
        <v>0.18</v>
      </c>
      <c r="R1397" s="2">
        <v>47</v>
      </c>
      <c r="S1397" s="2">
        <v>153</v>
      </c>
      <c r="T1397" t="s">
        <v>5149</v>
      </c>
      <c r="U1397" s="6">
        <v>41703</v>
      </c>
      <c r="V1397" s="2">
        <v>47037019500</v>
      </c>
      <c r="W1397" s="2" t="s">
        <v>4960</v>
      </c>
      <c r="X1397" s="1">
        <v>45658</v>
      </c>
      <c r="Y1397" s="2">
        <v>6272800</v>
      </c>
      <c r="Z1397" s="2">
        <v>0</v>
      </c>
      <c r="AA1397" s="2">
        <v>6272800</v>
      </c>
    </row>
    <row r="1398" spans="1:27" x14ac:dyDescent="0.3">
      <c r="A1398" s="3">
        <v>19</v>
      </c>
      <c r="B1398" s="2" t="str">
        <f>"08112030000"</f>
        <v>08112030000</v>
      </c>
      <c r="C1398" s="2" t="s">
        <v>5150</v>
      </c>
      <c r="D1398" t="s">
        <v>29</v>
      </c>
      <c r="E1398" s="2" t="s">
        <v>30</v>
      </c>
      <c r="F1398" s="2">
        <v>37208</v>
      </c>
      <c r="G1398" s="2" t="s">
        <v>253</v>
      </c>
      <c r="H1398" t="s">
        <v>5151</v>
      </c>
      <c r="I1398" s="6">
        <v>27395</v>
      </c>
      <c r="J1398" s="2" t="s">
        <v>5152</v>
      </c>
      <c r="K1398" s="2" t="s">
        <v>34</v>
      </c>
      <c r="L1398" t="s">
        <v>35</v>
      </c>
      <c r="M1398" t="s">
        <v>29</v>
      </c>
      <c r="N1398" t="s">
        <v>30</v>
      </c>
      <c r="O1398">
        <v>37219</v>
      </c>
      <c r="P1398" t="s">
        <v>5153</v>
      </c>
      <c r="Q1398" s="2">
        <v>2.63</v>
      </c>
      <c r="R1398" s="2">
        <v>500</v>
      </c>
      <c r="S1398" s="2">
        <v>318</v>
      </c>
      <c r="T1398" t="s">
        <v>5154</v>
      </c>
      <c r="U1398" s="2" t="s">
        <v>5155</v>
      </c>
      <c r="V1398" s="2">
        <v>47037019400</v>
      </c>
      <c r="W1398" s="2" t="s">
        <v>68</v>
      </c>
      <c r="X1398" s="1">
        <v>45658</v>
      </c>
      <c r="Y1398" s="2">
        <v>7675700</v>
      </c>
      <c r="Z1398" s="2">
        <v>0</v>
      </c>
      <c r="AA1398" s="2">
        <v>7675700</v>
      </c>
    </row>
    <row r="1399" spans="1:27" x14ac:dyDescent="0.3">
      <c r="A1399" s="3">
        <v>19</v>
      </c>
      <c r="B1399" s="2" t="str">
        <f>"08205006000"</f>
        <v>08205006000</v>
      </c>
      <c r="C1399" s="2" t="s">
        <v>5156</v>
      </c>
      <c r="D1399" t="s">
        <v>29</v>
      </c>
      <c r="E1399" s="2" t="s">
        <v>30</v>
      </c>
      <c r="F1399" s="2">
        <v>37208</v>
      </c>
      <c r="G1399" s="2" t="s">
        <v>253</v>
      </c>
      <c r="H1399" t="s">
        <v>5157</v>
      </c>
      <c r="I1399" s="6">
        <v>27395</v>
      </c>
      <c r="J1399" s="2" t="s">
        <v>5158</v>
      </c>
      <c r="K1399" s="2" t="s">
        <v>34</v>
      </c>
      <c r="L1399" t="s">
        <v>35</v>
      </c>
      <c r="M1399" t="s">
        <v>29</v>
      </c>
      <c r="N1399" t="s">
        <v>30</v>
      </c>
      <c r="O1399">
        <v>37219</v>
      </c>
      <c r="P1399" t="s">
        <v>5159</v>
      </c>
      <c r="Q1399" s="2">
        <v>2.21</v>
      </c>
      <c r="R1399" s="2">
        <v>300</v>
      </c>
      <c r="S1399" s="2">
        <v>364</v>
      </c>
      <c r="T1399" t="s">
        <v>5160</v>
      </c>
      <c r="U1399" s="2" t="s">
        <v>5161</v>
      </c>
      <c r="V1399" s="2">
        <v>47037019400</v>
      </c>
      <c r="W1399" s="2" t="s">
        <v>68</v>
      </c>
      <c r="X1399" s="1">
        <v>45658</v>
      </c>
      <c r="Y1399" s="2">
        <v>576500</v>
      </c>
      <c r="Z1399" s="2">
        <v>0</v>
      </c>
      <c r="AA1399" s="2">
        <v>576500</v>
      </c>
    </row>
    <row r="1400" spans="1:27" x14ac:dyDescent="0.3">
      <c r="A1400" s="3">
        <v>19</v>
      </c>
      <c r="B1400" s="2" t="str">
        <f>"09306302100"</f>
        <v>09306302100</v>
      </c>
      <c r="C1400" s="2" t="s">
        <v>5162</v>
      </c>
      <c r="D1400" t="s">
        <v>29</v>
      </c>
      <c r="E1400" s="2" t="s">
        <v>30</v>
      </c>
      <c r="F1400" s="2">
        <v>37203</v>
      </c>
      <c r="G1400" s="2" t="s">
        <v>253</v>
      </c>
      <c r="H1400" t="s">
        <v>5163</v>
      </c>
      <c r="I1400" s="6">
        <v>5791</v>
      </c>
      <c r="J1400" s="2" t="s">
        <v>5164</v>
      </c>
      <c r="K1400" s="2" t="s">
        <v>34</v>
      </c>
      <c r="L1400" t="s">
        <v>35</v>
      </c>
      <c r="M1400" t="s">
        <v>29</v>
      </c>
      <c r="N1400" t="s">
        <v>30</v>
      </c>
      <c r="O1400">
        <v>37219</v>
      </c>
      <c r="P1400" t="s">
        <v>5165</v>
      </c>
      <c r="Q1400" s="2">
        <v>1.97</v>
      </c>
      <c r="R1400" s="2">
        <v>341</v>
      </c>
      <c r="S1400" s="2">
        <v>257</v>
      </c>
      <c r="T1400" t="s">
        <v>5149</v>
      </c>
      <c r="U1400" s="6">
        <v>41703</v>
      </c>
      <c r="V1400" s="2">
        <v>47037019500</v>
      </c>
      <c r="W1400" s="2" t="s">
        <v>4960</v>
      </c>
      <c r="X1400" s="1">
        <v>45658</v>
      </c>
      <c r="Y1400" s="2">
        <v>102975600</v>
      </c>
      <c r="Z1400" s="2">
        <v>0</v>
      </c>
      <c r="AA1400" s="2">
        <v>102975600</v>
      </c>
    </row>
    <row r="1401" spans="1:27" x14ac:dyDescent="0.3">
      <c r="A1401" s="3">
        <v>19</v>
      </c>
      <c r="B1401" s="2" t="str">
        <f>"09208000900"</f>
        <v>09208000900</v>
      </c>
      <c r="C1401" s="2" t="s">
        <v>5166</v>
      </c>
      <c r="D1401" t="s">
        <v>29</v>
      </c>
      <c r="E1401" s="2" t="s">
        <v>30</v>
      </c>
      <c r="F1401" s="2">
        <v>37203</v>
      </c>
      <c r="G1401" s="2" t="s">
        <v>398</v>
      </c>
      <c r="H1401" t="s">
        <v>5167</v>
      </c>
      <c r="I1401" s="6">
        <v>42135</v>
      </c>
      <c r="J1401" s="2" t="s">
        <v>5168</v>
      </c>
      <c r="K1401" s="2">
        <v>0</v>
      </c>
      <c r="L1401" t="s">
        <v>35</v>
      </c>
      <c r="M1401" t="s">
        <v>29</v>
      </c>
      <c r="N1401" t="s">
        <v>30</v>
      </c>
      <c r="O1401">
        <v>37219</v>
      </c>
      <c r="P1401" t="s">
        <v>5169</v>
      </c>
      <c r="Q1401" s="2">
        <v>0.56000000000000005</v>
      </c>
      <c r="R1401" s="2">
        <v>191</v>
      </c>
      <c r="S1401" s="2">
        <v>134</v>
      </c>
      <c r="T1401" t="s">
        <v>5170</v>
      </c>
      <c r="U1401" s="6">
        <v>42235</v>
      </c>
      <c r="V1401" s="2">
        <v>47037014400</v>
      </c>
      <c r="W1401" s="2" t="s">
        <v>68</v>
      </c>
      <c r="X1401" s="1">
        <v>45658</v>
      </c>
      <c r="Y1401" s="2">
        <v>2474500</v>
      </c>
      <c r="Z1401" s="2">
        <v>279000</v>
      </c>
      <c r="AA1401" s="2">
        <v>2195500</v>
      </c>
    </row>
    <row r="1402" spans="1:27" x14ac:dyDescent="0.3">
      <c r="A1402" s="3">
        <v>19</v>
      </c>
      <c r="B1402" s="2" t="str">
        <f>"09208010700"</f>
        <v>09208010700</v>
      </c>
      <c r="C1402" s="2" t="s">
        <v>5171</v>
      </c>
      <c r="D1402" t="s">
        <v>29</v>
      </c>
      <c r="E1402" s="2" t="s">
        <v>30</v>
      </c>
      <c r="F1402" s="2">
        <v>37203</v>
      </c>
      <c r="G1402" s="2" t="s">
        <v>41</v>
      </c>
      <c r="H1402" t="s">
        <v>5167</v>
      </c>
      <c r="I1402" s="6">
        <v>42661</v>
      </c>
      <c r="J1402" s="2" t="s">
        <v>5172</v>
      </c>
      <c r="K1402" s="2">
        <v>0</v>
      </c>
      <c r="L1402" t="s">
        <v>35</v>
      </c>
      <c r="M1402" t="s">
        <v>29</v>
      </c>
      <c r="N1402" t="s">
        <v>30</v>
      </c>
      <c r="O1402">
        <v>37219</v>
      </c>
      <c r="P1402" t="s">
        <v>5173</v>
      </c>
      <c r="Q1402" s="2">
        <v>0.22</v>
      </c>
      <c r="R1402" s="2">
        <v>57</v>
      </c>
      <c r="S1402" s="2">
        <v>160</v>
      </c>
      <c r="T1402" t="s">
        <v>5174</v>
      </c>
      <c r="U1402" s="6">
        <v>20407</v>
      </c>
      <c r="V1402" s="2">
        <v>47037014400</v>
      </c>
      <c r="W1402" s="2" t="s">
        <v>68</v>
      </c>
      <c r="X1402" s="1">
        <v>45658</v>
      </c>
      <c r="Y1402" s="2">
        <v>820800</v>
      </c>
      <c r="Z1402" s="2">
        <v>0</v>
      </c>
      <c r="AA1402" s="2">
        <v>820800</v>
      </c>
    </row>
    <row r="1403" spans="1:27" x14ac:dyDescent="0.3">
      <c r="A1403" s="3">
        <v>19</v>
      </c>
      <c r="B1403" s="2" t="str">
        <f>"09208010600"</f>
        <v>09208010600</v>
      </c>
      <c r="C1403" s="2" t="s">
        <v>5175</v>
      </c>
      <c r="D1403" t="s">
        <v>29</v>
      </c>
      <c r="E1403" s="2" t="s">
        <v>30</v>
      </c>
      <c r="F1403" s="2">
        <v>37203</v>
      </c>
      <c r="G1403" s="2" t="s">
        <v>41</v>
      </c>
      <c r="H1403" t="s">
        <v>5167</v>
      </c>
      <c r="I1403" s="6">
        <v>42661</v>
      </c>
      <c r="J1403" s="2" t="s">
        <v>5172</v>
      </c>
      <c r="K1403" s="2">
        <v>0</v>
      </c>
      <c r="L1403" t="s">
        <v>35</v>
      </c>
      <c r="M1403" t="s">
        <v>29</v>
      </c>
      <c r="N1403" t="s">
        <v>30</v>
      </c>
      <c r="O1403">
        <v>37219</v>
      </c>
      <c r="P1403" t="s">
        <v>5176</v>
      </c>
      <c r="Q1403" s="2">
        <v>0.2</v>
      </c>
      <c r="R1403" s="2">
        <v>50</v>
      </c>
      <c r="S1403" s="2">
        <v>160</v>
      </c>
      <c r="T1403" t="s">
        <v>5177</v>
      </c>
      <c r="U1403" s="6">
        <v>27075</v>
      </c>
      <c r="V1403" s="2">
        <v>47037014400</v>
      </c>
      <c r="W1403" s="2" t="s">
        <v>68</v>
      </c>
      <c r="X1403" s="1">
        <v>45658</v>
      </c>
      <c r="Y1403" s="2">
        <v>720000</v>
      </c>
      <c r="Z1403" s="2">
        <v>0</v>
      </c>
      <c r="AA1403" s="2">
        <v>720000</v>
      </c>
    </row>
    <row r="1404" spans="1:27" x14ac:dyDescent="0.3">
      <c r="A1404" s="3">
        <v>19</v>
      </c>
      <c r="B1404" s="2" t="str">
        <f>"09208001600"</f>
        <v>09208001600</v>
      </c>
      <c r="C1404" s="2" t="s">
        <v>5178</v>
      </c>
      <c r="D1404" t="s">
        <v>29</v>
      </c>
      <c r="E1404" s="2" t="s">
        <v>30</v>
      </c>
      <c r="F1404" s="2">
        <v>37203</v>
      </c>
      <c r="G1404" s="2" t="s">
        <v>253</v>
      </c>
      <c r="H1404" t="s">
        <v>5179</v>
      </c>
      <c r="I1404" s="6">
        <v>19742</v>
      </c>
      <c r="J1404" s="2" t="s">
        <v>5180</v>
      </c>
      <c r="K1404" s="2" t="s">
        <v>34</v>
      </c>
      <c r="L1404" t="s">
        <v>35</v>
      </c>
      <c r="M1404" t="s">
        <v>29</v>
      </c>
      <c r="N1404" t="s">
        <v>30</v>
      </c>
      <c r="O1404">
        <v>37219</v>
      </c>
      <c r="P1404" t="s">
        <v>5181</v>
      </c>
      <c r="Q1404" s="2">
        <v>6.85</v>
      </c>
      <c r="R1404" s="2">
        <v>608</v>
      </c>
      <c r="S1404" s="2">
        <v>497</v>
      </c>
      <c r="T1404" t="s">
        <v>5170</v>
      </c>
      <c r="U1404" s="6">
        <v>42235</v>
      </c>
      <c r="V1404" s="2">
        <v>47037014400</v>
      </c>
      <c r="W1404" s="2" t="s">
        <v>68</v>
      </c>
      <c r="X1404" s="1">
        <v>45658</v>
      </c>
      <c r="Y1404" s="2">
        <v>26854700</v>
      </c>
      <c r="Z1404" s="2">
        <v>0</v>
      </c>
      <c r="AA1404" s="2">
        <v>26854700</v>
      </c>
    </row>
    <row r="1405" spans="1:27" x14ac:dyDescent="0.3">
      <c r="A1405" s="3">
        <v>19</v>
      </c>
      <c r="B1405" s="2" t="str">
        <f>"09311013700"</f>
        <v>09311013700</v>
      </c>
      <c r="C1405" s="2" t="s">
        <v>5182</v>
      </c>
      <c r="D1405" t="s">
        <v>29</v>
      </c>
      <c r="E1405" s="2" t="s">
        <v>30</v>
      </c>
      <c r="F1405" s="2">
        <v>37210</v>
      </c>
      <c r="G1405" s="2" t="s">
        <v>152</v>
      </c>
      <c r="H1405" t="s">
        <v>5183</v>
      </c>
      <c r="I1405" s="6">
        <v>27891</v>
      </c>
      <c r="J1405" s="2" t="s">
        <v>5184</v>
      </c>
      <c r="K1405" s="2" t="s">
        <v>34</v>
      </c>
      <c r="L1405" t="s">
        <v>35</v>
      </c>
      <c r="M1405" t="s">
        <v>29</v>
      </c>
      <c r="N1405" t="s">
        <v>30</v>
      </c>
      <c r="O1405">
        <v>37219</v>
      </c>
      <c r="P1405" t="s">
        <v>5185</v>
      </c>
      <c r="Q1405" s="2">
        <v>1.8</v>
      </c>
      <c r="R1405" s="2">
        <v>285</v>
      </c>
      <c r="S1405" s="2">
        <v>285</v>
      </c>
      <c r="T1405" t="s">
        <v>5186</v>
      </c>
      <c r="U1405" s="6">
        <v>28661</v>
      </c>
      <c r="V1405" s="2">
        <v>47037019500</v>
      </c>
      <c r="W1405" s="2" t="s">
        <v>68</v>
      </c>
      <c r="X1405" s="1">
        <v>45658</v>
      </c>
      <c r="Y1405" s="2">
        <v>23522400</v>
      </c>
      <c r="Z1405" s="2">
        <v>0</v>
      </c>
      <c r="AA1405" s="2">
        <v>23522400</v>
      </c>
    </row>
    <row r="1406" spans="1:27" x14ac:dyDescent="0.3">
      <c r="A1406" s="3">
        <v>19</v>
      </c>
      <c r="B1406" s="2" t="str">
        <f>"09306000800"</f>
        <v>09306000800</v>
      </c>
      <c r="C1406" s="2" t="s">
        <v>5187</v>
      </c>
      <c r="D1406" t="s">
        <v>29</v>
      </c>
      <c r="E1406" s="2" t="s">
        <v>30</v>
      </c>
      <c r="F1406" s="2">
        <v>37203</v>
      </c>
      <c r="G1406" s="2" t="s">
        <v>152</v>
      </c>
      <c r="H1406" t="s">
        <v>5188</v>
      </c>
      <c r="I1406" s="6">
        <v>35417</v>
      </c>
      <c r="J1406" s="2" t="s">
        <v>5189</v>
      </c>
      <c r="K1406" s="2">
        <v>2100000</v>
      </c>
      <c r="L1406" t="s">
        <v>35</v>
      </c>
      <c r="M1406" t="s">
        <v>29</v>
      </c>
      <c r="N1406" t="s">
        <v>30</v>
      </c>
      <c r="O1406">
        <v>37219</v>
      </c>
      <c r="P1406" t="s">
        <v>5190</v>
      </c>
      <c r="Q1406" s="2">
        <v>7.49</v>
      </c>
      <c r="R1406" s="2">
        <v>440</v>
      </c>
      <c r="S1406" s="2">
        <v>352</v>
      </c>
      <c r="T1406" t="s">
        <v>5191</v>
      </c>
      <c r="U1406" s="6">
        <v>34533</v>
      </c>
      <c r="V1406" s="2">
        <v>47037019500</v>
      </c>
      <c r="W1406" s="2" t="s">
        <v>4960</v>
      </c>
      <c r="X1406" s="1">
        <v>45658</v>
      </c>
      <c r="Y1406" s="2">
        <v>293637600</v>
      </c>
      <c r="Z1406" s="2">
        <v>0</v>
      </c>
      <c r="AA1406" s="2">
        <v>293637600</v>
      </c>
    </row>
    <row r="1407" spans="1:27" x14ac:dyDescent="0.3">
      <c r="A1407" s="3">
        <v>19</v>
      </c>
      <c r="B1407" s="2" t="str">
        <f>"08200002500"</f>
        <v>08200002500</v>
      </c>
      <c r="C1407" s="2" t="s">
        <v>5192</v>
      </c>
      <c r="D1407" t="s">
        <v>29</v>
      </c>
      <c r="E1407" s="2" t="s">
        <v>30</v>
      </c>
      <c r="F1407" s="2">
        <v>37208</v>
      </c>
      <c r="G1407" s="2" t="s">
        <v>1485</v>
      </c>
      <c r="H1407" t="s">
        <v>280</v>
      </c>
      <c r="I1407" s="6">
        <v>34284</v>
      </c>
      <c r="J1407" s="2" t="s">
        <v>5193</v>
      </c>
      <c r="K1407" s="2">
        <v>0</v>
      </c>
      <c r="L1407" t="s">
        <v>35</v>
      </c>
      <c r="M1407" t="s">
        <v>29</v>
      </c>
      <c r="N1407" t="s">
        <v>30</v>
      </c>
      <c r="O1407">
        <v>37219</v>
      </c>
      <c r="P1407" t="s">
        <v>5194</v>
      </c>
      <c r="Q1407" s="2">
        <v>1.68</v>
      </c>
      <c r="R1407" s="2">
        <v>367</v>
      </c>
      <c r="S1407" s="2">
        <v>90</v>
      </c>
      <c r="T1407" t="s">
        <v>5195</v>
      </c>
      <c r="U1407" s="6">
        <v>34194</v>
      </c>
      <c r="V1407" s="2">
        <v>47037019400</v>
      </c>
      <c r="W1407" s="2" t="s">
        <v>68</v>
      </c>
      <c r="X1407" s="1">
        <v>45658</v>
      </c>
      <c r="Y1407" s="2">
        <v>1170900</v>
      </c>
      <c r="Z1407" s="2">
        <v>0</v>
      </c>
      <c r="AA1407" s="2">
        <v>1170900</v>
      </c>
    </row>
    <row r="1408" spans="1:27" x14ac:dyDescent="0.3">
      <c r="A1408" s="3">
        <v>19</v>
      </c>
      <c r="B1408" s="2" t="str">
        <f>"08200001000"</f>
        <v>08200001000</v>
      </c>
      <c r="C1408" s="2" t="s">
        <v>5196</v>
      </c>
      <c r="D1408" t="s">
        <v>29</v>
      </c>
      <c r="E1408" s="2" t="s">
        <v>30</v>
      </c>
      <c r="F1408" s="2">
        <v>37208</v>
      </c>
      <c r="G1408" s="2" t="s">
        <v>1485</v>
      </c>
      <c r="H1408" t="s">
        <v>280</v>
      </c>
      <c r="I1408" s="6">
        <v>34284</v>
      </c>
      <c r="J1408" s="2" t="s">
        <v>5193</v>
      </c>
      <c r="K1408" s="2">
        <v>164260</v>
      </c>
      <c r="L1408" t="s">
        <v>35</v>
      </c>
      <c r="M1408" t="s">
        <v>29</v>
      </c>
      <c r="N1408" t="s">
        <v>30</v>
      </c>
      <c r="O1408">
        <v>37219</v>
      </c>
      <c r="P1408" t="s">
        <v>5197</v>
      </c>
      <c r="Q1408" s="2">
        <v>3.79</v>
      </c>
      <c r="R1408" s="2">
        <v>363</v>
      </c>
      <c r="S1408" s="2">
        <v>520</v>
      </c>
      <c r="T1408" t="s">
        <v>5195</v>
      </c>
      <c r="U1408" s="6">
        <v>34194</v>
      </c>
      <c r="V1408" s="2">
        <v>47037019400</v>
      </c>
      <c r="W1408" s="2" t="s">
        <v>68</v>
      </c>
      <c r="X1408" s="1">
        <v>45658</v>
      </c>
      <c r="Y1408" s="2">
        <v>13207400</v>
      </c>
      <c r="Z1408" s="2">
        <v>0</v>
      </c>
      <c r="AA1408" s="2">
        <v>13207400</v>
      </c>
    </row>
    <row r="1409" spans="1:27" x14ac:dyDescent="0.3">
      <c r="A1409" s="3">
        <v>19</v>
      </c>
      <c r="B1409" s="2" t="str">
        <f>"08200002400"</f>
        <v>08200002400</v>
      </c>
      <c r="C1409" s="2" t="s">
        <v>5198</v>
      </c>
      <c r="D1409" t="s">
        <v>29</v>
      </c>
      <c r="E1409" s="2" t="s">
        <v>30</v>
      </c>
      <c r="F1409" s="2">
        <v>37208</v>
      </c>
      <c r="G1409" s="2" t="s">
        <v>1343</v>
      </c>
      <c r="H1409" t="s">
        <v>280</v>
      </c>
      <c r="I1409" s="6">
        <v>33854</v>
      </c>
      <c r="J1409" s="2" t="s">
        <v>5199</v>
      </c>
      <c r="K1409" s="2">
        <v>190000</v>
      </c>
      <c r="L1409" t="s">
        <v>35</v>
      </c>
      <c r="M1409" t="s">
        <v>29</v>
      </c>
      <c r="N1409" t="s">
        <v>30</v>
      </c>
      <c r="O1409">
        <v>37219</v>
      </c>
      <c r="P1409" t="s">
        <v>5200</v>
      </c>
      <c r="Q1409" s="2">
        <v>5</v>
      </c>
      <c r="R1409" s="2">
        <v>0</v>
      </c>
      <c r="S1409" s="2">
        <v>0</v>
      </c>
      <c r="T1409" t="s">
        <v>5201</v>
      </c>
      <c r="U1409" s="6">
        <v>33864</v>
      </c>
      <c r="V1409" s="2">
        <v>47037019400</v>
      </c>
      <c r="W1409" s="2" t="s">
        <v>68</v>
      </c>
      <c r="X1409" s="1">
        <v>45658</v>
      </c>
      <c r="Y1409" s="2">
        <v>17447600</v>
      </c>
      <c r="Z1409" s="2">
        <v>23600</v>
      </c>
      <c r="AA1409" s="2">
        <v>17424000</v>
      </c>
    </row>
    <row r="1410" spans="1:27" x14ac:dyDescent="0.3">
      <c r="A1410" s="3">
        <v>19</v>
      </c>
      <c r="B1410" s="2" t="str">
        <f>"08200000200"</f>
        <v>08200000200</v>
      </c>
      <c r="C1410" s="2" t="s">
        <v>5202</v>
      </c>
      <c r="D1410" t="s">
        <v>29</v>
      </c>
      <c r="E1410" s="2" t="s">
        <v>30</v>
      </c>
      <c r="F1410" s="2">
        <v>37208</v>
      </c>
      <c r="G1410" s="2" t="s">
        <v>1485</v>
      </c>
      <c r="H1410" t="s">
        <v>280</v>
      </c>
      <c r="I1410" s="6">
        <v>31308</v>
      </c>
      <c r="J1410" s="2" t="s">
        <v>5203</v>
      </c>
      <c r="K1410" s="2">
        <v>1333336</v>
      </c>
      <c r="L1410" t="s">
        <v>35</v>
      </c>
      <c r="M1410" t="s">
        <v>29</v>
      </c>
      <c r="N1410" t="s">
        <v>30</v>
      </c>
      <c r="O1410">
        <v>37219</v>
      </c>
      <c r="P1410" t="s">
        <v>5204</v>
      </c>
      <c r="Q1410" s="2">
        <v>8.4600000000000009</v>
      </c>
      <c r="R1410" s="2">
        <v>0</v>
      </c>
      <c r="S1410" s="2">
        <v>0</v>
      </c>
      <c r="T1410" t="s">
        <v>278</v>
      </c>
      <c r="U1410" s="6">
        <v>32875</v>
      </c>
      <c r="V1410" s="2">
        <v>47037019400</v>
      </c>
      <c r="W1410" s="2" t="s">
        <v>68</v>
      </c>
      <c r="X1410" s="1">
        <v>45658</v>
      </c>
      <c r="Y1410" s="2">
        <v>29481400</v>
      </c>
      <c r="Z1410" s="2">
        <v>0</v>
      </c>
      <c r="AA1410" s="2">
        <v>29481400</v>
      </c>
    </row>
    <row r="1411" spans="1:27" x14ac:dyDescent="0.3">
      <c r="A1411" s="3">
        <v>19</v>
      </c>
      <c r="B1411" s="2" t="str">
        <f>"08200002000"</f>
        <v>08200002000</v>
      </c>
      <c r="C1411" s="2" t="s">
        <v>5205</v>
      </c>
      <c r="D1411" t="s">
        <v>29</v>
      </c>
      <c r="E1411" s="2" t="s">
        <v>30</v>
      </c>
      <c r="F1411" s="2">
        <v>37208</v>
      </c>
      <c r="G1411" s="2" t="s">
        <v>1485</v>
      </c>
      <c r="H1411" t="s">
        <v>280</v>
      </c>
      <c r="I1411" s="6">
        <v>31768</v>
      </c>
      <c r="J1411" s="2" t="s">
        <v>5206</v>
      </c>
      <c r="K1411" s="2">
        <v>800000</v>
      </c>
      <c r="L1411" t="s">
        <v>35</v>
      </c>
      <c r="M1411" t="s">
        <v>29</v>
      </c>
      <c r="N1411" t="s">
        <v>30</v>
      </c>
      <c r="O1411">
        <v>37219</v>
      </c>
      <c r="P1411" t="s">
        <v>5207</v>
      </c>
      <c r="Q1411" s="2">
        <v>7.97</v>
      </c>
      <c r="R1411" s="2">
        <v>0</v>
      </c>
      <c r="S1411" s="2">
        <v>0</v>
      </c>
      <c r="T1411" t="s">
        <v>5208</v>
      </c>
      <c r="U1411" s="6">
        <v>17180</v>
      </c>
      <c r="V1411" s="2">
        <v>47037019400</v>
      </c>
      <c r="W1411" s="2" t="s">
        <v>68</v>
      </c>
      <c r="X1411" s="1">
        <v>45658</v>
      </c>
      <c r="Y1411" s="2">
        <v>27773800</v>
      </c>
      <c r="Z1411" s="2">
        <v>0</v>
      </c>
      <c r="AA1411" s="2">
        <v>27773800</v>
      </c>
    </row>
    <row r="1412" spans="1:27" x14ac:dyDescent="0.3">
      <c r="A1412" s="3">
        <v>19</v>
      </c>
      <c r="B1412" s="2" t="str">
        <f>"08201000100"</f>
        <v>08201000100</v>
      </c>
      <c r="C1412" s="2" t="s">
        <v>5209</v>
      </c>
      <c r="D1412" t="s">
        <v>29</v>
      </c>
      <c r="E1412" s="2" t="s">
        <v>30</v>
      </c>
      <c r="F1412" s="2">
        <v>37208</v>
      </c>
      <c r="G1412" s="2" t="s">
        <v>2490</v>
      </c>
      <c r="H1412" t="s">
        <v>280</v>
      </c>
      <c r="I1412" s="6">
        <v>32420</v>
      </c>
      <c r="J1412" s="2" t="s">
        <v>5210</v>
      </c>
      <c r="K1412" s="2">
        <v>115000</v>
      </c>
      <c r="L1412" t="s">
        <v>35</v>
      </c>
      <c r="M1412" t="s">
        <v>29</v>
      </c>
      <c r="N1412" t="s">
        <v>30</v>
      </c>
      <c r="O1412">
        <v>37219</v>
      </c>
      <c r="P1412" t="s">
        <v>5211</v>
      </c>
      <c r="Q1412" s="2">
        <v>0.94</v>
      </c>
      <c r="R1412" s="2">
        <v>315</v>
      </c>
      <c r="S1412" s="2">
        <v>130</v>
      </c>
      <c r="T1412" t="s">
        <v>5212</v>
      </c>
      <c r="U1412" s="6">
        <v>23916</v>
      </c>
      <c r="V1412" s="2">
        <v>47037019400</v>
      </c>
      <c r="W1412" s="2" t="s">
        <v>68</v>
      </c>
      <c r="X1412" s="1">
        <v>45658</v>
      </c>
      <c r="Y1412" s="2">
        <v>3054600</v>
      </c>
      <c r="Z1412" s="2">
        <v>114600</v>
      </c>
      <c r="AA1412" s="2">
        <v>2940000</v>
      </c>
    </row>
    <row r="1413" spans="1:27" x14ac:dyDescent="0.3">
      <c r="A1413" s="3">
        <v>19</v>
      </c>
      <c r="B1413" s="2" t="str">
        <f>"08206009500"</f>
        <v>08206009500</v>
      </c>
      <c r="C1413" s="2" t="s">
        <v>5213</v>
      </c>
      <c r="D1413" t="s">
        <v>29</v>
      </c>
      <c r="E1413" s="2" t="s">
        <v>30</v>
      </c>
      <c r="F1413" s="2">
        <v>37207</v>
      </c>
      <c r="G1413" s="2" t="s">
        <v>1485</v>
      </c>
      <c r="H1413" t="s">
        <v>280</v>
      </c>
      <c r="I1413" s="6">
        <v>36174</v>
      </c>
      <c r="J1413" s="2" t="s">
        <v>5214</v>
      </c>
      <c r="K1413" s="2">
        <v>52000</v>
      </c>
      <c r="L1413" t="s">
        <v>35</v>
      </c>
      <c r="M1413" t="s">
        <v>29</v>
      </c>
      <c r="N1413" t="s">
        <v>30</v>
      </c>
      <c r="O1413">
        <v>37219</v>
      </c>
      <c r="P1413" t="s">
        <v>5215</v>
      </c>
      <c r="Q1413" s="2">
        <v>0.48</v>
      </c>
      <c r="R1413" s="2">
        <v>25</v>
      </c>
      <c r="S1413" s="2">
        <v>243</v>
      </c>
      <c r="T1413" t="s">
        <v>5216</v>
      </c>
      <c r="U1413" s="6">
        <v>36028</v>
      </c>
      <c r="V1413" s="2">
        <v>47037019300</v>
      </c>
      <c r="W1413" s="2" t="s">
        <v>68</v>
      </c>
      <c r="X1413" s="1">
        <v>45658</v>
      </c>
      <c r="Y1413" s="2">
        <v>1359100</v>
      </c>
      <c r="Z1413" s="2">
        <v>0</v>
      </c>
      <c r="AA1413" s="2">
        <v>1359100</v>
      </c>
    </row>
    <row r="1414" spans="1:27" x14ac:dyDescent="0.3">
      <c r="A1414" s="3">
        <v>19</v>
      </c>
      <c r="B1414" s="2" t="str">
        <f>"08214009300"</f>
        <v>08214009300</v>
      </c>
      <c r="C1414" s="2" t="s">
        <v>5217</v>
      </c>
      <c r="D1414" t="s">
        <v>29</v>
      </c>
      <c r="E1414" s="2" t="s">
        <v>30</v>
      </c>
      <c r="F1414" s="2">
        <v>37201</v>
      </c>
      <c r="G1414" s="2" t="s">
        <v>41</v>
      </c>
      <c r="H1414" t="s">
        <v>280</v>
      </c>
      <c r="I1414" s="6">
        <v>36094</v>
      </c>
      <c r="J1414" s="2" t="s">
        <v>5218</v>
      </c>
      <c r="K1414" s="2">
        <v>0</v>
      </c>
      <c r="L1414" t="s">
        <v>35</v>
      </c>
      <c r="M1414" t="s">
        <v>29</v>
      </c>
      <c r="N1414" t="s">
        <v>30</v>
      </c>
      <c r="O1414">
        <v>37219</v>
      </c>
      <c r="P1414" t="s">
        <v>5219</v>
      </c>
      <c r="Q1414" s="2">
        <v>0.25</v>
      </c>
      <c r="R1414" s="2">
        <v>34</v>
      </c>
      <c r="S1414" s="2">
        <v>291</v>
      </c>
      <c r="T1414" t="s">
        <v>5220</v>
      </c>
      <c r="U1414" s="6">
        <v>35858</v>
      </c>
      <c r="V1414" s="2">
        <v>47037019400</v>
      </c>
      <c r="W1414" s="2" t="s">
        <v>68</v>
      </c>
      <c r="X1414" s="1">
        <v>45658</v>
      </c>
      <c r="Y1414" s="2">
        <v>2722500</v>
      </c>
      <c r="Z1414" s="2">
        <v>0</v>
      </c>
      <c r="AA1414" s="2">
        <v>2722500</v>
      </c>
    </row>
    <row r="1415" spans="1:27" x14ac:dyDescent="0.3">
      <c r="A1415" s="3">
        <v>19</v>
      </c>
      <c r="B1415" s="2" t="str">
        <f>"08213039500"</f>
        <v>08213039500</v>
      </c>
      <c r="C1415" s="2" t="s">
        <v>5221</v>
      </c>
      <c r="D1415" t="s">
        <v>29</v>
      </c>
      <c r="E1415" s="2" t="s">
        <v>30</v>
      </c>
      <c r="F1415" s="2">
        <v>37201</v>
      </c>
      <c r="G1415" s="2" t="s">
        <v>41</v>
      </c>
      <c r="H1415" t="s">
        <v>280</v>
      </c>
      <c r="I1415" s="6">
        <v>36094</v>
      </c>
      <c r="J1415" s="2" t="s">
        <v>5218</v>
      </c>
      <c r="K1415" s="2">
        <v>0</v>
      </c>
      <c r="L1415" t="s">
        <v>35</v>
      </c>
      <c r="M1415" t="s">
        <v>29</v>
      </c>
      <c r="N1415" t="s">
        <v>30</v>
      </c>
      <c r="O1415">
        <v>37219</v>
      </c>
      <c r="P1415" t="s">
        <v>5222</v>
      </c>
      <c r="Q1415" s="2">
        <v>0.49</v>
      </c>
      <c r="R1415" s="2">
        <v>106</v>
      </c>
      <c r="S1415" s="2">
        <v>75</v>
      </c>
      <c r="T1415" t="s">
        <v>5220</v>
      </c>
      <c r="U1415" s="6">
        <v>35858</v>
      </c>
      <c r="V1415" s="2">
        <v>47037019400</v>
      </c>
      <c r="W1415" s="2" t="s">
        <v>68</v>
      </c>
      <c r="X1415" s="1">
        <v>45658</v>
      </c>
      <c r="Y1415" s="2">
        <v>5336000</v>
      </c>
      <c r="Z1415" s="2">
        <v>0</v>
      </c>
      <c r="AA1415" s="2">
        <v>5336000</v>
      </c>
    </row>
    <row r="1416" spans="1:27" x14ac:dyDescent="0.3">
      <c r="A1416" s="3">
        <v>19</v>
      </c>
      <c r="B1416" s="2" t="str">
        <f>"08214009500"</f>
        <v>08214009500</v>
      </c>
      <c r="C1416" s="2" t="s">
        <v>5223</v>
      </c>
      <c r="D1416" t="s">
        <v>29</v>
      </c>
      <c r="E1416" s="2" t="s">
        <v>30</v>
      </c>
      <c r="F1416" s="2">
        <v>37213</v>
      </c>
      <c r="G1416" s="2" t="s">
        <v>1485</v>
      </c>
      <c r="H1416" t="s">
        <v>280</v>
      </c>
      <c r="I1416" s="6">
        <v>37782</v>
      </c>
      <c r="J1416" s="2" t="s">
        <v>5224</v>
      </c>
      <c r="K1416" s="2">
        <v>0</v>
      </c>
      <c r="L1416" t="s">
        <v>35</v>
      </c>
      <c r="M1416" t="s">
        <v>29</v>
      </c>
      <c r="N1416" t="s">
        <v>30</v>
      </c>
      <c r="O1416">
        <v>37219</v>
      </c>
      <c r="P1416" t="s">
        <v>5225</v>
      </c>
      <c r="Q1416" s="2">
        <v>0.61</v>
      </c>
      <c r="R1416" s="2">
        <v>40</v>
      </c>
      <c r="S1416" s="2">
        <v>679</v>
      </c>
      <c r="T1416" t="s">
        <v>5226</v>
      </c>
      <c r="U1416" s="6">
        <v>36280</v>
      </c>
      <c r="V1416" s="2">
        <v>47037019300</v>
      </c>
      <c r="W1416" s="2" t="s">
        <v>68</v>
      </c>
      <c r="X1416" s="1">
        <v>45658</v>
      </c>
      <c r="Y1416" s="2">
        <v>2657200</v>
      </c>
      <c r="Z1416" s="2">
        <v>0</v>
      </c>
      <c r="AA1416" s="2">
        <v>2657200</v>
      </c>
    </row>
    <row r="1417" spans="1:27" x14ac:dyDescent="0.3">
      <c r="A1417" s="3">
        <v>19</v>
      </c>
      <c r="B1417" s="2" t="str">
        <f>"08213039600"</f>
        <v>08213039600</v>
      </c>
      <c r="C1417" s="2" t="s">
        <v>5227</v>
      </c>
      <c r="D1417" t="s">
        <v>29</v>
      </c>
      <c r="E1417" s="2" t="s">
        <v>30</v>
      </c>
      <c r="F1417" s="2">
        <v>37201</v>
      </c>
      <c r="G1417" s="2" t="s">
        <v>152</v>
      </c>
      <c r="H1417" t="s">
        <v>280</v>
      </c>
      <c r="I1417" s="6">
        <v>35975</v>
      </c>
      <c r="J1417" s="2" t="s">
        <v>5228</v>
      </c>
      <c r="K1417" s="2">
        <v>40000</v>
      </c>
      <c r="L1417" t="s">
        <v>35</v>
      </c>
      <c r="M1417" t="s">
        <v>29</v>
      </c>
      <c r="N1417" t="s">
        <v>30</v>
      </c>
      <c r="O1417">
        <v>37219</v>
      </c>
      <c r="P1417" t="s">
        <v>5229</v>
      </c>
      <c r="Q1417" s="2">
        <v>0.2</v>
      </c>
      <c r="R1417" s="2">
        <v>79</v>
      </c>
      <c r="S1417" s="2">
        <v>115</v>
      </c>
      <c r="T1417" t="s">
        <v>5228</v>
      </c>
      <c r="U1417" s="6">
        <v>35975</v>
      </c>
      <c r="V1417" s="2">
        <v>47037019400</v>
      </c>
      <c r="W1417" s="2" t="s">
        <v>68</v>
      </c>
      <c r="X1417" s="1">
        <v>45658</v>
      </c>
      <c r="Y1417" s="2">
        <v>2178000</v>
      </c>
      <c r="Z1417" s="2">
        <v>0</v>
      </c>
      <c r="AA1417" s="2">
        <v>2178000</v>
      </c>
    </row>
    <row r="1418" spans="1:27" x14ac:dyDescent="0.3">
      <c r="A1418" s="3">
        <v>19</v>
      </c>
      <c r="B1418" s="2" t="str">
        <f>"08205011800"</f>
        <v>08205011800</v>
      </c>
      <c r="C1418" s="2" t="s">
        <v>5230</v>
      </c>
      <c r="D1418" t="s">
        <v>29</v>
      </c>
      <c r="E1418" s="2" t="s">
        <v>30</v>
      </c>
      <c r="F1418" s="2">
        <v>37208</v>
      </c>
      <c r="G1418" s="2" t="s">
        <v>2490</v>
      </c>
      <c r="H1418" t="s">
        <v>280</v>
      </c>
      <c r="I1418" s="6">
        <v>27786</v>
      </c>
      <c r="J1418" s="2" t="s">
        <v>5231</v>
      </c>
      <c r="K1418" s="2">
        <v>16500</v>
      </c>
      <c r="L1418" t="s">
        <v>35</v>
      </c>
      <c r="M1418" t="s">
        <v>29</v>
      </c>
      <c r="N1418" t="s">
        <v>30</v>
      </c>
      <c r="O1418">
        <v>37219</v>
      </c>
      <c r="P1418" t="s">
        <v>5232</v>
      </c>
      <c r="Q1418" s="2">
        <v>1.78</v>
      </c>
      <c r="R1418" s="2">
        <v>405</v>
      </c>
      <c r="S1418" s="2">
        <v>127</v>
      </c>
      <c r="T1418" t="s">
        <v>5233</v>
      </c>
      <c r="U1418" s="6">
        <v>28097</v>
      </c>
      <c r="V1418" s="2">
        <v>47037019400</v>
      </c>
      <c r="W1418" s="2" t="s">
        <v>68</v>
      </c>
      <c r="X1418" s="1">
        <v>45658</v>
      </c>
      <c r="Y1418" s="2">
        <v>12615000</v>
      </c>
      <c r="Z1418" s="2">
        <v>209100</v>
      </c>
      <c r="AA1418" s="2">
        <v>12405900</v>
      </c>
    </row>
    <row r="1419" spans="1:27" x14ac:dyDescent="0.3">
      <c r="A1419" s="3">
        <v>19</v>
      </c>
      <c r="B1419" s="2" t="str">
        <f>"08205013600"</f>
        <v>08205013600</v>
      </c>
      <c r="C1419" s="2" t="s">
        <v>5234</v>
      </c>
      <c r="D1419" t="s">
        <v>29</v>
      </c>
      <c r="E1419" s="2" t="s">
        <v>30</v>
      </c>
      <c r="F1419" s="2">
        <v>37208</v>
      </c>
      <c r="G1419" s="2" t="s">
        <v>1485</v>
      </c>
      <c r="H1419" t="s">
        <v>280</v>
      </c>
      <c r="I1419" s="6">
        <v>25072</v>
      </c>
      <c r="J1419" s="2" t="s">
        <v>5235</v>
      </c>
      <c r="K1419" s="2" t="s">
        <v>34</v>
      </c>
      <c r="L1419" t="s">
        <v>35</v>
      </c>
      <c r="M1419" t="s">
        <v>29</v>
      </c>
      <c r="N1419" t="s">
        <v>30</v>
      </c>
      <c r="O1419">
        <v>37219</v>
      </c>
      <c r="P1419" t="s">
        <v>5236</v>
      </c>
      <c r="Q1419" s="2">
        <v>1.07</v>
      </c>
      <c r="R1419" s="2">
        <v>447</v>
      </c>
      <c r="S1419" s="2">
        <v>328</v>
      </c>
      <c r="T1419" t="s">
        <v>5237</v>
      </c>
      <c r="U1419" s="6">
        <v>34659</v>
      </c>
      <c r="V1419" s="2">
        <v>47037019400</v>
      </c>
      <c r="W1419" s="2" t="s">
        <v>68</v>
      </c>
      <c r="X1419" s="1">
        <v>45658</v>
      </c>
      <c r="Y1419" s="2">
        <v>5593100</v>
      </c>
      <c r="Z1419" s="2">
        <v>0</v>
      </c>
      <c r="AA1419" s="2">
        <v>5593100</v>
      </c>
    </row>
    <row r="1420" spans="1:27" x14ac:dyDescent="0.3">
      <c r="A1420" s="3">
        <v>19</v>
      </c>
      <c r="B1420" s="2" t="str">
        <f>"08205013100"</f>
        <v>08205013100</v>
      </c>
      <c r="C1420" s="2" t="s">
        <v>315</v>
      </c>
      <c r="D1420" t="s">
        <v>29</v>
      </c>
      <c r="E1420" s="2" t="s">
        <v>30</v>
      </c>
      <c r="F1420" s="2">
        <v>37208</v>
      </c>
      <c r="G1420" s="2" t="s">
        <v>152</v>
      </c>
      <c r="H1420" t="s">
        <v>280</v>
      </c>
      <c r="I1420" s="6">
        <v>28296</v>
      </c>
      <c r="J1420" s="2" t="s">
        <v>5238</v>
      </c>
      <c r="K1420" s="2" t="s">
        <v>34</v>
      </c>
      <c r="L1420" t="s">
        <v>35</v>
      </c>
      <c r="M1420" t="s">
        <v>29</v>
      </c>
      <c r="N1420" t="s">
        <v>30</v>
      </c>
      <c r="O1420">
        <v>37219</v>
      </c>
      <c r="P1420" t="s">
        <v>5239</v>
      </c>
      <c r="Q1420" s="2">
        <v>55.71</v>
      </c>
      <c r="R1420" s="2">
        <v>0</v>
      </c>
      <c r="S1420" s="2">
        <v>0</v>
      </c>
      <c r="T1420" t="s">
        <v>5240</v>
      </c>
      <c r="U1420" s="6">
        <v>34659</v>
      </c>
      <c r="V1420" s="2">
        <v>47037019400</v>
      </c>
      <c r="W1420" s="2" t="s">
        <v>68</v>
      </c>
      <c r="X1420" s="1">
        <v>45658</v>
      </c>
      <c r="Y1420" s="2">
        <v>33426000</v>
      </c>
      <c r="Z1420" s="2">
        <v>0</v>
      </c>
      <c r="AA1420" s="2">
        <v>33426000</v>
      </c>
    </row>
    <row r="1421" spans="1:27" x14ac:dyDescent="0.3">
      <c r="A1421" s="3">
        <v>19</v>
      </c>
      <c r="B1421" s="2" t="str">
        <f>"08205016500"</f>
        <v>08205016500</v>
      </c>
      <c r="C1421" s="2" t="s">
        <v>5241</v>
      </c>
      <c r="D1421" t="s">
        <v>29</v>
      </c>
      <c r="E1421" s="2" t="s">
        <v>30</v>
      </c>
      <c r="F1421" s="2">
        <v>37208</v>
      </c>
      <c r="G1421" s="2" t="s">
        <v>1485</v>
      </c>
      <c r="H1421" t="s">
        <v>280</v>
      </c>
      <c r="I1421" s="6">
        <v>34739</v>
      </c>
      <c r="J1421" s="2" t="s">
        <v>5242</v>
      </c>
      <c r="K1421" s="2" t="s">
        <v>34</v>
      </c>
      <c r="L1421" t="s">
        <v>35</v>
      </c>
      <c r="M1421" t="s">
        <v>29</v>
      </c>
      <c r="N1421" t="s">
        <v>30</v>
      </c>
      <c r="O1421">
        <v>37219</v>
      </c>
      <c r="P1421" t="s">
        <v>5243</v>
      </c>
      <c r="Q1421" s="2">
        <v>0.8</v>
      </c>
      <c r="R1421" s="2">
        <v>175</v>
      </c>
      <c r="S1421" s="2">
        <v>200</v>
      </c>
      <c r="T1421" t="s">
        <v>5244</v>
      </c>
      <c r="U1421" s="6">
        <v>34201</v>
      </c>
      <c r="V1421" s="2">
        <v>47037019400</v>
      </c>
      <c r="W1421" s="2" t="s">
        <v>68</v>
      </c>
      <c r="X1421" s="1">
        <v>45658</v>
      </c>
      <c r="Y1421" s="2">
        <v>5600000</v>
      </c>
      <c r="Z1421" s="2">
        <v>0</v>
      </c>
      <c r="AA1421" s="2">
        <v>5600000</v>
      </c>
    </row>
    <row r="1422" spans="1:27" x14ac:dyDescent="0.3">
      <c r="A1422" s="3">
        <v>19</v>
      </c>
      <c r="B1422" s="2" t="str">
        <f>"08205015100"</f>
        <v>08205015100</v>
      </c>
      <c r="C1422" s="2" t="s">
        <v>5245</v>
      </c>
      <c r="D1422" t="s">
        <v>29</v>
      </c>
      <c r="E1422" s="2" t="s">
        <v>30</v>
      </c>
      <c r="F1422" s="2">
        <v>37208</v>
      </c>
      <c r="G1422" s="2" t="s">
        <v>152</v>
      </c>
      <c r="H1422" t="s">
        <v>280</v>
      </c>
      <c r="I1422" s="6">
        <v>31708</v>
      </c>
      <c r="J1422" s="2" t="s">
        <v>5246</v>
      </c>
      <c r="K1422" s="2">
        <v>0</v>
      </c>
      <c r="L1422" t="s">
        <v>35</v>
      </c>
      <c r="M1422" t="s">
        <v>29</v>
      </c>
      <c r="N1422" t="s">
        <v>30</v>
      </c>
      <c r="O1422">
        <v>37219</v>
      </c>
      <c r="P1422" t="s">
        <v>5247</v>
      </c>
      <c r="Q1422" s="2">
        <v>8.6999999999999993</v>
      </c>
      <c r="R1422" s="2">
        <v>0</v>
      </c>
      <c r="S1422" s="2">
        <v>0</v>
      </c>
      <c r="T1422" t="s">
        <v>5248</v>
      </c>
      <c r="U1422" s="6">
        <v>42011</v>
      </c>
      <c r="V1422" s="2">
        <v>47037019400</v>
      </c>
      <c r="W1422" s="2" t="s">
        <v>68</v>
      </c>
      <c r="X1422" s="1">
        <v>45658</v>
      </c>
      <c r="Y1422" s="2">
        <v>6960000</v>
      </c>
      <c r="Z1422" s="2">
        <v>0</v>
      </c>
      <c r="AA1422" s="2">
        <v>6960000</v>
      </c>
    </row>
    <row r="1423" spans="1:27" x14ac:dyDescent="0.3">
      <c r="A1423" s="3">
        <v>19</v>
      </c>
      <c r="B1423" s="2" t="str">
        <f>"08214005900"</f>
        <v>08214005900</v>
      </c>
      <c r="C1423" s="2" t="s">
        <v>5249</v>
      </c>
      <c r="D1423" t="s">
        <v>29</v>
      </c>
      <c r="E1423" s="2" t="s">
        <v>30</v>
      </c>
      <c r="F1423" s="2">
        <v>37213</v>
      </c>
      <c r="G1423" s="2" t="s">
        <v>1485</v>
      </c>
      <c r="H1423" t="s">
        <v>280</v>
      </c>
      <c r="I1423" s="6">
        <v>37782</v>
      </c>
      <c r="J1423" s="2" t="s">
        <v>5224</v>
      </c>
      <c r="K1423" s="2">
        <v>600000</v>
      </c>
      <c r="L1423" t="s">
        <v>35</v>
      </c>
      <c r="M1423" t="s">
        <v>29</v>
      </c>
      <c r="N1423" t="s">
        <v>30</v>
      </c>
      <c r="O1423">
        <v>37219</v>
      </c>
      <c r="P1423" t="s">
        <v>5250</v>
      </c>
      <c r="Q1423" s="2">
        <v>4.28</v>
      </c>
      <c r="R1423" s="2">
        <v>780</v>
      </c>
      <c r="S1423" s="2">
        <v>740</v>
      </c>
      <c r="T1423" t="s">
        <v>5226</v>
      </c>
      <c r="U1423" s="6">
        <v>36280</v>
      </c>
      <c r="V1423" s="2">
        <v>47037019300</v>
      </c>
      <c r="W1423" s="2" t="s">
        <v>68</v>
      </c>
      <c r="X1423" s="1">
        <v>45658</v>
      </c>
      <c r="Y1423" s="2">
        <v>16779300</v>
      </c>
      <c r="Z1423" s="2">
        <v>0</v>
      </c>
      <c r="AA1423" s="2">
        <v>16779300</v>
      </c>
    </row>
    <row r="1424" spans="1:27" x14ac:dyDescent="0.3">
      <c r="A1424" s="3">
        <v>19</v>
      </c>
      <c r="B1424" s="2" t="str">
        <f>"08205012700"</f>
        <v>08205012700</v>
      </c>
      <c r="C1424" s="2" t="s">
        <v>5251</v>
      </c>
      <c r="D1424" t="s">
        <v>29</v>
      </c>
      <c r="E1424" s="2" t="s">
        <v>30</v>
      </c>
      <c r="F1424" s="2">
        <v>37208</v>
      </c>
      <c r="G1424" s="2" t="s">
        <v>2490</v>
      </c>
      <c r="H1424" t="s">
        <v>280</v>
      </c>
      <c r="I1424" s="6">
        <v>25072</v>
      </c>
      <c r="J1424" s="2" t="s">
        <v>5235</v>
      </c>
      <c r="K1424" s="2" t="s">
        <v>34</v>
      </c>
      <c r="L1424" t="s">
        <v>35</v>
      </c>
      <c r="M1424" t="s">
        <v>29</v>
      </c>
      <c r="N1424" t="s">
        <v>30</v>
      </c>
      <c r="O1424">
        <v>37219</v>
      </c>
      <c r="P1424" t="s">
        <v>5252</v>
      </c>
      <c r="Q1424" s="2">
        <v>2.6</v>
      </c>
      <c r="R1424" s="2">
        <v>380</v>
      </c>
      <c r="S1424" s="2">
        <v>304</v>
      </c>
      <c r="T1424" t="s">
        <v>5237</v>
      </c>
      <c r="U1424" s="6">
        <v>34659</v>
      </c>
      <c r="V1424" s="2">
        <v>47037019400</v>
      </c>
      <c r="W1424" s="2" t="s">
        <v>68</v>
      </c>
      <c r="X1424" s="1">
        <v>45658</v>
      </c>
      <c r="Y1424" s="2">
        <v>18169100</v>
      </c>
      <c r="Z1424" s="2">
        <v>48100</v>
      </c>
      <c r="AA1424" s="2">
        <v>18121000</v>
      </c>
    </row>
    <row r="1425" spans="1:27" x14ac:dyDescent="0.3">
      <c r="A1425" s="3">
        <v>19</v>
      </c>
      <c r="B1425" s="2" t="str">
        <f>"09314047100"</f>
        <v>09314047100</v>
      </c>
      <c r="C1425" s="2" t="s">
        <v>5253</v>
      </c>
      <c r="D1425" t="s">
        <v>29</v>
      </c>
      <c r="E1425" s="2" t="s">
        <v>30</v>
      </c>
      <c r="F1425" s="2">
        <v>37203</v>
      </c>
      <c r="G1425" s="2" t="s">
        <v>41</v>
      </c>
      <c r="H1425" t="s">
        <v>5254</v>
      </c>
      <c r="I1425" s="6">
        <v>43028</v>
      </c>
      <c r="J1425" s="2" t="s">
        <v>5255</v>
      </c>
      <c r="K1425" s="2" t="s">
        <v>34</v>
      </c>
      <c r="L1425" t="s">
        <v>5256</v>
      </c>
      <c r="M1425" t="s">
        <v>29</v>
      </c>
      <c r="N1425" t="s">
        <v>30</v>
      </c>
      <c r="O1425">
        <v>37203</v>
      </c>
      <c r="P1425" t="s">
        <v>5257</v>
      </c>
      <c r="Q1425" s="2">
        <v>0.79</v>
      </c>
      <c r="R1425" s="2">
        <v>200</v>
      </c>
      <c r="S1425" s="2">
        <v>254</v>
      </c>
      <c r="T1425" t="s">
        <v>5258</v>
      </c>
      <c r="U1425" s="6">
        <v>38824</v>
      </c>
      <c r="V1425" s="2">
        <v>47037019500</v>
      </c>
      <c r="W1425" s="2" t="s">
        <v>68</v>
      </c>
      <c r="X1425" s="1">
        <v>45658</v>
      </c>
      <c r="Y1425" s="2">
        <v>8775100</v>
      </c>
      <c r="Z1425" s="2">
        <v>0</v>
      </c>
      <c r="AA1425" s="2">
        <v>8775100</v>
      </c>
    </row>
    <row r="1426" spans="1:27" x14ac:dyDescent="0.3">
      <c r="A1426" s="3">
        <v>19</v>
      </c>
      <c r="B1426" s="2" t="str">
        <f>"09208010300"</f>
        <v>09208010300</v>
      </c>
      <c r="C1426" s="2" t="s">
        <v>5259</v>
      </c>
      <c r="D1426" t="s">
        <v>29</v>
      </c>
      <c r="E1426" s="2" t="s">
        <v>30</v>
      </c>
      <c r="F1426" s="2">
        <v>37203</v>
      </c>
      <c r="G1426" s="2" t="s">
        <v>41</v>
      </c>
      <c r="H1426" t="s">
        <v>374</v>
      </c>
      <c r="I1426" s="6">
        <v>42941</v>
      </c>
      <c r="J1426" s="2" t="s">
        <v>4866</v>
      </c>
      <c r="K1426" s="2">
        <v>0</v>
      </c>
      <c r="L1426" t="s">
        <v>35</v>
      </c>
      <c r="M1426" t="s">
        <v>29</v>
      </c>
      <c r="N1426" t="s">
        <v>30</v>
      </c>
      <c r="O1426">
        <v>37219</v>
      </c>
      <c r="P1426" t="s">
        <v>5260</v>
      </c>
      <c r="Q1426" s="2">
        <v>0.14000000000000001</v>
      </c>
      <c r="R1426" s="2">
        <v>38</v>
      </c>
      <c r="S1426" s="2">
        <v>160</v>
      </c>
      <c r="T1426" t="s">
        <v>5261</v>
      </c>
      <c r="U1426" s="6">
        <v>21038</v>
      </c>
      <c r="V1426" s="2">
        <v>47037014400</v>
      </c>
      <c r="W1426" s="2" t="s">
        <v>68</v>
      </c>
      <c r="X1426" s="1">
        <v>45658</v>
      </c>
      <c r="Y1426" s="2">
        <v>547200</v>
      </c>
      <c r="Z1426" s="2">
        <v>0</v>
      </c>
      <c r="AA1426" s="2">
        <v>547200</v>
      </c>
    </row>
    <row r="1427" spans="1:27" x14ac:dyDescent="0.3">
      <c r="A1427" s="3">
        <v>19</v>
      </c>
      <c r="B1427" s="2" t="str">
        <f>"09301004600"</f>
        <v>09301004600</v>
      </c>
      <c r="C1427" s="2" t="s">
        <v>5262</v>
      </c>
      <c r="D1427" t="s">
        <v>29</v>
      </c>
      <c r="E1427" s="2" t="s">
        <v>30</v>
      </c>
      <c r="F1427" s="2">
        <v>37203</v>
      </c>
      <c r="G1427" s="2" t="s">
        <v>41</v>
      </c>
      <c r="H1427" t="s">
        <v>5263</v>
      </c>
      <c r="I1427" s="6">
        <v>42516</v>
      </c>
      <c r="J1427" s="2" t="s">
        <v>5142</v>
      </c>
      <c r="K1427" s="2">
        <v>0</v>
      </c>
      <c r="L1427" t="s">
        <v>5143</v>
      </c>
      <c r="M1427" t="s">
        <v>29</v>
      </c>
      <c r="N1427" t="s">
        <v>30</v>
      </c>
      <c r="O1427">
        <v>37219</v>
      </c>
      <c r="P1427" t="s">
        <v>5264</v>
      </c>
      <c r="Q1427" s="2">
        <v>1.05</v>
      </c>
      <c r="R1427" s="2">
        <v>279</v>
      </c>
      <c r="S1427" s="2">
        <v>228</v>
      </c>
      <c r="T1427" t="s">
        <v>5145</v>
      </c>
      <c r="U1427" s="6">
        <v>42494</v>
      </c>
      <c r="V1427" s="2">
        <v>47019400</v>
      </c>
      <c r="W1427" s="2" t="s">
        <v>68</v>
      </c>
      <c r="X1427" s="1">
        <v>45658</v>
      </c>
      <c r="Y1427" s="2">
        <v>3622500</v>
      </c>
      <c r="Z1427" s="2">
        <v>0</v>
      </c>
      <c r="AA1427" s="2">
        <v>3622500</v>
      </c>
    </row>
    <row r="1428" spans="1:27" x14ac:dyDescent="0.3">
      <c r="A1428" s="3">
        <v>19</v>
      </c>
      <c r="B1428" s="2" t="str">
        <f>"09301007200"</f>
        <v>09301007200</v>
      </c>
      <c r="C1428" s="2" t="s">
        <v>570</v>
      </c>
      <c r="D1428" t="s">
        <v>29</v>
      </c>
      <c r="E1428" s="2" t="s">
        <v>30</v>
      </c>
      <c r="F1428" s="2">
        <v>37203</v>
      </c>
      <c r="G1428" s="2" t="s">
        <v>41</v>
      </c>
      <c r="H1428" t="s">
        <v>5265</v>
      </c>
      <c r="I1428" s="6">
        <v>43777</v>
      </c>
      <c r="J1428" s="2" t="s">
        <v>5266</v>
      </c>
      <c r="K1428" s="2" t="s">
        <v>34</v>
      </c>
      <c r="L1428" t="s">
        <v>85</v>
      </c>
      <c r="M1428" t="s">
        <v>29</v>
      </c>
      <c r="N1428" t="s">
        <v>30</v>
      </c>
      <c r="O1428">
        <v>37219</v>
      </c>
      <c r="P1428" t="s">
        <v>5267</v>
      </c>
      <c r="Q1428" s="2">
        <v>0.69</v>
      </c>
      <c r="R1428" s="2">
        <v>223</v>
      </c>
      <c r="S1428" s="2">
        <v>0</v>
      </c>
      <c r="T1428" t="s">
        <v>5268</v>
      </c>
      <c r="U1428" s="6">
        <v>42282</v>
      </c>
      <c r="V1428" s="2">
        <v>470</v>
      </c>
      <c r="W1428" s="2" t="s">
        <v>68</v>
      </c>
      <c r="X1428" s="1">
        <v>45658</v>
      </c>
      <c r="Y1428" s="2">
        <v>1190200</v>
      </c>
      <c r="Z1428" s="2">
        <v>0</v>
      </c>
      <c r="AA1428" s="2">
        <v>1190200</v>
      </c>
    </row>
    <row r="1429" spans="1:27" x14ac:dyDescent="0.3">
      <c r="A1429" s="3">
        <v>19</v>
      </c>
      <c r="B1429" s="2" t="str">
        <f>"08205010500"</f>
        <v>08205010500</v>
      </c>
      <c r="C1429" s="2" t="s">
        <v>5269</v>
      </c>
      <c r="D1429" t="s">
        <v>29</v>
      </c>
      <c r="E1429" s="2" t="s">
        <v>30</v>
      </c>
      <c r="F1429" s="2">
        <v>37208</v>
      </c>
      <c r="G1429" s="2" t="s">
        <v>2495</v>
      </c>
      <c r="H1429" t="s">
        <v>5270</v>
      </c>
      <c r="I1429" s="6">
        <v>36175</v>
      </c>
      <c r="J1429" s="2" t="s">
        <v>5271</v>
      </c>
      <c r="K1429" s="2">
        <v>58993</v>
      </c>
      <c r="L1429" t="s">
        <v>35</v>
      </c>
      <c r="M1429" t="s">
        <v>29</v>
      </c>
      <c r="N1429" t="s">
        <v>30</v>
      </c>
      <c r="O1429">
        <v>37219</v>
      </c>
      <c r="P1429" t="s">
        <v>5272</v>
      </c>
      <c r="Q1429" s="2">
        <v>0.2</v>
      </c>
      <c r="R1429" s="2">
        <v>50</v>
      </c>
      <c r="S1429" s="2">
        <v>174</v>
      </c>
      <c r="T1429" t="s">
        <v>5273</v>
      </c>
      <c r="U1429" s="6">
        <v>22015</v>
      </c>
      <c r="V1429" s="2">
        <v>47037019400</v>
      </c>
      <c r="W1429" s="2" t="s">
        <v>68</v>
      </c>
      <c r="X1429" s="1">
        <v>45658</v>
      </c>
      <c r="Y1429" s="2">
        <v>1395000</v>
      </c>
      <c r="Z1429" s="2">
        <v>3000</v>
      </c>
      <c r="AA1429" s="2">
        <v>1392000</v>
      </c>
    </row>
    <row r="1430" spans="1:27" x14ac:dyDescent="0.3">
      <c r="A1430" s="3">
        <v>19</v>
      </c>
      <c r="B1430" s="2" t="str">
        <f>"08200002300"</f>
        <v>08200002300</v>
      </c>
      <c r="C1430" s="2" t="s">
        <v>5274</v>
      </c>
      <c r="D1430" t="s">
        <v>29</v>
      </c>
      <c r="E1430" s="2" t="s">
        <v>30</v>
      </c>
      <c r="F1430" s="2">
        <v>37208</v>
      </c>
      <c r="G1430" s="2" t="s">
        <v>1253</v>
      </c>
      <c r="H1430" t="s">
        <v>379</v>
      </c>
      <c r="I1430" s="6">
        <v>31768</v>
      </c>
      <c r="J1430" s="2" t="s">
        <v>5275</v>
      </c>
      <c r="K1430" s="2">
        <v>800000</v>
      </c>
      <c r="L1430" t="s">
        <v>35</v>
      </c>
      <c r="M1430" t="s">
        <v>29</v>
      </c>
      <c r="N1430" t="s">
        <v>30</v>
      </c>
      <c r="O1430">
        <v>37219</v>
      </c>
      <c r="P1430" t="s">
        <v>5276</v>
      </c>
      <c r="Q1430" s="2">
        <v>24.82</v>
      </c>
      <c r="R1430" s="2">
        <v>0</v>
      </c>
      <c r="S1430" s="2">
        <v>0</v>
      </c>
      <c r="T1430" t="s">
        <v>5275</v>
      </c>
      <c r="U1430" s="6">
        <v>31768</v>
      </c>
      <c r="V1430" s="2">
        <v>47037019400</v>
      </c>
      <c r="W1430" s="2" t="s">
        <v>68</v>
      </c>
      <c r="X1430" s="1">
        <v>45658</v>
      </c>
      <c r="Y1430" s="2">
        <v>9928000</v>
      </c>
      <c r="Z1430" s="2">
        <v>0</v>
      </c>
      <c r="AA1430" s="2">
        <v>9928000</v>
      </c>
    </row>
    <row r="1431" spans="1:27" x14ac:dyDescent="0.3">
      <c r="A1431" s="3">
        <v>19</v>
      </c>
      <c r="B1431" s="2" t="str">
        <f>"09302001500"</f>
        <v>09302001500</v>
      </c>
      <c r="C1431" s="2" t="s">
        <v>5277</v>
      </c>
      <c r="D1431" t="s">
        <v>29</v>
      </c>
      <c r="E1431" s="2" t="s">
        <v>30</v>
      </c>
      <c r="F1431" s="2">
        <v>37219</v>
      </c>
      <c r="G1431" s="2" t="s">
        <v>152</v>
      </c>
      <c r="H1431" t="s">
        <v>2213</v>
      </c>
      <c r="I1431" s="6">
        <v>39098</v>
      </c>
      <c r="J1431" s="2" t="s">
        <v>5278</v>
      </c>
      <c r="K1431" s="2">
        <v>0</v>
      </c>
      <c r="L1431" t="s">
        <v>3492</v>
      </c>
      <c r="M1431" t="s">
        <v>29</v>
      </c>
      <c r="N1431" t="s">
        <v>30</v>
      </c>
      <c r="O1431">
        <v>37210</v>
      </c>
      <c r="P1431" t="s">
        <v>5279</v>
      </c>
      <c r="Q1431" s="2">
        <v>2.5499999999999998</v>
      </c>
      <c r="R1431" s="2">
        <v>304</v>
      </c>
      <c r="S1431" s="2">
        <v>333</v>
      </c>
      <c r="T1431" t="s">
        <v>5280</v>
      </c>
      <c r="U1431" s="6">
        <v>39183</v>
      </c>
      <c r="V1431" s="2">
        <v>47037019500</v>
      </c>
      <c r="W1431" s="2" t="s">
        <v>68</v>
      </c>
      <c r="X1431" s="1">
        <v>45658</v>
      </c>
      <c r="Y1431" s="2">
        <v>29546000</v>
      </c>
      <c r="Z1431" s="2">
        <v>0</v>
      </c>
      <c r="AA1431" s="2">
        <v>29546000</v>
      </c>
    </row>
    <row r="1432" spans="1:27" x14ac:dyDescent="0.3">
      <c r="A1432" s="3">
        <v>19</v>
      </c>
      <c r="B1432" s="2" t="str">
        <f>"09312000100"</f>
        <v>09312000100</v>
      </c>
      <c r="C1432" s="2" t="s">
        <v>5281</v>
      </c>
      <c r="D1432" t="s">
        <v>29</v>
      </c>
      <c r="E1432" s="2" t="s">
        <v>30</v>
      </c>
      <c r="F1432" s="2">
        <v>37210</v>
      </c>
      <c r="G1432" s="2" t="s">
        <v>1471</v>
      </c>
      <c r="H1432" t="s">
        <v>4504</v>
      </c>
      <c r="I1432" s="6">
        <v>44638</v>
      </c>
      <c r="J1432" s="2" t="s">
        <v>5282</v>
      </c>
      <c r="K1432" s="2" t="s">
        <v>34</v>
      </c>
      <c r="L1432" t="s">
        <v>35</v>
      </c>
      <c r="M1432" t="s">
        <v>29</v>
      </c>
      <c r="N1432" t="s">
        <v>30</v>
      </c>
      <c r="O1432">
        <v>37219</v>
      </c>
      <c r="P1432" t="s">
        <v>5283</v>
      </c>
      <c r="Q1432" s="2">
        <v>2.89</v>
      </c>
      <c r="R1432" s="2">
        <v>0</v>
      </c>
      <c r="S1432" s="2">
        <v>0</v>
      </c>
      <c r="T1432" t="s">
        <v>4879</v>
      </c>
      <c r="U1432" s="6">
        <v>30105</v>
      </c>
      <c r="V1432" s="2">
        <v>47037019500</v>
      </c>
      <c r="W1432" s="2" t="s">
        <v>68</v>
      </c>
      <c r="X1432" s="1">
        <v>45658</v>
      </c>
      <c r="Y1432" s="2">
        <v>325100</v>
      </c>
      <c r="Z1432" s="2">
        <v>0</v>
      </c>
      <c r="AA1432" s="2">
        <v>325100</v>
      </c>
    </row>
    <row r="1433" spans="1:27" x14ac:dyDescent="0.3">
      <c r="A1433" s="3">
        <v>20</v>
      </c>
      <c r="B1433" s="2" t="str">
        <f>"10200002000"</f>
        <v>10200002000</v>
      </c>
      <c r="C1433" s="2" t="s">
        <v>5284</v>
      </c>
      <c r="D1433" t="s">
        <v>29</v>
      </c>
      <c r="E1433" s="2" t="s">
        <v>30</v>
      </c>
      <c r="F1433" s="2">
        <v>37209</v>
      </c>
      <c r="G1433" s="2" t="s">
        <v>152</v>
      </c>
      <c r="H1433" t="s">
        <v>32</v>
      </c>
      <c r="I1433" s="6">
        <v>7172</v>
      </c>
      <c r="J1433" s="2" t="s">
        <v>5285</v>
      </c>
      <c r="K1433" s="2">
        <v>0</v>
      </c>
      <c r="L1433" t="s">
        <v>35</v>
      </c>
      <c r="M1433" t="s">
        <v>29</v>
      </c>
      <c r="N1433" t="s">
        <v>30</v>
      </c>
      <c r="O1433">
        <v>37219</v>
      </c>
      <c r="P1433" t="s">
        <v>5286</v>
      </c>
      <c r="Q1433" s="2">
        <v>2.08</v>
      </c>
      <c r="R1433" s="2">
        <v>0</v>
      </c>
      <c r="S1433" s="2">
        <v>0</v>
      </c>
      <c r="T1433" t="s">
        <v>5287</v>
      </c>
      <c r="U1433" s="6">
        <v>33777</v>
      </c>
      <c r="V1433" s="2">
        <v>47037013201</v>
      </c>
      <c r="W1433" s="2" t="s">
        <v>68</v>
      </c>
      <c r="X1433" s="1">
        <v>45658</v>
      </c>
      <c r="Y1433" s="2">
        <v>415800</v>
      </c>
      <c r="Z1433" s="2">
        <v>0</v>
      </c>
      <c r="AA1433" s="2">
        <v>415800</v>
      </c>
    </row>
    <row r="1434" spans="1:27" x14ac:dyDescent="0.3">
      <c r="A1434" s="3">
        <v>20</v>
      </c>
      <c r="B1434" s="2" t="str">
        <f>"09110036000"</f>
        <v>09110036000</v>
      </c>
      <c r="C1434" s="2" t="s">
        <v>5288</v>
      </c>
      <c r="D1434" t="s">
        <v>29</v>
      </c>
      <c r="E1434" s="2" t="s">
        <v>30</v>
      </c>
      <c r="F1434" s="2">
        <v>37209</v>
      </c>
      <c r="G1434" s="2" t="s">
        <v>64</v>
      </c>
      <c r="H1434" t="s">
        <v>32</v>
      </c>
      <c r="I1434" s="6">
        <v>41526</v>
      </c>
      <c r="J1434" s="2" t="s">
        <v>5289</v>
      </c>
      <c r="K1434" s="2">
        <v>700</v>
      </c>
      <c r="L1434" t="s">
        <v>35</v>
      </c>
      <c r="M1434" t="s">
        <v>29</v>
      </c>
      <c r="N1434" t="s">
        <v>30</v>
      </c>
      <c r="O1434">
        <v>37219</v>
      </c>
      <c r="P1434" t="s">
        <v>5290</v>
      </c>
      <c r="Q1434" s="2">
        <v>0.4</v>
      </c>
      <c r="R1434" s="2">
        <v>141</v>
      </c>
      <c r="S1434" s="2">
        <v>180</v>
      </c>
      <c r="T1434" t="s">
        <v>5291</v>
      </c>
      <c r="U1434" s="6">
        <v>21752</v>
      </c>
      <c r="V1434" s="2">
        <v>47037013300</v>
      </c>
      <c r="W1434" s="2" t="s">
        <v>68</v>
      </c>
      <c r="X1434" s="1">
        <v>45658</v>
      </c>
      <c r="Y1434" s="2">
        <v>2000</v>
      </c>
      <c r="Z1434" s="2">
        <v>0</v>
      </c>
      <c r="AA1434" s="2">
        <v>2000</v>
      </c>
    </row>
    <row r="1435" spans="1:27" x14ac:dyDescent="0.3">
      <c r="A1435" s="3">
        <v>20</v>
      </c>
      <c r="B1435" s="2" t="str">
        <f>"09016028900"</f>
        <v>09016028900</v>
      </c>
      <c r="C1435" s="2" t="s">
        <v>5292</v>
      </c>
      <c r="D1435" t="s">
        <v>29</v>
      </c>
      <c r="E1435" s="2" t="s">
        <v>30</v>
      </c>
      <c r="F1435" s="2">
        <v>37209</v>
      </c>
      <c r="G1435" s="2" t="s">
        <v>64</v>
      </c>
      <c r="H1435" t="s">
        <v>99</v>
      </c>
      <c r="I1435" s="6">
        <v>32926</v>
      </c>
      <c r="J1435" s="2" t="s">
        <v>5293</v>
      </c>
      <c r="K1435" s="2">
        <v>487</v>
      </c>
      <c r="L1435" t="s">
        <v>35</v>
      </c>
      <c r="M1435" t="s">
        <v>29</v>
      </c>
      <c r="N1435" t="s">
        <v>30</v>
      </c>
      <c r="O1435">
        <v>37219</v>
      </c>
      <c r="P1435" t="s">
        <v>5294</v>
      </c>
      <c r="Q1435" s="2">
        <v>0.02</v>
      </c>
      <c r="R1435" s="2">
        <v>67</v>
      </c>
      <c r="S1435" s="2">
        <v>20</v>
      </c>
      <c r="T1435" t="s">
        <v>5295</v>
      </c>
      <c r="U1435" s="6">
        <v>20368</v>
      </c>
      <c r="V1435" s="2">
        <v>47037013201</v>
      </c>
      <c r="W1435" s="2" t="s">
        <v>68</v>
      </c>
      <c r="X1435" s="1">
        <v>45658</v>
      </c>
      <c r="Y1435" s="2">
        <v>100</v>
      </c>
      <c r="Z1435" s="2">
        <v>0</v>
      </c>
      <c r="AA1435" s="2">
        <v>100</v>
      </c>
    </row>
    <row r="1436" spans="1:27" x14ac:dyDescent="0.3">
      <c r="A1436" s="3">
        <v>20</v>
      </c>
      <c r="B1436" s="2" t="str">
        <f>"09110035900"</f>
        <v>09110035900</v>
      </c>
      <c r="C1436" s="2" t="s">
        <v>5296</v>
      </c>
      <c r="D1436" t="s">
        <v>29</v>
      </c>
      <c r="E1436" s="2" t="s">
        <v>30</v>
      </c>
      <c r="F1436" s="2">
        <v>37209</v>
      </c>
      <c r="G1436" s="2" t="s">
        <v>64</v>
      </c>
      <c r="H1436" t="s">
        <v>99</v>
      </c>
      <c r="I1436" s="6">
        <v>42139</v>
      </c>
      <c r="J1436" s="2" t="s">
        <v>5297</v>
      </c>
      <c r="K1436" s="2">
        <v>660</v>
      </c>
      <c r="L1436" t="s">
        <v>35</v>
      </c>
      <c r="M1436" t="s">
        <v>29</v>
      </c>
      <c r="N1436" t="s">
        <v>30</v>
      </c>
      <c r="O1436">
        <v>37219</v>
      </c>
      <c r="P1436" t="s">
        <v>5298</v>
      </c>
      <c r="Q1436" s="2">
        <v>0.48</v>
      </c>
      <c r="R1436" s="2">
        <v>87</v>
      </c>
      <c r="S1436" s="2">
        <v>170</v>
      </c>
      <c r="T1436" t="s">
        <v>5299</v>
      </c>
      <c r="U1436" s="6">
        <v>26920</v>
      </c>
      <c r="V1436" s="2">
        <v>47037013300</v>
      </c>
      <c r="W1436" s="2" t="s">
        <v>68</v>
      </c>
      <c r="X1436" s="1">
        <v>45658</v>
      </c>
      <c r="Y1436" s="2">
        <v>2000</v>
      </c>
      <c r="Z1436" s="2">
        <v>0</v>
      </c>
      <c r="AA1436" s="2">
        <v>2000</v>
      </c>
    </row>
    <row r="1437" spans="1:27" x14ac:dyDescent="0.3">
      <c r="A1437" s="3">
        <v>20</v>
      </c>
      <c r="B1437" s="2" t="str">
        <f>"09105015300"</f>
        <v>09105015300</v>
      </c>
      <c r="C1437" s="2" t="s">
        <v>5300</v>
      </c>
      <c r="D1437" t="s">
        <v>29</v>
      </c>
      <c r="E1437" s="2" t="s">
        <v>30</v>
      </c>
      <c r="F1437" s="2">
        <v>37209</v>
      </c>
      <c r="G1437" s="2" t="s">
        <v>64</v>
      </c>
      <c r="H1437" t="s">
        <v>99</v>
      </c>
      <c r="I1437" s="6">
        <v>40198</v>
      </c>
      <c r="J1437" s="2" t="s">
        <v>5301</v>
      </c>
      <c r="K1437" s="2">
        <v>412</v>
      </c>
      <c r="L1437" t="s">
        <v>35</v>
      </c>
      <c r="M1437" t="s">
        <v>29</v>
      </c>
      <c r="N1437" t="s">
        <v>30</v>
      </c>
      <c r="O1437">
        <v>37219</v>
      </c>
      <c r="P1437" t="s">
        <v>5302</v>
      </c>
      <c r="Q1437" s="2">
        <v>0.28999999999999998</v>
      </c>
      <c r="R1437" s="2">
        <v>96</v>
      </c>
      <c r="S1437" s="2">
        <v>80</v>
      </c>
      <c r="T1437" t="s">
        <v>5303</v>
      </c>
      <c r="U1437" s="6">
        <v>25168</v>
      </c>
      <c r="V1437" s="2">
        <v>47037013202</v>
      </c>
      <c r="W1437" s="2" t="s">
        <v>68</v>
      </c>
      <c r="X1437" s="1">
        <v>45658</v>
      </c>
      <c r="Y1437" s="2">
        <v>4000</v>
      </c>
      <c r="Z1437" s="2">
        <v>0</v>
      </c>
      <c r="AA1437" s="2">
        <v>4000</v>
      </c>
    </row>
    <row r="1438" spans="1:27" x14ac:dyDescent="0.3">
      <c r="A1438" s="3">
        <v>20</v>
      </c>
      <c r="B1438" s="2" t="str">
        <f>"09102000100"</f>
        <v>09102000100</v>
      </c>
      <c r="C1438" s="2" t="s">
        <v>5304</v>
      </c>
      <c r="D1438" t="s">
        <v>29</v>
      </c>
      <c r="E1438" s="2" t="s">
        <v>30</v>
      </c>
      <c r="F1438" s="2">
        <v>37209</v>
      </c>
      <c r="G1438" s="2" t="s">
        <v>147</v>
      </c>
      <c r="H1438" t="s">
        <v>5305</v>
      </c>
      <c r="I1438" s="6">
        <v>22906</v>
      </c>
      <c r="J1438" s="2" t="s">
        <v>5306</v>
      </c>
      <c r="K1438" s="2" t="s">
        <v>34</v>
      </c>
      <c r="L1438" t="s">
        <v>35</v>
      </c>
      <c r="M1438" t="s">
        <v>29</v>
      </c>
      <c r="N1438" t="s">
        <v>30</v>
      </c>
      <c r="O1438">
        <v>37219</v>
      </c>
      <c r="P1438" t="s">
        <v>5307</v>
      </c>
      <c r="Q1438" s="2">
        <v>0.72</v>
      </c>
      <c r="R1438" s="2">
        <v>200</v>
      </c>
      <c r="S1438" s="2">
        <v>160</v>
      </c>
      <c r="T1438" t="s">
        <v>5306</v>
      </c>
      <c r="U1438" s="6">
        <v>22906</v>
      </c>
      <c r="V1438" s="2">
        <v>47037013300</v>
      </c>
      <c r="W1438" s="2" t="s">
        <v>68</v>
      </c>
      <c r="X1438" s="1">
        <v>45658</v>
      </c>
      <c r="Y1438" s="2">
        <v>2101300</v>
      </c>
      <c r="Z1438" s="2">
        <v>0</v>
      </c>
      <c r="AA1438" s="2">
        <v>2101300</v>
      </c>
    </row>
    <row r="1439" spans="1:27" x14ac:dyDescent="0.3">
      <c r="A1439" s="3">
        <v>20</v>
      </c>
      <c r="B1439" s="2" t="str">
        <f>"09110035800"</f>
        <v>09110035800</v>
      </c>
      <c r="C1439" s="2" t="s">
        <v>5296</v>
      </c>
      <c r="D1439" t="s">
        <v>29</v>
      </c>
      <c r="E1439" s="2" t="s">
        <v>30</v>
      </c>
      <c r="F1439" s="2">
        <v>37209</v>
      </c>
      <c r="G1439" s="2" t="s">
        <v>64</v>
      </c>
      <c r="H1439" t="s">
        <v>171</v>
      </c>
      <c r="I1439" s="6">
        <v>30860</v>
      </c>
      <c r="J1439" s="2" t="s">
        <v>5308</v>
      </c>
      <c r="K1439" s="2">
        <v>200</v>
      </c>
      <c r="L1439" t="s">
        <v>35</v>
      </c>
      <c r="M1439" t="s">
        <v>29</v>
      </c>
      <c r="N1439" t="s">
        <v>30</v>
      </c>
      <c r="O1439">
        <v>37219</v>
      </c>
      <c r="P1439" t="s">
        <v>5298</v>
      </c>
      <c r="Q1439" s="2">
        <v>0.21</v>
      </c>
      <c r="R1439" s="2">
        <v>53</v>
      </c>
      <c r="S1439" s="2">
        <v>170</v>
      </c>
      <c r="T1439" t="s">
        <v>5309</v>
      </c>
      <c r="U1439" s="6">
        <v>21982</v>
      </c>
      <c r="V1439" s="2">
        <v>47037013300</v>
      </c>
      <c r="W1439" s="2" t="s">
        <v>68</v>
      </c>
      <c r="X1439" s="1">
        <v>45658</v>
      </c>
      <c r="Y1439" s="2">
        <v>2000</v>
      </c>
      <c r="Z1439" s="2">
        <v>0</v>
      </c>
      <c r="AA1439" s="2">
        <v>2000</v>
      </c>
    </row>
    <row r="1440" spans="1:27" x14ac:dyDescent="0.3">
      <c r="A1440" s="3">
        <v>20</v>
      </c>
      <c r="B1440" s="2" t="str">
        <f>"09101007500"</f>
        <v>09101007500</v>
      </c>
      <c r="C1440" s="2" t="s">
        <v>5310</v>
      </c>
      <c r="D1440" t="s">
        <v>29</v>
      </c>
      <c r="E1440" s="2" t="s">
        <v>30</v>
      </c>
      <c r="F1440" s="2">
        <v>37209</v>
      </c>
      <c r="G1440" s="2" t="s">
        <v>1485</v>
      </c>
      <c r="H1440" t="s">
        <v>176</v>
      </c>
      <c r="I1440" s="6">
        <v>17700</v>
      </c>
      <c r="J1440" s="2" t="s">
        <v>5311</v>
      </c>
      <c r="K1440" s="2" t="s">
        <v>34</v>
      </c>
      <c r="L1440" t="s">
        <v>178</v>
      </c>
      <c r="M1440" t="s">
        <v>29</v>
      </c>
      <c r="N1440" t="s">
        <v>30</v>
      </c>
      <c r="O1440">
        <v>37246</v>
      </c>
      <c r="P1440" t="s">
        <v>5312</v>
      </c>
      <c r="Q1440" s="2">
        <v>0.22</v>
      </c>
      <c r="R1440" s="2">
        <v>95</v>
      </c>
      <c r="S1440" s="2">
        <v>25</v>
      </c>
      <c r="T1440" t="s">
        <v>5313</v>
      </c>
      <c r="U1440" s="6">
        <v>25262</v>
      </c>
      <c r="V1440" s="2">
        <v>47037013000</v>
      </c>
      <c r="W1440" s="2" t="s">
        <v>68</v>
      </c>
      <c r="X1440" s="1">
        <v>45658</v>
      </c>
      <c r="Y1440" s="2">
        <v>55000</v>
      </c>
      <c r="Z1440" s="2">
        <v>0</v>
      </c>
      <c r="AA1440" s="2">
        <v>55000</v>
      </c>
    </row>
    <row r="1441" spans="1:27" x14ac:dyDescent="0.3">
      <c r="A1441" s="3">
        <v>20</v>
      </c>
      <c r="B1441" s="2" t="str">
        <f>"10301003100"</f>
        <v>10301003100</v>
      </c>
      <c r="C1441" s="2" t="s">
        <v>5314</v>
      </c>
      <c r="D1441" t="s">
        <v>29</v>
      </c>
      <c r="E1441" s="2" t="s">
        <v>30</v>
      </c>
      <c r="F1441" s="2">
        <v>37209</v>
      </c>
      <c r="G1441" s="2" t="s">
        <v>152</v>
      </c>
      <c r="H1441" t="s">
        <v>176</v>
      </c>
      <c r="I1441" s="6">
        <v>17622</v>
      </c>
      <c r="J1441" s="2" t="s">
        <v>5315</v>
      </c>
      <c r="K1441" s="2" t="s">
        <v>34</v>
      </c>
      <c r="L1441" t="s">
        <v>178</v>
      </c>
      <c r="M1441" t="s">
        <v>29</v>
      </c>
      <c r="N1441" t="s">
        <v>30</v>
      </c>
      <c r="O1441">
        <v>37246</v>
      </c>
      <c r="P1441" t="s">
        <v>5316</v>
      </c>
      <c r="Q1441" s="2">
        <v>0.1</v>
      </c>
      <c r="R1441" s="2">
        <v>50</v>
      </c>
      <c r="S1441" s="2">
        <v>110</v>
      </c>
      <c r="T1441" t="s">
        <v>5315</v>
      </c>
      <c r="U1441" s="6">
        <v>17622</v>
      </c>
      <c r="V1441" s="2">
        <v>47037018101</v>
      </c>
      <c r="W1441" s="2" t="s">
        <v>68</v>
      </c>
      <c r="X1441" s="1">
        <v>45658</v>
      </c>
      <c r="Y1441" s="2">
        <v>326700</v>
      </c>
      <c r="Z1441" s="2">
        <v>0</v>
      </c>
      <c r="AA1441" s="2">
        <v>326700</v>
      </c>
    </row>
    <row r="1442" spans="1:27" x14ac:dyDescent="0.3">
      <c r="A1442" s="3">
        <v>20</v>
      </c>
      <c r="B1442" s="2" t="str">
        <f>"09012001200"</f>
        <v>09012001200</v>
      </c>
      <c r="C1442" s="2" t="s">
        <v>5317</v>
      </c>
      <c r="D1442" t="s">
        <v>29</v>
      </c>
      <c r="E1442" s="2" t="s">
        <v>30</v>
      </c>
      <c r="F1442" s="2">
        <v>37209</v>
      </c>
      <c r="G1442" s="2" t="s">
        <v>152</v>
      </c>
      <c r="H1442" t="s">
        <v>176</v>
      </c>
      <c r="I1442" s="6">
        <v>20939</v>
      </c>
      <c r="J1442" s="2" t="s">
        <v>5318</v>
      </c>
      <c r="K1442" s="2" t="s">
        <v>34</v>
      </c>
      <c r="L1442" t="s">
        <v>178</v>
      </c>
      <c r="M1442" t="s">
        <v>29</v>
      </c>
      <c r="N1442" t="s">
        <v>30</v>
      </c>
      <c r="O1442">
        <v>37246</v>
      </c>
      <c r="P1442" t="s">
        <v>5319</v>
      </c>
      <c r="Q1442" s="2">
        <v>0.22</v>
      </c>
      <c r="R1442" s="2">
        <v>68</v>
      </c>
      <c r="S1442" s="2">
        <v>149</v>
      </c>
      <c r="T1442" t="s">
        <v>5318</v>
      </c>
      <c r="U1442" s="6">
        <v>20939</v>
      </c>
      <c r="V1442" s="2">
        <v>47037013201</v>
      </c>
      <c r="W1442" s="2" t="s">
        <v>68</v>
      </c>
      <c r="X1442" s="1">
        <v>45658</v>
      </c>
      <c r="Y1442" s="2">
        <v>300000</v>
      </c>
      <c r="Z1442" s="2">
        <v>0</v>
      </c>
      <c r="AA1442" s="2">
        <v>300000</v>
      </c>
    </row>
    <row r="1443" spans="1:27" x14ac:dyDescent="0.3">
      <c r="A1443" s="3">
        <v>20</v>
      </c>
      <c r="B1443" s="2" t="str">
        <f>"09100000200"</f>
        <v>09100000200</v>
      </c>
      <c r="C1443" s="2" t="s">
        <v>5320</v>
      </c>
      <c r="D1443" t="s">
        <v>29</v>
      </c>
      <c r="E1443" s="2" t="s">
        <v>30</v>
      </c>
      <c r="F1443" s="2">
        <v>37209</v>
      </c>
      <c r="G1443" s="2" t="s">
        <v>152</v>
      </c>
      <c r="H1443" t="s">
        <v>176</v>
      </c>
      <c r="I1443" s="6">
        <v>29364</v>
      </c>
      <c r="J1443" s="2" t="s">
        <v>5321</v>
      </c>
      <c r="K1443" s="2" t="s">
        <v>34</v>
      </c>
      <c r="L1443" t="s">
        <v>178</v>
      </c>
      <c r="M1443" t="s">
        <v>29</v>
      </c>
      <c r="N1443" t="s">
        <v>30</v>
      </c>
      <c r="O1443">
        <v>37246</v>
      </c>
      <c r="P1443" t="s">
        <v>5322</v>
      </c>
      <c r="Q1443" s="2">
        <v>12.77</v>
      </c>
      <c r="R1443" s="2">
        <v>0</v>
      </c>
      <c r="S1443" s="2">
        <v>0</v>
      </c>
      <c r="T1443" t="s">
        <v>5323</v>
      </c>
      <c r="U1443" s="6">
        <v>14474</v>
      </c>
      <c r="V1443" s="2">
        <v>47037013000</v>
      </c>
      <c r="W1443" s="2" t="s">
        <v>68</v>
      </c>
      <c r="X1443" s="1">
        <v>45658</v>
      </c>
      <c r="Y1443" s="2">
        <v>1398500</v>
      </c>
      <c r="Z1443" s="2">
        <v>147200</v>
      </c>
      <c r="AA1443" s="2">
        <v>1251300</v>
      </c>
    </row>
    <row r="1444" spans="1:27" x14ac:dyDescent="0.3">
      <c r="A1444" s="3">
        <v>20</v>
      </c>
      <c r="B1444" s="2" t="str">
        <f>"09100000300"</f>
        <v>09100000300</v>
      </c>
      <c r="C1444" s="2" t="s">
        <v>5324</v>
      </c>
      <c r="D1444" t="s">
        <v>29</v>
      </c>
      <c r="E1444" s="2" t="s">
        <v>30</v>
      </c>
      <c r="F1444" s="2">
        <v>37209</v>
      </c>
      <c r="G1444" s="2" t="s">
        <v>152</v>
      </c>
      <c r="H1444" t="s">
        <v>176</v>
      </c>
      <c r="I1444" s="6">
        <v>14474</v>
      </c>
      <c r="J1444" s="2" t="s">
        <v>5323</v>
      </c>
      <c r="K1444" s="2" t="s">
        <v>34</v>
      </c>
      <c r="L1444" t="s">
        <v>178</v>
      </c>
      <c r="M1444" t="s">
        <v>29</v>
      </c>
      <c r="N1444" t="s">
        <v>30</v>
      </c>
      <c r="O1444">
        <v>37246</v>
      </c>
      <c r="P1444" t="s">
        <v>5325</v>
      </c>
      <c r="Q1444" s="2">
        <v>3.2</v>
      </c>
      <c r="R1444" s="2">
        <v>0</v>
      </c>
      <c r="S1444" s="2">
        <v>0</v>
      </c>
      <c r="T1444" t="s">
        <v>5326</v>
      </c>
      <c r="U1444" s="6">
        <v>43189</v>
      </c>
      <c r="V1444" s="2">
        <v>47037013000</v>
      </c>
      <c r="W1444" s="2" t="s">
        <v>68</v>
      </c>
      <c r="X1444" s="1">
        <v>45658</v>
      </c>
      <c r="Y1444" s="2">
        <v>680000</v>
      </c>
      <c r="Z1444" s="2">
        <v>0</v>
      </c>
      <c r="AA1444" s="2">
        <v>680000</v>
      </c>
    </row>
    <row r="1445" spans="1:27" x14ac:dyDescent="0.3">
      <c r="A1445" s="3">
        <v>20</v>
      </c>
      <c r="B1445" s="2" t="str">
        <f>"10204004401"</f>
        <v>10204004401</v>
      </c>
      <c r="C1445" s="2" t="s">
        <v>5327</v>
      </c>
      <c r="D1445" t="s">
        <v>29</v>
      </c>
      <c r="E1445" s="2" t="s">
        <v>30</v>
      </c>
      <c r="F1445" s="2">
        <v>37209</v>
      </c>
      <c r="G1445" s="2" t="s">
        <v>152</v>
      </c>
      <c r="H1445" t="s">
        <v>176</v>
      </c>
      <c r="I1445" s="6">
        <v>23018</v>
      </c>
      <c r="J1445" s="2" t="s">
        <v>5328</v>
      </c>
      <c r="K1445" s="2" t="s">
        <v>34</v>
      </c>
      <c r="L1445" t="s">
        <v>178</v>
      </c>
      <c r="M1445" t="s">
        <v>29</v>
      </c>
      <c r="N1445" t="s">
        <v>30</v>
      </c>
      <c r="O1445">
        <v>37246</v>
      </c>
      <c r="P1445" t="s">
        <v>5329</v>
      </c>
      <c r="Q1445" s="2">
        <v>0.25</v>
      </c>
      <c r="R1445" s="2">
        <v>75</v>
      </c>
      <c r="S1445" s="2">
        <v>150</v>
      </c>
      <c r="T1445" t="s">
        <v>5328</v>
      </c>
      <c r="U1445" s="6">
        <v>23018</v>
      </c>
      <c r="V1445" s="2">
        <v>47037013201</v>
      </c>
      <c r="W1445" s="2" t="s">
        <v>68</v>
      </c>
      <c r="X1445" s="1">
        <v>45658</v>
      </c>
      <c r="Y1445" s="2">
        <v>300000</v>
      </c>
      <c r="Z1445" s="2">
        <v>0</v>
      </c>
      <c r="AA1445" s="2">
        <v>300000</v>
      </c>
    </row>
    <row r="1446" spans="1:27" x14ac:dyDescent="0.3">
      <c r="A1446" s="3">
        <v>20</v>
      </c>
      <c r="B1446" s="2" t="str">
        <f>"09109014200"</f>
        <v>09109014200</v>
      </c>
      <c r="C1446" s="2" t="s">
        <v>5330</v>
      </c>
      <c r="D1446" t="s">
        <v>29</v>
      </c>
      <c r="E1446" s="2" t="s">
        <v>30</v>
      </c>
      <c r="F1446" s="2">
        <v>37209</v>
      </c>
      <c r="G1446" s="2" t="s">
        <v>200</v>
      </c>
      <c r="H1446" t="s">
        <v>5331</v>
      </c>
      <c r="I1446" s="6">
        <v>24470</v>
      </c>
      <c r="J1446" s="2" t="s">
        <v>5332</v>
      </c>
      <c r="K1446" s="2" t="s">
        <v>34</v>
      </c>
      <c r="L1446" t="s">
        <v>35</v>
      </c>
      <c r="M1446" t="s">
        <v>29</v>
      </c>
      <c r="N1446" t="s">
        <v>30</v>
      </c>
      <c r="O1446">
        <v>37219</v>
      </c>
      <c r="P1446" t="s">
        <v>5333</v>
      </c>
      <c r="Q1446" s="2">
        <v>25.51</v>
      </c>
      <c r="R1446" s="2">
        <v>0</v>
      </c>
      <c r="S1446" s="2">
        <v>0</v>
      </c>
      <c r="T1446" t="s">
        <v>5332</v>
      </c>
      <c r="U1446" s="6">
        <v>24470</v>
      </c>
      <c r="V1446" s="2">
        <v>47037013202</v>
      </c>
      <c r="W1446" s="2" t="s">
        <v>68</v>
      </c>
      <c r="X1446" s="1">
        <v>45658</v>
      </c>
      <c r="Y1446" s="2">
        <v>1307900</v>
      </c>
      <c r="Z1446" s="2">
        <v>0</v>
      </c>
      <c r="AA1446" s="2">
        <v>1307900</v>
      </c>
    </row>
    <row r="1447" spans="1:27" x14ac:dyDescent="0.3">
      <c r="A1447" s="3">
        <v>20</v>
      </c>
      <c r="B1447" s="2" t="str">
        <f>"07900005400"</f>
        <v>07900005400</v>
      </c>
      <c r="C1447" s="2" t="s">
        <v>5334</v>
      </c>
      <c r="D1447" t="s">
        <v>29</v>
      </c>
      <c r="E1447" s="2" t="s">
        <v>30</v>
      </c>
      <c r="F1447" s="2">
        <v>37209</v>
      </c>
      <c r="G1447" s="2" t="s">
        <v>1485</v>
      </c>
      <c r="H1447" t="s">
        <v>206</v>
      </c>
      <c r="I1447" s="6">
        <v>28356</v>
      </c>
      <c r="J1447" s="2" t="s">
        <v>5335</v>
      </c>
      <c r="K1447" s="2" t="s">
        <v>34</v>
      </c>
      <c r="L1447" t="s">
        <v>35</v>
      </c>
      <c r="M1447" t="s">
        <v>29</v>
      </c>
      <c r="N1447" t="s">
        <v>30</v>
      </c>
      <c r="O1447">
        <v>37219</v>
      </c>
      <c r="P1447" t="s">
        <v>5336</v>
      </c>
      <c r="Q1447" s="2">
        <v>50.08</v>
      </c>
      <c r="R1447" s="2">
        <v>0</v>
      </c>
      <c r="S1447" s="2">
        <v>0</v>
      </c>
      <c r="T1447" t="s">
        <v>5337</v>
      </c>
      <c r="U1447" s="6">
        <v>32833</v>
      </c>
      <c r="V1447" s="2">
        <v>47037013000</v>
      </c>
      <c r="W1447" s="2" t="s">
        <v>68</v>
      </c>
      <c r="X1447" s="1">
        <v>45658</v>
      </c>
      <c r="Y1447" s="2">
        <v>7612200</v>
      </c>
      <c r="Z1447" s="2">
        <v>0</v>
      </c>
      <c r="AA1447" s="2">
        <v>7612200</v>
      </c>
    </row>
    <row r="1448" spans="1:27" x14ac:dyDescent="0.3">
      <c r="A1448" s="3">
        <v>20</v>
      </c>
      <c r="B1448" s="2" t="str">
        <f>"10200002500"</f>
        <v>10200002500</v>
      </c>
      <c r="C1448" s="2" t="s">
        <v>5338</v>
      </c>
      <c r="D1448" t="s">
        <v>29</v>
      </c>
      <c r="E1448" s="2" t="s">
        <v>30</v>
      </c>
      <c r="F1448" s="2">
        <v>37209</v>
      </c>
      <c r="G1448" s="2" t="s">
        <v>200</v>
      </c>
      <c r="H1448" t="s">
        <v>206</v>
      </c>
      <c r="I1448" s="6">
        <v>32143</v>
      </c>
      <c r="J1448" s="2" t="s">
        <v>5339</v>
      </c>
      <c r="K1448" s="2" t="s">
        <v>34</v>
      </c>
      <c r="L1448" t="s">
        <v>35</v>
      </c>
      <c r="M1448" t="s">
        <v>29</v>
      </c>
      <c r="N1448" t="s">
        <v>30</v>
      </c>
      <c r="O1448">
        <v>37219</v>
      </c>
      <c r="P1448" t="s">
        <v>5340</v>
      </c>
      <c r="Q1448" s="2">
        <v>4.82</v>
      </c>
      <c r="R1448" s="2">
        <v>0</v>
      </c>
      <c r="S1448" s="2">
        <v>0</v>
      </c>
      <c r="T1448" t="s">
        <v>5341</v>
      </c>
      <c r="U1448" s="6">
        <v>41529</v>
      </c>
      <c r="V1448" s="2">
        <v>47037018201</v>
      </c>
      <c r="W1448" s="2" t="s">
        <v>68</v>
      </c>
      <c r="X1448" s="1">
        <v>45658</v>
      </c>
      <c r="Y1448" s="2">
        <v>6298800</v>
      </c>
      <c r="Z1448" s="2">
        <v>0</v>
      </c>
      <c r="AA1448" s="2">
        <v>6298800</v>
      </c>
    </row>
    <row r="1449" spans="1:27" x14ac:dyDescent="0.3">
      <c r="A1449" s="3">
        <v>20</v>
      </c>
      <c r="B1449" s="2" t="str">
        <f>"09110034200"</f>
        <v>09110034200</v>
      </c>
      <c r="C1449" s="2" t="s">
        <v>5342</v>
      </c>
      <c r="D1449" t="s">
        <v>29</v>
      </c>
      <c r="E1449" s="2" t="s">
        <v>30</v>
      </c>
      <c r="F1449" s="2">
        <v>37209</v>
      </c>
      <c r="G1449" s="2" t="s">
        <v>64</v>
      </c>
      <c r="H1449" t="s">
        <v>211</v>
      </c>
      <c r="I1449" s="6">
        <v>41043</v>
      </c>
      <c r="J1449" s="2" t="s">
        <v>5343</v>
      </c>
      <c r="K1449" s="2">
        <v>0</v>
      </c>
      <c r="L1449" t="s">
        <v>35</v>
      </c>
      <c r="M1449" t="s">
        <v>29</v>
      </c>
      <c r="N1449" t="s">
        <v>30</v>
      </c>
      <c r="O1449">
        <v>37219</v>
      </c>
      <c r="P1449" t="s">
        <v>5344</v>
      </c>
      <c r="Q1449" s="2">
        <v>0.19</v>
      </c>
      <c r="R1449" s="2">
        <v>50</v>
      </c>
      <c r="S1449" s="2">
        <v>173</v>
      </c>
      <c r="T1449" t="s">
        <v>5345</v>
      </c>
      <c r="U1449" s="6">
        <v>22081</v>
      </c>
      <c r="V1449" s="2">
        <v>47037013300</v>
      </c>
      <c r="W1449" s="2" t="s">
        <v>68</v>
      </c>
      <c r="X1449" s="1">
        <v>45658</v>
      </c>
      <c r="Y1449" s="2">
        <v>2000</v>
      </c>
      <c r="Z1449" s="2">
        <v>0</v>
      </c>
      <c r="AA1449" s="2">
        <v>2000</v>
      </c>
    </row>
    <row r="1450" spans="1:27" x14ac:dyDescent="0.3">
      <c r="A1450" s="3">
        <v>20</v>
      </c>
      <c r="B1450" s="2" t="str">
        <f>"09110035000"</f>
        <v>09110035000</v>
      </c>
      <c r="C1450" s="2" t="s">
        <v>5346</v>
      </c>
      <c r="D1450" t="s">
        <v>29</v>
      </c>
      <c r="E1450" s="2" t="s">
        <v>30</v>
      </c>
      <c r="F1450" s="2">
        <v>37209</v>
      </c>
      <c r="G1450" s="2" t="s">
        <v>64</v>
      </c>
      <c r="H1450" t="s">
        <v>211</v>
      </c>
      <c r="I1450" s="6">
        <v>40604</v>
      </c>
      <c r="J1450" s="2" t="s">
        <v>5347</v>
      </c>
      <c r="K1450" s="2">
        <v>0</v>
      </c>
      <c r="L1450" t="s">
        <v>35</v>
      </c>
      <c r="M1450" t="s">
        <v>29</v>
      </c>
      <c r="N1450" t="s">
        <v>30</v>
      </c>
      <c r="O1450">
        <v>37219</v>
      </c>
      <c r="P1450" t="s">
        <v>5348</v>
      </c>
      <c r="Q1450" s="2">
        <v>0.14000000000000001</v>
      </c>
      <c r="R1450" s="2">
        <v>50</v>
      </c>
      <c r="S1450" s="2">
        <v>123</v>
      </c>
      <c r="T1450" t="s">
        <v>5349</v>
      </c>
      <c r="U1450" s="6">
        <v>23517</v>
      </c>
      <c r="V1450" s="2">
        <v>47037013300</v>
      </c>
      <c r="W1450" s="2" t="s">
        <v>68</v>
      </c>
      <c r="X1450" s="1">
        <v>45658</v>
      </c>
      <c r="Y1450" s="2">
        <v>2000</v>
      </c>
      <c r="Z1450" s="2">
        <v>0</v>
      </c>
      <c r="AA1450" s="2">
        <v>2000</v>
      </c>
    </row>
    <row r="1451" spans="1:27" x14ac:dyDescent="0.3">
      <c r="A1451" s="3">
        <v>20</v>
      </c>
      <c r="B1451" s="2" t="str">
        <f>"09110035100"</f>
        <v>09110035100</v>
      </c>
      <c r="C1451" s="2" t="s">
        <v>5350</v>
      </c>
      <c r="D1451" t="s">
        <v>29</v>
      </c>
      <c r="E1451" s="2" t="s">
        <v>30</v>
      </c>
      <c r="F1451" s="2">
        <v>37209</v>
      </c>
      <c r="G1451" s="2" t="s">
        <v>64</v>
      </c>
      <c r="H1451" t="s">
        <v>211</v>
      </c>
      <c r="I1451" s="6">
        <v>40591</v>
      </c>
      <c r="J1451" s="2" t="s">
        <v>5351</v>
      </c>
      <c r="K1451" s="2">
        <v>0</v>
      </c>
      <c r="L1451" t="s">
        <v>35</v>
      </c>
      <c r="M1451" t="s">
        <v>29</v>
      </c>
      <c r="N1451" t="s">
        <v>30</v>
      </c>
      <c r="O1451">
        <v>37219</v>
      </c>
      <c r="P1451" t="s">
        <v>5352</v>
      </c>
      <c r="Q1451" s="2">
        <v>0.12</v>
      </c>
      <c r="R1451" s="2">
        <v>50</v>
      </c>
      <c r="S1451" s="2">
        <v>115</v>
      </c>
      <c r="T1451" t="s">
        <v>5353</v>
      </c>
      <c r="U1451" s="6">
        <v>23646</v>
      </c>
      <c r="V1451" s="2">
        <v>47037013300</v>
      </c>
      <c r="W1451" s="2" t="s">
        <v>68</v>
      </c>
      <c r="X1451" s="1">
        <v>45658</v>
      </c>
      <c r="Y1451" s="2">
        <v>2000</v>
      </c>
      <c r="Z1451" s="2">
        <v>0</v>
      </c>
      <c r="AA1451" s="2">
        <v>2000</v>
      </c>
    </row>
    <row r="1452" spans="1:27" x14ac:dyDescent="0.3">
      <c r="A1452" s="3">
        <v>20</v>
      </c>
      <c r="B1452" s="2" t="str">
        <f>"09110035200"</f>
        <v>09110035200</v>
      </c>
      <c r="C1452" s="2" t="s">
        <v>5354</v>
      </c>
      <c r="D1452" t="s">
        <v>29</v>
      </c>
      <c r="E1452" s="2" t="s">
        <v>30</v>
      </c>
      <c r="F1452" s="2">
        <v>37209</v>
      </c>
      <c r="G1452" s="2" t="s">
        <v>64</v>
      </c>
      <c r="H1452" t="s">
        <v>211</v>
      </c>
      <c r="I1452" s="6">
        <v>40568</v>
      </c>
      <c r="J1452" s="2" t="s">
        <v>5355</v>
      </c>
      <c r="K1452" s="2">
        <v>0</v>
      </c>
      <c r="L1452" t="s">
        <v>35</v>
      </c>
      <c r="M1452" t="s">
        <v>29</v>
      </c>
      <c r="N1452" t="s">
        <v>30</v>
      </c>
      <c r="O1452">
        <v>37219</v>
      </c>
      <c r="P1452" t="s">
        <v>5356</v>
      </c>
      <c r="Q1452" s="2">
        <v>0.12</v>
      </c>
      <c r="R1452" s="2">
        <v>50</v>
      </c>
      <c r="S1452" s="2">
        <v>109</v>
      </c>
      <c r="T1452" t="s">
        <v>5357</v>
      </c>
      <c r="U1452" s="6">
        <v>25246</v>
      </c>
      <c r="V1452" s="2">
        <v>47037013300</v>
      </c>
      <c r="W1452" s="2" t="s">
        <v>68</v>
      </c>
      <c r="X1452" s="1">
        <v>45658</v>
      </c>
      <c r="Y1452" s="2">
        <v>2000</v>
      </c>
      <c r="Z1452" s="2">
        <v>0</v>
      </c>
      <c r="AA1452" s="2">
        <v>2000</v>
      </c>
    </row>
    <row r="1453" spans="1:27" x14ac:dyDescent="0.3">
      <c r="A1453" s="3">
        <v>20</v>
      </c>
      <c r="B1453" s="2" t="str">
        <f>"09110035300"</f>
        <v>09110035300</v>
      </c>
      <c r="C1453" s="2" t="s">
        <v>5358</v>
      </c>
      <c r="D1453" t="s">
        <v>29</v>
      </c>
      <c r="E1453" s="2" t="s">
        <v>30</v>
      </c>
      <c r="F1453" s="2">
        <v>37209</v>
      </c>
      <c r="G1453" s="2" t="s">
        <v>64</v>
      </c>
      <c r="H1453" t="s">
        <v>211</v>
      </c>
      <c r="I1453" s="6">
        <v>40602</v>
      </c>
      <c r="J1453" s="2" t="s">
        <v>5359</v>
      </c>
      <c r="K1453" s="2">
        <v>0</v>
      </c>
      <c r="L1453" t="s">
        <v>35</v>
      </c>
      <c r="M1453" t="s">
        <v>29</v>
      </c>
      <c r="N1453" t="s">
        <v>30</v>
      </c>
      <c r="O1453">
        <v>37219</v>
      </c>
      <c r="P1453" t="s">
        <v>5360</v>
      </c>
      <c r="Q1453" s="2">
        <v>0.13</v>
      </c>
      <c r="R1453" s="2">
        <v>50</v>
      </c>
      <c r="S1453" s="2">
        <v>108</v>
      </c>
      <c r="T1453" t="s">
        <v>5361</v>
      </c>
      <c r="U1453" s="6">
        <v>20047</v>
      </c>
      <c r="V1453" s="2">
        <v>47037013300</v>
      </c>
      <c r="W1453" s="2" t="s">
        <v>68</v>
      </c>
      <c r="X1453" s="1">
        <v>45658</v>
      </c>
      <c r="Y1453" s="2">
        <v>2000</v>
      </c>
      <c r="Z1453" s="2">
        <v>0</v>
      </c>
      <c r="AA1453" s="2">
        <v>2000</v>
      </c>
    </row>
    <row r="1454" spans="1:27" x14ac:dyDescent="0.3">
      <c r="A1454" s="3">
        <v>20</v>
      </c>
      <c r="B1454" s="2" t="str">
        <f>"09110035400"</f>
        <v>09110035400</v>
      </c>
      <c r="C1454" s="2" t="s">
        <v>5362</v>
      </c>
      <c r="D1454" t="s">
        <v>29</v>
      </c>
      <c r="E1454" s="2" t="s">
        <v>30</v>
      </c>
      <c r="F1454" s="2">
        <v>37209</v>
      </c>
      <c r="G1454" s="2" t="s">
        <v>64</v>
      </c>
      <c r="H1454" t="s">
        <v>211</v>
      </c>
      <c r="I1454" s="6">
        <v>40534</v>
      </c>
      <c r="J1454" s="2" t="s">
        <v>5363</v>
      </c>
      <c r="K1454" s="2">
        <v>0</v>
      </c>
      <c r="L1454" t="s">
        <v>35</v>
      </c>
      <c r="M1454" t="s">
        <v>29</v>
      </c>
      <c r="N1454" t="s">
        <v>30</v>
      </c>
      <c r="O1454">
        <v>37219</v>
      </c>
      <c r="P1454" t="s">
        <v>5364</v>
      </c>
      <c r="Q1454" s="2">
        <v>0.11</v>
      </c>
      <c r="R1454" s="2">
        <v>50</v>
      </c>
      <c r="S1454" s="2">
        <v>108</v>
      </c>
      <c r="T1454" t="s">
        <v>5365</v>
      </c>
      <c r="U1454" s="6">
        <v>23179</v>
      </c>
      <c r="V1454" s="2">
        <v>47037013300</v>
      </c>
      <c r="W1454" s="2" t="s">
        <v>68</v>
      </c>
      <c r="X1454" s="1">
        <v>45658</v>
      </c>
      <c r="Y1454" s="2">
        <v>2000</v>
      </c>
      <c r="Z1454" s="2">
        <v>0</v>
      </c>
      <c r="AA1454" s="2">
        <v>2000</v>
      </c>
    </row>
    <row r="1455" spans="1:27" x14ac:dyDescent="0.3">
      <c r="A1455" s="3">
        <v>20</v>
      </c>
      <c r="B1455" s="2" t="str">
        <f>"09110035700"</f>
        <v>09110035700</v>
      </c>
      <c r="C1455" s="2" t="s">
        <v>5296</v>
      </c>
      <c r="D1455" t="s">
        <v>29</v>
      </c>
      <c r="E1455" s="2" t="s">
        <v>30</v>
      </c>
      <c r="F1455" s="2">
        <v>37209</v>
      </c>
      <c r="G1455" s="2" t="s">
        <v>64</v>
      </c>
      <c r="H1455" t="s">
        <v>211</v>
      </c>
      <c r="I1455" s="6">
        <v>26941</v>
      </c>
      <c r="J1455" s="2" t="s">
        <v>5366</v>
      </c>
      <c r="K1455" s="2">
        <v>166</v>
      </c>
      <c r="L1455" t="s">
        <v>35</v>
      </c>
      <c r="M1455" t="s">
        <v>29</v>
      </c>
      <c r="N1455" t="s">
        <v>30</v>
      </c>
      <c r="O1455">
        <v>37219</v>
      </c>
      <c r="P1455" t="s">
        <v>5367</v>
      </c>
      <c r="Q1455" s="2">
        <v>0.28999999999999998</v>
      </c>
      <c r="R1455" s="2">
        <v>75</v>
      </c>
      <c r="S1455" s="2">
        <v>170</v>
      </c>
      <c r="T1455" t="s">
        <v>5368</v>
      </c>
      <c r="U1455" s="6">
        <v>22762</v>
      </c>
      <c r="V1455" s="2">
        <v>47037013300</v>
      </c>
      <c r="W1455" s="2" t="s">
        <v>68</v>
      </c>
      <c r="X1455" s="1">
        <v>45658</v>
      </c>
      <c r="Y1455" s="2">
        <v>2000</v>
      </c>
      <c r="Z1455" s="2">
        <v>0</v>
      </c>
      <c r="AA1455" s="2">
        <v>2000</v>
      </c>
    </row>
    <row r="1456" spans="1:27" x14ac:dyDescent="0.3">
      <c r="A1456" s="3">
        <v>20</v>
      </c>
      <c r="B1456" s="2" t="str">
        <f>"09110040200"</f>
        <v>09110040200</v>
      </c>
      <c r="C1456" s="2" t="s">
        <v>5369</v>
      </c>
      <c r="D1456" t="s">
        <v>29</v>
      </c>
      <c r="E1456" s="2" t="s">
        <v>30</v>
      </c>
      <c r="F1456" s="2">
        <v>37209</v>
      </c>
      <c r="G1456" s="2" t="s">
        <v>64</v>
      </c>
      <c r="H1456" t="s">
        <v>211</v>
      </c>
      <c r="I1456" s="6">
        <v>40617</v>
      </c>
      <c r="J1456" s="2" t="s">
        <v>5370</v>
      </c>
      <c r="K1456" s="2">
        <v>0</v>
      </c>
      <c r="L1456" t="s">
        <v>35</v>
      </c>
      <c r="M1456" t="s">
        <v>29</v>
      </c>
      <c r="N1456" t="s">
        <v>30</v>
      </c>
      <c r="O1456">
        <v>37219</v>
      </c>
      <c r="P1456" t="s">
        <v>5371</v>
      </c>
      <c r="Q1456" s="2">
        <v>0.15</v>
      </c>
      <c r="R1456" s="2">
        <v>60</v>
      </c>
      <c r="S1456" s="2">
        <v>108</v>
      </c>
      <c r="T1456" t="s">
        <v>5372</v>
      </c>
      <c r="U1456" s="6">
        <v>23147</v>
      </c>
      <c r="V1456" s="2">
        <v>47037013300</v>
      </c>
      <c r="W1456" s="2" t="s">
        <v>68</v>
      </c>
      <c r="X1456" s="1">
        <v>45658</v>
      </c>
      <c r="Y1456" s="2">
        <v>2000</v>
      </c>
      <c r="Z1456" s="2">
        <v>0</v>
      </c>
      <c r="AA1456" s="2">
        <v>2000</v>
      </c>
    </row>
    <row r="1457" spans="1:27" x14ac:dyDescent="0.3">
      <c r="A1457" s="3">
        <v>20</v>
      </c>
      <c r="B1457" s="2" t="str">
        <f>"09110040300"</f>
        <v>09110040300</v>
      </c>
      <c r="C1457" s="2" t="s">
        <v>5373</v>
      </c>
      <c r="D1457" t="s">
        <v>29</v>
      </c>
      <c r="E1457" s="2" t="s">
        <v>30</v>
      </c>
      <c r="F1457" s="2">
        <v>37209</v>
      </c>
      <c r="G1457" s="2" t="s">
        <v>64</v>
      </c>
      <c r="H1457" t="s">
        <v>211</v>
      </c>
      <c r="I1457" s="6">
        <v>40534</v>
      </c>
      <c r="J1457" s="2" t="s">
        <v>5374</v>
      </c>
      <c r="K1457" s="2">
        <v>0</v>
      </c>
      <c r="L1457" t="s">
        <v>35</v>
      </c>
      <c r="M1457" t="s">
        <v>29</v>
      </c>
      <c r="N1457" t="s">
        <v>30</v>
      </c>
      <c r="O1457">
        <v>37219</v>
      </c>
      <c r="P1457" t="s">
        <v>5375</v>
      </c>
      <c r="Q1457" s="2">
        <v>0.15</v>
      </c>
      <c r="R1457" s="2">
        <v>60</v>
      </c>
      <c r="S1457" s="2">
        <v>108</v>
      </c>
      <c r="T1457" t="s">
        <v>5376</v>
      </c>
      <c r="U1457" s="6">
        <v>24597</v>
      </c>
      <c r="V1457" s="2">
        <v>47037013300</v>
      </c>
      <c r="W1457" s="2" t="s">
        <v>68</v>
      </c>
      <c r="X1457" s="1">
        <v>45658</v>
      </c>
      <c r="Y1457" s="2">
        <v>2000</v>
      </c>
      <c r="Z1457" s="2">
        <v>0</v>
      </c>
      <c r="AA1457" s="2">
        <v>2000</v>
      </c>
    </row>
    <row r="1458" spans="1:27" x14ac:dyDescent="0.3">
      <c r="A1458" s="3">
        <v>20</v>
      </c>
      <c r="B1458" s="2" t="str">
        <f>"09110040400"</f>
        <v>09110040400</v>
      </c>
      <c r="C1458" s="2" t="s">
        <v>5377</v>
      </c>
      <c r="D1458" t="s">
        <v>29</v>
      </c>
      <c r="E1458" s="2" t="s">
        <v>30</v>
      </c>
      <c r="F1458" s="2">
        <v>37209</v>
      </c>
      <c r="G1458" s="2" t="s">
        <v>64</v>
      </c>
      <c r="H1458" t="s">
        <v>211</v>
      </c>
      <c r="I1458" s="6">
        <v>40534</v>
      </c>
      <c r="J1458" s="2" t="s">
        <v>5378</v>
      </c>
      <c r="K1458" s="2">
        <v>0</v>
      </c>
      <c r="L1458" t="s">
        <v>35</v>
      </c>
      <c r="M1458" t="s">
        <v>29</v>
      </c>
      <c r="N1458" t="s">
        <v>30</v>
      </c>
      <c r="O1458">
        <v>37219</v>
      </c>
      <c r="P1458" t="s">
        <v>5379</v>
      </c>
      <c r="Q1458" s="2">
        <v>0.15</v>
      </c>
      <c r="R1458" s="2">
        <v>60</v>
      </c>
      <c r="S1458" s="2">
        <v>108</v>
      </c>
      <c r="T1458" t="s">
        <v>5380</v>
      </c>
      <c r="U1458" s="6">
        <v>21324</v>
      </c>
      <c r="V1458" s="2">
        <v>47037013300</v>
      </c>
      <c r="W1458" s="2" t="s">
        <v>68</v>
      </c>
      <c r="X1458" s="1">
        <v>45658</v>
      </c>
      <c r="Y1458" s="2">
        <v>2000</v>
      </c>
      <c r="Z1458" s="2">
        <v>0</v>
      </c>
      <c r="AA1458" s="2">
        <v>2000</v>
      </c>
    </row>
    <row r="1459" spans="1:27" x14ac:dyDescent="0.3">
      <c r="A1459" s="3">
        <v>20</v>
      </c>
      <c r="B1459" s="2" t="str">
        <f>"09111003400"</f>
        <v>09111003400</v>
      </c>
      <c r="C1459" s="2" t="s">
        <v>5381</v>
      </c>
      <c r="D1459" t="s">
        <v>29</v>
      </c>
      <c r="E1459" s="2" t="s">
        <v>30</v>
      </c>
      <c r="F1459" s="2">
        <v>37209</v>
      </c>
      <c r="G1459" s="2" t="s">
        <v>64</v>
      </c>
      <c r="H1459" t="s">
        <v>211</v>
      </c>
      <c r="I1459" s="6">
        <v>40715</v>
      </c>
      <c r="J1459" s="2" t="s">
        <v>5382</v>
      </c>
      <c r="K1459" s="2">
        <v>0</v>
      </c>
      <c r="L1459" t="s">
        <v>35</v>
      </c>
      <c r="M1459" t="s">
        <v>29</v>
      </c>
      <c r="N1459" t="s">
        <v>30</v>
      </c>
      <c r="O1459">
        <v>37219</v>
      </c>
      <c r="P1459" t="s">
        <v>5383</v>
      </c>
      <c r="Q1459" s="2">
        <v>0.14000000000000001</v>
      </c>
      <c r="R1459" s="2">
        <v>60</v>
      </c>
      <c r="S1459" s="2">
        <v>108</v>
      </c>
      <c r="T1459" t="s">
        <v>5384</v>
      </c>
      <c r="U1459" s="6">
        <v>26932</v>
      </c>
      <c r="V1459" s="2">
        <v>47037013300</v>
      </c>
      <c r="W1459" s="2" t="s">
        <v>68</v>
      </c>
      <c r="X1459" s="1">
        <v>45658</v>
      </c>
      <c r="Y1459" s="2">
        <v>2000</v>
      </c>
      <c r="Z1459" s="2">
        <v>0</v>
      </c>
      <c r="AA1459" s="2">
        <v>2000</v>
      </c>
    </row>
    <row r="1460" spans="1:27" x14ac:dyDescent="0.3">
      <c r="A1460" s="3">
        <v>20</v>
      </c>
      <c r="B1460" s="2" t="str">
        <f>"09106018600"</f>
        <v>09106018600</v>
      </c>
      <c r="C1460" s="2" t="s">
        <v>5385</v>
      </c>
      <c r="D1460" t="s">
        <v>29</v>
      </c>
      <c r="E1460" s="2" t="s">
        <v>30</v>
      </c>
      <c r="F1460" s="2">
        <v>37209</v>
      </c>
      <c r="G1460" s="2" t="s">
        <v>64</v>
      </c>
      <c r="H1460" t="s">
        <v>211</v>
      </c>
      <c r="I1460" s="6">
        <v>40723</v>
      </c>
      <c r="J1460" s="2" t="s">
        <v>5386</v>
      </c>
      <c r="K1460" s="2">
        <v>0</v>
      </c>
      <c r="L1460" t="s">
        <v>35</v>
      </c>
      <c r="M1460" t="s">
        <v>29</v>
      </c>
      <c r="N1460" t="s">
        <v>30</v>
      </c>
      <c r="O1460">
        <v>37219</v>
      </c>
      <c r="P1460" t="s">
        <v>5387</v>
      </c>
      <c r="Q1460" s="2">
        <v>0.11</v>
      </c>
      <c r="R1460" s="2">
        <v>52</v>
      </c>
      <c r="S1460" s="2">
        <v>110</v>
      </c>
      <c r="T1460" t="s">
        <v>5388</v>
      </c>
      <c r="U1460" s="6">
        <v>25761</v>
      </c>
      <c r="V1460" s="2">
        <v>47037013300</v>
      </c>
      <c r="W1460" s="2" t="s">
        <v>68</v>
      </c>
      <c r="X1460" s="1">
        <v>45658</v>
      </c>
      <c r="Y1460" s="2">
        <v>2000</v>
      </c>
      <c r="Z1460" s="2">
        <v>0</v>
      </c>
      <c r="AA1460" s="2">
        <v>2000</v>
      </c>
    </row>
    <row r="1461" spans="1:27" x14ac:dyDescent="0.3">
      <c r="A1461" s="3">
        <v>20</v>
      </c>
      <c r="B1461" s="2" t="str">
        <f>"09106018800"</f>
        <v>09106018800</v>
      </c>
      <c r="C1461" s="2" t="s">
        <v>5389</v>
      </c>
      <c r="D1461" t="s">
        <v>29</v>
      </c>
      <c r="E1461" s="2" t="s">
        <v>30</v>
      </c>
      <c r="F1461" s="2">
        <v>37209</v>
      </c>
      <c r="G1461" s="2" t="s">
        <v>64</v>
      </c>
      <c r="H1461" t="s">
        <v>211</v>
      </c>
      <c r="I1461" s="6">
        <v>40676</v>
      </c>
      <c r="J1461" s="2" t="s">
        <v>5390</v>
      </c>
      <c r="K1461" s="2">
        <v>0</v>
      </c>
      <c r="L1461" t="s">
        <v>35</v>
      </c>
      <c r="M1461" t="s">
        <v>29</v>
      </c>
      <c r="N1461" t="s">
        <v>30</v>
      </c>
      <c r="O1461">
        <v>37219</v>
      </c>
      <c r="P1461" t="s">
        <v>5391</v>
      </c>
      <c r="Q1461" s="2">
        <v>0.25</v>
      </c>
      <c r="R1461" s="2">
        <v>30</v>
      </c>
      <c r="S1461" s="2">
        <v>124</v>
      </c>
      <c r="T1461" t="s">
        <v>5392</v>
      </c>
      <c r="U1461" s="6">
        <v>27208</v>
      </c>
      <c r="V1461" s="2">
        <v>47037013300</v>
      </c>
      <c r="W1461" s="2" t="s">
        <v>68</v>
      </c>
      <c r="X1461" s="1">
        <v>45658</v>
      </c>
      <c r="Y1461" s="2">
        <v>2000</v>
      </c>
      <c r="Z1461" s="2">
        <v>0</v>
      </c>
      <c r="AA1461" s="2">
        <v>2000</v>
      </c>
    </row>
    <row r="1462" spans="1:27" x14ac:dyDescent="0.3">
      <c r="A1462" s="3">
        <v>20</v>
      </c>
      <c r="B1462" s="2" t="str">
        <f>"09106018400"</f>
        <v>09106018400</v>
      </c>
      <c r="C1462" s="2" t="s">
        <v>5393</v>
      </c>
      <c r="D1462" t="s">
        <v>29</v>
      </c>
      <c r="E1462" s="2" t="s">
        <v>30</v>
      </c>
      <c r="F1462" s="2">
        <v>37209</v>
      </c>
      <c r="G1462" s="2" t="s">
        <v>64</v>
      </c>
      <c r="H1462" t="s">
        <v>211</v>
      </c>
      <c r="I1462" s="6">
        <v>42880</v>
      </c>
      <c r="J1462" s="2" t="s">
        <v>5394</v>
      </c>
      <c r="K1462" s="2">
        <v>0</v>
      </c>
      <c r="L1462" t="s">
        <v>343</v>
      </c>
      <c r="M1462" t="s">
        <v>29</v>
      </c>
      <c r="N1462" t="s">
        <v>30</v>
      </c>
      <c r="O1462">
        <v>37201</v>
      </c>
      <c r="P1462" t="s">
        <v>5395</v>
      </c>
      <c r="Q1462" s="2">
        <v>0.13</v>
      </c>
      <c r="R1462" s="2">
        <v>50</v>
      </c>
      <c r="S1462" s="2">
        <v>86</v>
      </c>
      <c r="T1462" t="s">
        <v>5396</v>
      </c>
      <c r="U1462" s="6">
        <v>20235</v>
      </c>
      <c r="V1462" s="2">
        <v>47037013300</v>
      </c>
      <c r="W1462" s="2" t="s">
        <v>68</v>
      </c>
      <c r="X1462" s="1">
        <v>45658</v>
      </c>
      <c r="Y1462" s="2">
        <v>140000</v>
      </c>
      <c r="Z1462" s="2">
        <v>0</v>
      </c>
      <c r="AA1462" s="2">
        <v>140000</v>
      </c>
    </row>
    <row r="1463" spans="1:27" x14ac:dyDescent="0.3">
      <c r="A1463" s="3">
        <v>20</v>
      </c>
      <c r="B1463" s="2" t="str">
        <f>"09106018900"</f>
        <v>09106018900</v>
      </c>
      <c r="C1463" s="2" t="s">
        <v>5397</v>
      </c>
      <c r="D1463" t="s">
        <v>29</v>
      </c>
      <c r="E1463" s="2" t="s">
        <v>30</v>
      </c>
      <c r="F1463" s="2">
        <v>37209</v>
      </c>
      <c r="G1463" s="2" t="s">
        <v>64</v>
      </c>
      <c r="H1463" t="s">
        <v>211</v>
      </c>
      <c r="I1463" s="6">
        <v>41043</v>
      </c>
      <c r="J1463" s="2" t="s">
        <v>5398</v>
      </c>
      <c r="K1463" s="2">
        <v>0</v>
      </c>
      <c r="L1463" t="s">
        <v>35</v>
      </c>
      <c r="M1463" t="s">
        <v>29</v>
      </c>
      <c r="N1463" t="s">
        <v>30</v>
      </c>
      <c r="O1463">
        <v>37219</v>
      </c>
      <c r="P1463" t="s">
        <v>5399</v>
      </c>
      <c r="Q1463" s="2">
        <v>0.2</v>
      </c>
      <c r="R1463" s="2">
        <v>30</v>
      </c>
      <c r="S1463" s="2">
        <v>137</v>
      </c>
      <c r="T1463" t="s">
        <v>5400</v>
      </c>
      <c r="U1463" s="6">
        <v>26745</v>
      </c>
      <c r="V1463" s="2">
        <v>47037013300</v>
      </c>
      <c r="W1463" s="2" t="s">
        <v>68</v>
      </c>
      <c r="X1463" s="1">
        <v>45658</v>
      </c>
      <c r="Y1463" s="2">
        <v>2000</v>
      </c>
      <c r="Z1463" s="2">
        <v>0</v>
      </c>
      <c r="AA1463" s="2">
        <v>2000</v>
      </c>
    </row>
    <row r="1464" spans="1:27" x14ac:dyDescent="0.3">
      <c r="A1464" s="3">
        <v>20</v>
      </c>
      <c r="B1464" s="2" t="str">
        <f>"09110033000"</f>
        <v>09110033000</v>
      </c>
      <c r="C1464" s="2" t="s">
        <v>5401</v>
      </c>
      <c r="D1464" t="s">
        <v>29</v>
      </c>
      <c r="E1464" s="2" t="s">
        <v>30</v>
      </c>
      <c r="F1464" s="2">
        <v>37209</v>
      </c>
      <c r="G1464" s="2" t="s">
        <v>64</v>
      </c>
      <c r="H1464" t="s">
        <v>211</v>
      </c>
      <c r="I1464" s="6">
        <v>40620</v>
      </c>
      <c r="J1464" s="2" t="s">
        <v>5402</v>
      </c>
      <c r="K1464" s="2">
        <v>0</v>
      </c>
      <c r="L1464" t="s">
        <v>35</v>
      </c>
      <c r="M1464" t="s">
        <v>29</v>
      </c>
      <c r="N1464" t="s">
        <v>30</v>
      </c>
      <c r="O1464">
        <v>37219</v>
      </c>
      <c r="P1464" t="s">
        <v>5403</v>
      </c>
      <c r="Q1464" s="2">
        <v>0.18</v>
      </c>
      <c r="R1464" s="2">
        <v>68</v>
      </c>
      <c r="S1464" s="2">
        <v>140</v>
      </c>
      <c r="T1464" t="s">
        <v>5404</v>
      </c>
      <c r="U1464" s="6">
        <v>24301</v>
      </c>
      <c r="V1464" s="2">
        <v>47037013300</v>
      </c>
      <c r="W1464" s="2" t="s">
        <v>68</v>
      </c>
      <c r="X1464" s="1">
        <v>45658</v>
      </c>
      <c r="Y1464" s="2">
        <v>2000</v>
      </c>
      <c r="Z1464" s="2">
        <v>0</v>
      </c>
      <c r="AA1464" s="2">
        <v>2000</v>
      </c>
    </row>
    <row r="1465" spans="1:27" x14ac:dyDescent="0.3">
      <c r="A1465" s="3">
        <v>20</v>
      </c>
      <c r="B1465" s="2" t="str">
        <f>"09110033100"</f>
        <v>09110033100</v>
      </c>
      <c r="C1465" s="2" t="s">
        <v>5405</v>
      </c>
      <c r="D1465" t="s">
        <v>29</v>
      </c>
      <c r="E1465" s="2" t="s">
        <v>30</v>
      </c>
      <c r="F1465" s="2">
        <v>37209</v>
      </c>
      <c r="G1465" s="2" t="s">
        <v>64</v>
      </c>
      <c r="H1465" t="s">
        <v>211</v>
      </c>
      <c r="I1465" s="6">
        <v>40652</v>
      </c>
      <c r="J1465" s="2" t="s">
        <v>5406</v>
      </c>
      <c r="K1465" s="2">
        <v>0</v>
      </c>
      <c r="L1465" t="s">
        <v>35</v>
      </c>
      <c r="M1465" t="s">
        <v>29</v>
      </c>
      <c r="N1465" t="s">
        <v>30</v>
      </c>
      <c r="O1465">
        <v>37219</v>
      </c>
      <c r="P1465" t="s">
        <v>5407</v>
      </c>
      <c r="Q1465" s="2">
        <v>0.12</v>
      </c>
      <c r="R1465" s="2">
        <v>46</v>
      </c>
      <c r="S1465" s="2">
        <v>88</v>
      </c>
      <c r="T1465" t="s">
        <v>5408</v>
      </c>
      <c r="U1465" s="6">
        <v>27246</v>
      </c>
      <c r="V1465" s="2">
        <v>47037013300</v>
      </c>
      <c r="W1465" s="2" t="s">
        <v>68</v>
      </c>
      <c r="X1465" s="1">
        <v>45658</v>
      </c>
      <c r="Y1465" s="2">
        <v>2000</v>
      </c>
      <c r="Z1465" s="2">
        <v>0</v>
      </c>
      <c r="AA1465" s="2">
        <v>2000</v>
      </c>
    </row>
    <row r="1466" spans="1:27" x14ac:dyDescent="0.3">
      <c r="A1466" s="3">
        <v>20</v>
      </c>
      <c r="B1466" s="2" t="str">
        <f>"09110032900"</f>
        <v>09110032900</v>
      </c>
      <c r="C1466" s="2" t="s">
        <v>5409</v>
      </c>
      <c r="D1466" t="s">
        <v>29</v>
      </c>
      <c r="E1466" s="2" t="s">
        <v>30</v>
      </c>
      <c r="F1466" s="2">
        <v>37209</v>
      </c>
      <c r="G1466" s="2" t="s">
        <v>64</v>
      </c>
      <c r="H1466" t="s">
        <v>211</v>
      </c>
      <c r="I1466" s="6">
        <v>40598</v>
      </c>
      <c r="J1466" s="2" t="s">
        <v>5410</v>
      </c>
      <c r="K1466" s="2">
        <v>0</v>
      </c>
      <c r="L1466" t="s">
        <v>35</v>
      </c>
      <c r="M1466" t="s">
        <v>29</v>
      </c>
      <c r="N1466" t="s">
        <v>30</v>
      </c>
      <c r="O1466">
        <v>37219</v>
      </c>
      <c r="P1466" t="s">
        <v>5411</v>
      </c>
      <c r="Q1466" s="2">
        <v>0.36</v>
      </c>
      <c r="R1466" s="2">
        <v>30</v>
      </c>
      <c r="S1466" s="2">
        <v>140</v>
      </c>
      <c r="T1466" t="s">
        <v>5412</v>
      </c>
      <c r="U1466" s="6">
        <v>24208</v>
      </c>
      <c r="V1466" s="2">
        <v>47037013300</v>
      </c>
      <c r="W1466" s="2" t="s">
        <v>68</v>
      </c>
      <c r="X1466" s="1">
        <v>45658</v>
      </c>
      <c r="Y1466" s="2">
        <v>2000</v>
      </c>
      <c r="Z1466" s="2">
        <v>0</v>
      </c>
      <c r="AA1466" s="2">
        <v>2000</v>
      </c>
    </row>
    <row r="1467" spans="1:27" x14ac:dyDescent="0.3">
      <c r="A1467" s="3">
        <v>20</v>
      </c>
      <c r="B1467" s="2" t="str">
        <f>"09110033200"</f>
        <v>09110033200</v>
      </c>
      <c r="C1467" s="2" t="s">
        <v>5413</v>
      </c>
      <c r="D1467" t="s">
        <v>29</v>
      </c>
      <c r="E1467" s="2" t="s">
        <v>30</v>
      </c>
      <c r="F1467" s="2">
        <v>37209</v>
      </c>
      <c r="G1467" s="2" t="s">
        <v>64</v>
      </c>
      <c r="H1467" t="s">
        <v>211</v>
      </c>
      <c r="I1467" s="6">
        <v>40611</v>
      </c>
      <c r="J1467" s="2" t="s">
        <v>5414</v>
      </c>
      <c r="K1467" s="2">
        <v>0</v>
      </c>
      <c r="L1467" t="s">
        <v>35</v>
      </c>
      <c r="M1467" t="s">
        <v>29</v>
      </c>
      <c r="N1467" t="s">
        <v>30</v>
      </c>
      <c r="O1467">
        <v>37219</v>
      </c>
      <c r="P1467" t="s">
        <v>5415</v>
      </c>
      <c r="Q1467" s="2">
        <v>0.19</v>
      </c>
      <c r="R1467" s="2">
        <v>46</v>
      </c>
      <c r="S1467" s="2">
        <v>152</v>
      </c>
      <c r="T1467" t="s">
        <v>5416</v>
      </c>
      <c r="U1467" s="6">
        <v>24044</v>
      </c>
      <c r="V1467" s="2">
        <v>47037013300</v>
      </c>
      <c r="W1467" s="2" t="s">
        <v>68</v>
      </c>
      <c r="X1467" s="1">
        <v>45658</v>
      </c>
      <c r="Y1467" s="2">
        <v>2000</v>
      </c>
      <c r="Z1467" s="2">
        <v>0</v>
      </c>
      <c r="AA1467" s="2">
        <v>2000</v>
      </c>
    </row>
    <row r="1468" spans="1:27" x14ac:dyDescent="0.3">
      <c r="A1468" s="3">
        <v>20</v>
      </c>
      <c r="B1468" s="2" t="str">
        <f>"09110033300"</f>
        <v>09110033300</v>
      </c>
      <c r="C1468" s="2" t="s">
        <v>5417</v>
      </c>
      <c r="D1468" t="s">
        <v>29</v>
      </c>
      <c r="E1468" s="2" t="s">
        <v>30</v>
      </c>
      <c r="F1468" s="2">
        <v>37209</v>
      </c>
      <c r="G1468" s="2" t="s">
        <v>64</v>
      </c>
      <c r="H1468" t="s">
        <v>211</v>
      </c>
      <c r="I1468" s="6">
        <v>40612</v>
      </c>
      <c r="J1468" s="2" t="s">
        <v>5418</v>
      </c>
      <c r="K1468" s="2">
        <v>0</v>
      </c>
      <c r="L1468" t="s">
        <v>35</v>
      </c>
      <c r="M1468" t="s">
        <v>29</v>
      </c>
      <c r="N1468" t="s">
        <v>30</v>
      </c>
      <c r="O1468">
        <v>37219</v>
      </c>
      <c r="P1468" t="s">
        <v>5419</v>
      </c>
      <c r="Q1468" s="2">
        <v>0.34</v>
      </c>
      <c r="R1468" s="2">
        <v>46</v>
      </c>
      <c r="S1468" s="2">
        <v>232</v>
      </c>
      <c r="T1468" t="s">
        <v>5420</v>
      </c>
      <c r="U1468" s="6">
        <v>25022</v>
      </c>
      <c r="V1468" s="2">
        <v>47037013300</v>
      </c>
      <c r="W1468" s="2" t="s">
        <v>68</v>
      </c>
      <c r="X1468" s="1">
        <v>45658</v>
      </c>
      <c r="Y1468" s="2">
        <v>2000</v>
      </c>
      <c r="Z1468" s="2">
        <v>0</v>
      </c>
      <c r="AA1468" s="2">
        <v>2000</v>
      </c>
    </row>
    <row r="1469" spans="1:27" x14ac:dyDescent="0.3">
      <c r="A1469" s="3">
        <v>20</v>
      </c>
      <c r="B1469" s="2" t="str">
        <f>"09110033400"</f>
        <v>09110033400</v>
      </c>
      <c r="C1469" s="2" t="s">
        <v>5421</v>
      </c>
      <c r="D1469" t="s">
        <v>29</v>
      </c>
      <c r="E1469" s="2" t="s">
        <v>30</v>
      </c>
      <c r="F1469" s="2">
        <v>37209</v>
      </c>
      <c r="G1469" s="2" t="s">
        <v>64</v>
      </c>
      <c r="H1469" t="s">
        <v>211</v>
      </c>
      <c r="I1469" s="6">
        <v>40556</v>
      </c>
      <c r="J1469" s="2" t="s">
        <v>5422</v>
      </c>
      <c r="K1469" s="2">
        <v>0</v>
      </c>
      <c r="L1469" t="s">
        <v>35</v>
      </c>
      <c r="M1469" t="s">
        <v>29</v>
      </c>
      <c r="N1469" t="s">
        <v>30</v>
      </c>
      <c r="O1469">
        <v>37219</v>
      </c>
      <c r="P1469" t="s">
        <v>5423</v>
      </c>
      <c r="Q1469" s="2">
        <v>0.32</v>
      </c>
      <c r="R1469" s="2">
        <v>50</v>
      </c>
      <c r="S1469" s="2">
        <v>236</v>
      </c>
      <c r="T1469" t="s">
        <v>5424</v>
      </c>
      <c r="U1469" s="6">
        <v>22315</v>
      </c>
      <c r="V1469" s="2">
        <v>47037013300</v>
      </c>
      <c r="W1469" s="2" t="s">
        <v>68</v>
      </c>
      <c r="X1469" s="1">
        <v>45658</v>
      </c>
      <c r="Y1469" s="2">
        <v>2000</v>
      </c>
      <c r="Z1469" s="2">
        <v>0</v>
      </c>
      <c r="AA1469" s="2">
        <v>2000</v>
      </c>
    </row>
    <row r="1470" spans="1:27" x14ac:dyDescent="0.3">
      <c r="A1470" s="3">
        <v>20</v>
      </c>
      <c r="B1470" s="2" t="str">
        <f>"09110033500"</f>
        <v>09110033500</v>
      </c>
      <c r="C1470" s="2" t="s">
        <v>5425</v>
      </c>
      <c r="D1470" t="s">
        <v>29</v>
      </c>
      <c r="E1470" s="2" t="s">
        <v>30</v>
      </c>
      <c r="F1470" s="2">
        <v>37209</v>
      </c>
      <c r="G1470" s="2" t="s">
        <v>64</v>
      </c>
      <c r="H1470" t="s">
        <v>211</v>
      </c>
      <c r="I1470" s="6">
        <v>40576</v>
      </c>
      <c r="J1470" s="2" t="s">
        <v>5426</v>
      </c>
      <c r="K1470" s="2">
        <v>0</v>
      </c>
      <c r="L1470" t="s">
        <v>35</v>
      </c>
      <c r="M1470" t="s">
        <v>29</v>
      </c>
      <c r="N1470" t="s">
        <v>30</v>
      </c>
      <c r="O1470">
        <v>37219</v>
      </c>
      <c r="P1470" t="s">
        <v>5427</v>
      </c>
      <c r="Q1470" s="2">
        <v>0.25</v>
      </c>
      <c r="R1470" s="2">
        <v>50</v>
      </c>
      <c r="S1470" s="2">
        <v>236</v>
      </c>
      <c r="T1470" t="s">
        <v>5428</v>
      </c>
      <c r="U1470" s="6">
        <v>27275</v>
      </c>
      <c r="V1470" s="2">
        <v>47037013300</v>
      </c>
      <c r="W1470" s="2" t="s">
        <v>68</v>
      </c>
      <c r="X1470" s="1">
        <v>45658</v>
      </c>
      <c r="Y1470" s="2">
        <v>2000</v>
      </c>
      <c r="Z1470" s="2">
        <v>0</v>
      </c>
      <c r="AA1470" s="2">
        <v>2000</v>
      </c>
    </row>
    <row r="1471" spans="1:27" x14ac:dyDescent="0.3">
      <c r="A1471" s="3">
        <v>20</v>
      </c>
      <c r="B1471" s="2" t="str">
        <f>"09110033600"</f>
        <v>09110033600</v>
      </c>
      <c r="C1471" s="2" t="s">
        <v>5429</v>
      </c>
      <c r="D1471" t="s">
        <v>29</v>
      </c>
      <c r="E1471" s="2" t="s">
        <v>30</v>
      </c>
      <c r="F1471" s="2">
        <v>37209</v>
      </c>
      <c r="G1471" s="2" t="s">
        <v>64</v>
      </c>
      <c r="H1471" t="s">
        <v>211</v>
      </c>
      <c r="I1471" s="6">
        <v>40591</v>
      </c>
      <c r="J1471" s="2" t="s">
        <v>5430</v>
      </c>
      <c r="K1471" s="2">
        <v>0</v>
      </c>
      <c r="L1471" t="s">
        <v>35</v>
      </c>
      <c r="M1471" t="s">
        <v>29</v>
      </c>
      <c r="N1471" t="s">
        <v>30</v>
      </c>
      <c r="O1471">
        <v>37219</v>
      </c>
      <c r="P1471" t="s">
        <v>5431</v>
      </c>
      <c r="Q1471" s="2">
        <v>0.25</v>
      </c>
      <c r="R1471" s="2">
        <v>50</v>
      </c>
      <c r="S1471" s="2">
        <v>232</v>
      </c>
      <c r="T1471" t="s">
        <v>5432</v>
      </c>
      <c r="U1471" s="6">
        <v>27334</v>
      </c>
      <c r="V1471" s="2">
        <v>47037013300</v>
      </c>
      <c r="W1471" s="2" t="s">
        <v>68</v>
      </c>
      <c r="X1471" s="1">
        <v>45658</v>
      </c>
      <c r="Y1471" s="2">
        <v>2000</v>
      </c>
      <c r="Z1471" s="2">
        <v>0</v>
      </c>
      <c r="AA1471" s="2">
        <v>2000</v>
      </c>
    </row>
    <row r="1472" spans="1:27" x14ac:dyDescent="0.3">
      <c r="A1472" s="3">
        <v>20</v>
      </c>
      <c r="B1472" s="2" t="str">
        <f>"09110033700"</f>
        <v>09110033700</v>
      </c>
      <c r="C1472" s="2" t="s">
        <v>5433</v>
      </c>
      <c r="D1472" t="s">
        <v>29</v>
      </c>
      <c r="E1472" s="2" t="s">
        <v>30</v>
      </c>
      <c r="F1472" s="2">
        <v>37209</v>
      </c>
      <c r="G1472" s="2" t="s">
        <v>64</v>
      </c>
      <c r="H1472" t="s">
        <v>211</v>
      </c>
      <c r="I1472" s="6">
        <v>40612</v>
      </c>
      <c r="J1472" s="2" t="s">
        <v>5434</v>
      </c>
      <c r="K1472" s="2">
        <v>0</v>
      </c>
      <c r="L1472" t="s">
        <v>35</v>
      </c>
      <c r="M1472" t="s">
        <v>29</v>
      </c>
      <c r="N1472" t="s">
        <v>30</v>
      </c>
      <c r="O1472">
        <v>37219</v>
      </c>
      <c r="P1472" t="s">
        <v>5435</v>
      </c>
      <c r="Q1472" s="2">
        <v>0.3</v>
      </c>
      <c r="R1472" s="2">
        <v>50</v>
      </c>
      <c r="S1472" s="2">
        <v>232</v>
      </c>
      <c r="T1472" t="s">
        <v>5436</v>
      </c>
      <c r="U1472" s="6">
        <v>24064</v>
      </c>
      <c r="V1472" s="2">
        <v>47037013300</v>
      </c>
      <c r="W1472" s="2" t="s">
        <v>68</v>
      </c>
      <c r="X1472" s="1">
        <v>45658</v>
      </c>
      <c r="Y1472" s="2">
        <v>2000</v>
      </c>
      <c r="Z1472" s="2">
        <v>0</v>
      </c>
      <c r="AA1472" s="2">
        <v>2000</v>
      </c>
    </row>
    <row r="1473" spans="1:27" x14ac:dyDescent="0.3">
      <c r="A1473" s="3">
        <v>20</v>
      </c>
      <c r="B1473" s="2" t="str">
        <f>"09110033800"</f>
        <v>09110033800</v>
      </c>
      <c r="C1473" s="2" t="s">
        <v>5437</v>
      </c>
      <c r="D1473" t="s">
        <v>29</v>
      </c>
      <c r="E1473" s="2" t="s">
        <v>30</v>
      </c>
      <c r="F1473" s="2">
        <v>37209</v>
      </c>
      <c r="G1473" s="2" t="s">
        <v>64</v>
      </c>
      <c r="H1473" t="s">
        <v>211</v>
      </c>
      <c r="I1473" s="6">
        <v>40599</v>
      </c>
      <c r="J1473" s="2" t="s">
        <v>5438</v>
      </c>
      <c r="K1473" s="2">
        <v>0</v>
      </c>
      <c r="L1473" t="s">
        <v>35</v>
      </c>
      <c r="M1473" t="s">
        <v>29</v>
      </c>
      <c r="N1473" t="s">
        <v>30</v>
      </c>
      <c r="O1473">
        <v>37219</v>
      </c>
      <c r="P1473" t="s">
        <v>5439</v>
      </c>
      <c r="Q1473" s="2">
        <v>0.82</v>
      </c>
      <c r="R1473" s="2">
        <v>51</v>
      </c>
      <c r="S1473" s="2">
        <v>231</v>
      </c>
      <c r="T1473" t="s">
        <v>5440</v>
      </c>
      <c r="U1473" s="6">
        <v>26365</v>
      </c>
      <c r="V1473" s="2">
        <v>47037013300</v>
      </c>
      <c r="W1473" s="2" t="s">
        <v>68</v>
      </c>
      <c r="X1473" s="1">
        <v>45658</v>
      </c>
      <c r="Y1473" s="2">
        <v>2000</v>
      </c>
      <c r="Z1473" s="2">
        <v>0</v>
      </c>
      <c r="AA1473" s="2">
        <v>2000</v>
      </c>
    </row>
    <row r="1474" spans="1:27" x14ac:dyDescent="0.3">
      <c r="A1474" s="3">
        <v>20</v>
      </c>
      <c r="B1474" s="2" t="str">
        <f>"09110033900"</f>
        <v>09110033900</v>
      </c>
      <c r="C1474" s="2" t="s">
        <v>5441</v>
      </c>
      <c r="D1474" t="s">
        <v>29</v>
      </c>
      <c r="E1474" s="2" t="s">
        <v>30</v>
      </c>
      <c r="F1474" s="2">
        <v>37209</v>
      </c>
      <c r="G1474" s="2" t="s">
        <v>64</v>
      </c>
      <c r="H1474" t="s">
        <v>211</v>
      </c>
      <c r="I1474" s="6">
        <v>40603</v>
      </c>
      <c r="J1474" s="2" t="s">
        <v>5442</v>
      </c>
      <c r="K1474" s="2">
        <v>0</v>
      </c>
      <c r="L1474" t="s">
        <v>35</v>
      </c>
      <c r="M1474" t="s">
        <v>29</v>
      </c>
      <c r="N1474" t="s">
        <v>30</v>
      </c>
      <c r="O1474">
        <v>37219</v>
      </c>
      <c r="P1474" t="s">
        <v>5443</v>
      </c>
      <c r="Q1474" s="2">
        <v>0.16</v>
      </c>
      <c r="R1474" s="2">
        <v>92</v>
      </c>
      <c r="S1474" s="2">
        <v>146</v>
      </c>
      <c r="T1474" t="s">
        <v>5444</v>
      </c>
      <c r="U1474" s="6">
        <v>22034</v>
      </c>
      <c r="V1474" s="2">
        <v>47037013300</v>
      </c>
      <c r="W1474" s="2" t="s">
        <v>68</v>
      </c>
      <c r="X1474" s="1">
        <v>45658</v>
      </c>
      <c r="Y1474" s="2">
        <v>2000</v>
      </c>
      <c r="Z1474" s="2">
        <v>0</v>
      </c>
      <c r="AA1474" s="2">
        <v>2000</v>
      </c>
    </row>
    <row r="1475" spans="1:27" x14ac:dyDescent="0.3">
      <c r="A1475" s="3">
        <v>20</v>
      </c>
      <c r="B1475" s="2" t="str">
        <f>"09110034000"</f>
        <v>09110034000</v>
      </c>
      <c r="C1475" s="2" t="s">
        <v>5445</v>
      </c>
      <c r="D1475" t="s">
        <v>29</v>
      </c>
      <c r="E1475" s="2" t="s">
        <v>30</v>
      </c>
      <c r="F1475" s="2">
        <v>37209</v>
      </c>
      <c r="G1475" s="2" t="s">
        <v>64</v>
      </c>
      <c r="H1475" t="s">
        <v>211</v>
      </c>
      <c r="I1475" s="6">
        <v>40562</v>
      </c>
      <c r="J1475" s="2" t="s">
        <v>5446</v>
      </c>
      <c r="K1475" s="2">
        <v>0</v>
      </c>
      <c r="L1475" t="s">
        <v>35</v>
      </c>
      <c r="M1475" t="s">
        <v>29</v>
      </c>
      <c r="N1475" t="s">
        <v>30</v>
      </c>
      <c r="O1475">
        <v>37219</v>
      </c>
      <c r="P1475" t="s">
        <v>5447</v>
      </c>
      <c r="Q1475" s="2">
        <v>0.18</v>
      </c>
      <c r="R1475" s="2">
        <v>50</v>
      </c>
      <c r="S1475" s="2">
        <v>160</v>
      </c>
      <c r="T1475" t="s">
        <v>5448</v>
      </c>
      <c r="U1475" s="6">
        <v>27130</v>
      </c>
      <c r="V1475" s="2">
        <v>47037013300</v>
      </c>
      <c r="W1475" s="2" t="s">
        <v>68</v>
      </c>
      <c r="X1475" s="1">
        <v>45658</v>
      </c>
      <c r="Y1475" s="2">
        <v>2000</v>
      </c>
      <c r="Z1475" s="2">
        <v>0</v>
      </c>
      <c r="AA1475" s="2">
        <v>2000</v>
      </c>
    </row>
    <row r="1476" spans="1:27" x14ac:dyDescent="0.3">
      <c r="A1476" s="3">
        <v>20</v>
      </c>
      <c r="B1476" s="2" t="str">
        <f>"09110034100"</f>
        <v>09110034100</v>
      </c>
      <c r="C1476" s="2" t="s">
        <v>5449</v>
      </c>
      <c r="D1476" t="s">
        <v>29</v>
      </c>
      <c r="E1476" s="2" t="s">
        <v>30</v>
      </c>
      <c r="F1476" s="2">
        <v>37209</v>
      </c>
      <c r="G1476" s="2" t="s">
        <v>64</v>
      </c>
      <c r="H1476" t="s">
        <v>211</v>
      </c>
      <c r="I1476" s="6">
        <v>40616</v>
      </c>
      <c r="J1476" s="2" t="s">
        <v>5450</v>
      </c>
      <c r="K1476" s="2">
        <v>0</v>
      </c>
      <c r="L1476" t="s">
        <v>35</v>
      </c>
      <c r="M1476" t="s">
        <v>29</v>
      </c>
      <c r="N1476" t="s">
        <v>30</v>
      </c>
      <c r="O1476">
        <v>37219</v>
      </c>
      <c r="P1476" t="s">
        <v>5451</v>
      </c>
      <c r="Q1476" s="2">
        <v>0.18</v>
      </c>
      <c r="R1476" s="2">
        <v>50</v>
      </c>
      <c r="S1476" s="2">
        <v>168</v>
      </c>
      <c r="T1476" t="s">
        <v>5452</v>
      </c>
      <c r="U1476" s="6">
        <v>20107</v>
      </c>
      <c r="V1476" s="2">
        <v>47037013300</v>
      </c>
      <c r="W1476" s="2" t="s">
        <v>68</v>
      </c>
      <c r="X1476" s="1">
        <v>45658</v>
      </c>
      <c r="Y1476" s="2">
        <v>2000</v>
      </c>
      <c r="Z1476" s="2">
        <v>0</v>
      </c>
      <c r="AA1476" s="2">
        <v>2000</v>
      </c>
    </row>
    <row r="1477" spans="1:27" x14ac:dyDescent="0.3">
      <c r="A1477" s="3">
        <v>20</v>
      </c>
      <c r="B1477" s="2" t="str">
        <f>"09110036300"</f>
        <v>09110036300</v>
      </c>
      <c r="C1477" s="2" t="s">
        <v>5288</v>
      </c>
      <c r="D1477" t="s">
        <v>29</v>
      </c>
      <c r="E1477" s="2" t="s">
        <v>30</v>
      </c>
      <c r="F1477" s="2">
        <v>37209</v>
      </c>
      <c r="G1477" s="2" t="s">
        <v>64</v>
      </c>
      <c r="H1477" t="s">
        <v>211</v>
      </c>
      <c r="I1477" s="6">
        <v>29363</v>
      </c>
      <c r="J1477" s="2" t="s">
        <v>5453</v>
      </c>
      <c r="K1477" s="2">
        <v>148</v>
      </c>
      <c r="L1477" t="s">
        <v>35</v>
      </c>
      <c r="M1477" t="s">
        <v>29</v>
      </c>
      <c r="N1477" t="s">
        <v>30</v>
      </c>
      <c r="O1477">
        <v>37219</v>
      </c>
      <c r="P1477" t="s">
        <v>5290</v>
      </c>
      <c r="Q1477" s="2">
        <v>0.45</v>
      </c>
      <c r="R1477" s="2">
        <v>138</v>
      </c>
      <c r="S1477" s="2">
        <v>160</v>
      </c>
      <c r="T1477" t="s">
        <v>5454</v>
      </c>
      <c r="U1477" s="6">
        <v>21646</v>
      </c>
      <c r="V1477" s="2">
        <v>47037013300</v>
      </c>
      <c r="W1477" s="2" t="s">
        <v>68</v>
      </c>
      <c r="X1477" s="1">
        <v>45658</v>
      </c>
      <c r="Y1477" s="2">
        <v>2000</v>
      </c>
      <c r="Z1477" s="2">
        <v>0</v>
      </c>
      <c r="AA1477" s="2">
        <v>2000</v>
      </c>
    </row>
    <row r="1478" spans="1:27" x14ac:dyDescent="0.3">
      <c r="A1478" s="3">
        <v>20</v>
      </c>
      <c r="B1478" s="2" t="str">
        <f>"09110034300"</f>
        <v>09110034300</v>
      </c>
      <c r="C1478" s="2" t="s">
        <v>5455</v>
      </c>
      <c r="D1478" t="s">
        <v>29</v>
      </c>
      <c r="E1478" s="2" t="s">
        <v>30</v>
      </c>
      <c r="F1478" s="2">
        <v>37209</v>
      </c>
      <c r="G1478" s="2" t="s">
        <v>64</v>
      </c>
      <c r="H1478" t="s">
        <v>211</v>
      </c>
      <c r="I1478" s="6">
        <v>40591</v>
      </c>
      <c r="J1478" s="2" t="s">
        <v>5456</v>
      </c>
      <c r="K1478" s="2">
        <v>0</v>
      </c>
      <c r="L1478" t="s">
        <v>35</v>
      </c>
      <c r="M1478" t="s">
        <v>29</v>
      </c>
      <c r="N1478" t="s">
        <v>30</v>
      </c>
      <c r="O1478">
        <v>37219</v>
      </c>
      <c r="P1478" t="s">
        <v>5457</v>
      </c>
      <c r="Q1478" s="2">
        <v>0.21</v>
      </c>
      <c r="R1478" s="2">
        <v>50</v>
      </c>
      <c r="S1478" s="2">
        <v>175</v>
      </c>
      <c r="T1478" t="s">
        <v>5458</v>
      </c>
      <c r="U1478" s="6">
        <v>23380</v>
      </c>
      <c r="V1478" s="2">
        <v>47037013300</v>
      </c>
      <c r="W1478" s="2" t="s">
        <v>68</v>
      </c>
      <c r="X1478" s="1">
        <v>45658</v>
      </c>
      <c r="Y1478" s="2">
        <v>2000</v>
      </c>
      <c r="Z1478" s="2">
        <v>0</v>
      </c>
      <c r="AA1478" s="2">
        <v>2000</v>
      </c>
    </row>
    <row r="1479" spans="1:27" x14ac:dyDescent="0.3">
      <c r="A1479" s="3">
        <v>20</v>
      </c>
      <c r="B1479" s="2" t="str">
        <f>"09110034400"</f>
        <v>09110034400</v>
      </c>
      <c r="C1479" s="2" t="s">
        <v>5459</v>
      </c>
      <c r="D1479" t="s">
        <v>29</v>
      </c>
      <c r="E1479" s="2" t="s">
        <v>30</v>
      </c>
      <c r="F1479" s="2">
        <v>37209</v>
      </c>
      <c r="G1479" s="2" t="s">
        <v>64</v>
      </c>
      <c r="H1479" t="s">
        <v>211</v>
      </c>
      <c r="I1479" s="6">
        <v>40568</v>
      </c>
      <c r="J1479" s="2" t="s">
        <v>5460</v>
      </c>
      <c r="K1479" s="2">
        <v>0</v>
      </c>
      <c r="L1479" t="s">
        <v>35</v>
      </c>
      <c r="M1479" t="s">
        <v>29</v>
      </c>
      <c r="N1479" t="s">
        <v>30</v>
      </c>
      <c r="O1479">
        <v>37219</v>
      </c>
      <c r="P1479" t="s">
        <v>5461</v>
      </c>
      <c r="Q1479" s="2">
        <v>0.2</v>
      </c>
      <c r="R1479" s="2">
        <v>50</v>
      </c>
      <c r="S1479" s="2">
        <v>175</v>
      </c>
      <c r="T1479" t="s">
        <v>5462</v>
      </c>
      <c r="U1479" s="6">
        <v>26018</v>
      </c>
      <c r="V1479" s="2">
        <v>47037013300</v>
      </c>
      <c r="W1479" s="2" t="s">
        <v>68</v>
      </c>
      <c r="X1479" s="1">
        <v>45658</v>
      </c>
      <c r="Y1479" s="2">
        <v>2000</v>
      </c>
      <c r="Z1479" s="2">
        <v>0</v>
      </c>
      <c r="AA1479" s="2">
        <v>2000</v>
      </c>
    </row>
    <row r="1480" spans="1:27" x14ac:dyDescent="0.3">
      <c r="A1480" s="3">
        <v>20</v>
      </c>
      <c r="B1480" s="2" t="str">
        <f>"09110036200"</f>
        <v>09110036200</v>
      </c>
      <c r="C1480" s="2" t="s">
        <v>5288</v>
      </c>
      <c r="D1480" t="s">
        <v>29</v>
      </c>
      <c r="E1480" s="2" t="s">
        <v>30</v>
      </c>
      <c r="F1480" s="2">
        <v>37209</v>
      </c>
      <c r="G1480" s="2" t="s">
        <v>64</v>
      </c>
      <c r="H1480" t="s">
        <v>211</v>
      </c>
      <c r="I1480" s="6">
        <v>29363</v>
      </c>
      <c r="J1480" s="2" t="s">
        <v>5463</v>
      </c>
      <c r="K1480" s="2" t="s">
        <v>34</v>
      </c>
      <c r="L1480" t="s">
        <v>35</v>
      </c>
      <c r="M1480" t="s">
        <v>29</v>
      </c>
      <c r="N1480" t="s">
        <v>30</v>
      </c>
      <c r="O1480">
        <v>37219</v>
      </c>
      <c r="P1480" t="s">
        <v>5290</v>
      </c>
      <c r="Q1480" s="2">
        <v>0.39</v>
      </c>
      <c r="R1480" s="2">
        <v>102</v>
      </c>
      <c r="S1480" s="2">
        <v>187</v>
      </c>
      <c r="T1480" t="s">
        <v>5464</v>
      </c>
      <c r="U1480" s="6">
        <v>21656</v>
      </c>
      <c r="V1480" s="2">
        <v>47037013300</v>
      </c>
      <c r="W1480" s="2" t="s">
        <v>68</v>
      </c>
      <c r="X1480" s="1">
        <v>45658</v>
      </c>
      <c r="Y1480" s="2">
        <v>2000</v>
      </c>
      <c r="Z1480" s="2">
        <v>0</v>
      </c>
      <c r="AA1480" s="2">
        <v>2000</v>
      </c>
    </row>
    <row r="1481" spans="1:27" x14ac:dyDescent="0.3">
      <c r="A1481" s="3">
        <v>20</v>
      </c>
      <c r="B1481" s="2" t="str">
        <f>"09110034500"</f>
        <v>09110034500</v>
      </c>
      <c r="C1481" s="2" t="s">
        <v>5465</v>
      </c>
      <c r="D1481" t="s">
        <v>29</v>
      </c>
      <c r="E1481" s="2" t="s">
        <v>30</v>
      </c>
      <c r="F1481" s="2">
        <v>37209</v>
      </c>
      <c r="G1481" s="2" t="s">
        <v>64</v>
      </c>
      <c r="H1481" t="s">
        <v>211</v>
      </c>
      <c r="I1481" s="6">
        <v>40599</v>
      </c>
      <c r="J1481" s="2" t="s">
        <v>5466</v>
      </c>
      <c r="K1481" s="2">
        <v>0</v>
      </c>
      <c r="L1481" t="s">
        <v>35</v>
      </c>
      <c r="M1481" t="s">
        <v>29</v>
      </c>
      <c r="N1481" t="s">
        <v>30</v>
      </c>
      <c r="O1481">
        <v>37219</v>
      </c>
      <c r="P1481" t="s">
        <v>5467</v>
      </c>
      <c r="Q1481" s="2">
        <v>0.18</v>
      </c>
      <c r="R1481" s="2">
        <v>57</v>
      </c>
      <c r="S1481" s="2">
        <v>175</v>
      </c>
      <c r="T1481" t="s">
        <v>5468</v>
      </c>
      <c r="U1481" s="6">
        <v>24643</v>
      </c>
      <c r="V1481" s="2">
        <v>47037013300</v>
      </c>
      <c r="W1481" s="2" t="s">
        <v>68</v>
      </c>
      <c r="X1481" s="1">
        <v>45658</v>
      </c>
      <c r="Y1481" s="2">
        <v>2000</v>
      </c>
      <c r="Z1481" s="2">
        <v>0</v>
      </c>
      <c r="AA1481" s="2">
        <v>2000</v>
      </c>
    </row>
    <row r="1482" spans="1:27" x14ac:dyDescent="0.3">
      <c r="A1482" s="3">
        <v>20</v>
      </c>
      <c r="B1482" s="2" t="str">
        <f>"09110034600"</f>
        <v>09110034600</v>
      </c>
      <c r="C1482" s="2" t="s">
        <v>5469</v>
      </c>
      <c r="D1482" t="s">
        <v>29</v>
      </c>
      <c r="E1482" s="2" t="s">
        <v>30</v>
      </c>
      <c r="F1482" s="2">
        <v>37209</v>
      </c>
      <c r="G1482" s="2" t="s">
        <v>64</v>
      </c>
      <c r="H1482" t="s">
        <v>211</v>
      </c>
      <c r="I1482" s="6">
        <v>40527</v>
      </c>
      <c r="J1482" s="2" t="s">
        <v>5470</v>
      </c>
      <c r="K1482" s="2">
        <v>0</v>
      </c>
      <c r="L1482" t="s">
        <v>35</v>
      </c>
      <c r="M1482" t="s">
        <v>29</v>
      </c>
      <c r="N1482" t="s">
        <v>30</v>
      </c>
      <c r="O1482">
        <v>37219</v>
      </c>
      <c r="P1482" t="s">
        <v>5471</v>
      </c>
      <c r="Q1482" s="2">
        <v>0.18</v>
      </c>
      <c r="R1482" s="2">
        <v>57</v>
      </c>
      <c r="S1482" s="2">
        <v>173</v>
      </c>
      <c r="T1482" t="s">
        <v>5472</v>
      </c>
      <c r="U1482" s="6">
        <v>24682</v>
      </c>
      <c r="V1482" s="2">
        <v>47037013300</v>
      </c>
      <c r="W1482" s="2" t="s">
        <v>68</v>
      </c>
      <c r="X1482" s="1">
        <v>45658</v>
      </c>
      <c r="Y1482" s="2">
        <v>2000</v>
      </c>
      <c r="Z1482" s="2">
        <v>0</v>
      </c>
      <c r="AA1482" s="2">
        <v>2000</v>
      </c>
    </row>
    <row r="1483" spans="1:27" x14ac:dyDescent="0.3">
      <c r="A1483" s="3">
        <v>20</v>
      </c>
      <c r="B1483" s="2" t="str">
        <f>"09110036100"</f>
        <v>09110036100</v>
      </c>
      <c r="C1483" s="2" t="s">
        <v>5288</v>
      </c>
      <c r="D1483" t="s">
        <v>29</v>
      </c>
      <c r="E1483" s="2" t="s">
        <v>30</v>
      </c>
      <c r="F1483" s="2">
        <v>37209</v>
      </c>
      <c r="G1483" s="2" t="s">
        <v>64</v>
      </c>
      <c r="H1483" t="s">
        <v>211</v>
      </c>
      <c r="I1483" s="6">
        <v>40121</v>
      </c>
      <c r="J1483" s="2" t="s">
        <v>5473</v>
      </c>
      <c r="K1483" s="2">
        <v>401</v>
      </c>
      <c r="L1483" t="s">
        <v>35</v>
      </c>
      <c r="M1483" t="s">
        <v>29</v>
      </c>
      <c r="N1483" t="s">
        <v>30</v>
      </c>
      <c r="O1483">
        <v>37219</v>
      </c>
      <c r="P1483" t="s">
        <v>5290</v>
      </c>
      <c r="Q1483" s="2">
        <v>0.49</v>
      </c>
      <c r="R1483" s="2">
        <v>113</v>
      </c>
      <c r="S1483" s="2">
        <v>187</v>
      </c>
      <c r="T1483" t="s">
        <v>5474</v>
      </c>
      <c r="U1483" s="6">
        <v>21745</v>
      </c>
      <c r="V1483" s="2">
        <v>47037013300</v>
      </c>
      <c r="W1483" s="2" t="s">
        <v>68</v>
      </c>
      <c r="X1483" s="1">
        <v>45658</v>
      </c>
      <c r="Y1483" s="2">
        <v>2000</v>
      </c>
      <c r="Z1483" s="2">
        <v>0</v>
      </c>
      <c r="AA1483" s="2">
        <v>2000</v>
      </c>
    </row>
    <row r="1484" spans="1:27" x14ac:dyDescent="0.3">
      <c r="A1484" s="3">
        <v>20</v>
      </c>
      <c r="B1484" s="2" t="str">
        <f>"09110034700"</f>
        <v>09110034700</v>
      </c>
      <c r="C1484" s="2" t="s">
        <v>5475</v>
      </c>
      <c r="D1484" t="s">
        <v>29</v>
      </c>
      <c r="E1484" s="2" t="s">
        <v>30</v>
      </c>
      <c r="F1484" s="2">
        <v>37209</v>
      </c>
      <c r="G1484" s="2" t="s">
        <v>64</v>
      </c>
      <c r="H1484" t="s">
        <v>211</v>
      </c>
      <c r="I1484" s="6">
        <v>40613</v>
      </c>
      <c r="J1484" s="2" t="s">
        <v>5476</v>
      </c>
      <c r="K1484" s="2">
        <v>0</v>
      </c>
      <c r="L1484" t="s">
        <v>35</v>
      </c>
      <c r="M1484" t="s">
        <v>29</v>
      </c>
      <c r="N1484" t="s">
        <v>30</v>
      </c>
      <c r="O1484">
        <v>37219</v>
      </c>
      <c r="P1484" t="s">
        <v>5477</v>
      </c>
      <c r="Q1484" s="2">
        <v>0.16</v>
      </c>
      <c r="R1484" s="2">
        <v>57</v>
      </c>
      <c r="S1484" s="2">
        <v>166</v>
      </c>
      <c r="T1484" t="s">
        <v>5478</v>
      </c>
      <c r="U1484" s="6">
        <v>20516</v>
      </c>
      <c r="V1484" s="2">
        <v>47037013300</v>
      </c>
      <c r="W1484" s="2" t="s">
        <v>68</v>
      </c>
      <c r="X1484" s="1">
        <v>45658</v>
      </c>
      <c r="Y1484" s="2">
        <v>2000</v>
      </c>
      <c r="Z1484" s="2">
        <v>0</v>
      </c>
      <c r="AA1484" s="2">
        <v>2000</v>
      </c>
    </row>
    <row r="1485" spans="1:27" x14ac:dyDescent="0.3">
      <c r="A1485" s="3">
        <v>20</v>
      </c>
      <c r="B1485" s="2" t="str">
        <f>"09110034800"</f>
        <v>09110034800</v>
      </c>
      <c r="C1485" s="2" t="s">
        <v>5479</v>
      </c>
      <c r="D1485" t="s">
        <v>29</v>
      </c>
      <c r="E1485" s="2" t="s">
        <v>30</v>
      </c>
      <c r="F1485" s="2">
        <v>37209</v>
      </c>
      <c r="G1485" s="2" t="s">
        <v>64</v>
      </c>
      <c r="H1485" t="s">
        <v>211</v>
      </c>
      <c r="I1485" s="6">
        <v>40603</v>
      </c>
      <c r="J1485" s="2" t="s">
        <v>5480</v>
      </c>
      <c r="K1485" s="2">
        <v>0</v>
      </c>
      <c r="L1485" t="s">
        <v>35</v>
      </c>
      <c r="M1485" t="s">
        <v>29</v>
      </c>
      <c r="N1485" t="s">
        <v>30</v>
      </c>
      <c r="O1485">
        <v>37219</v>
      </c>
      <c r="P1485" t="s">
        <v>5481</v>
      </c>
      <c r="Q1485" s="2">
        <v>0.16</v>
      </c>
      <c r="R1485" s="2">
        <v>52</v>
      </c>
      <c r="S1485" s="2">
        <v>156</v>
      </c>
      <c r="T1485" t="s">
        <v>5482</v>
      </c>
      <c r="U1485" s="6">
        <v>24013</v>
      </c>
      <c r="V1485" s="2">
        <v>47037013300</v>
      </c>
      <c r="W1485" s="2" t="s">
        <v>68</v>
      </c>
      <c r="X1485" s="1">
        <v>45658</v>
      </c>
      <c r="Y1485" s="2">
        <v>2000</v>
      </c>
      <c r="Z1485" s="2">
        <v>0</v>
      </c>
      <c r="AA1485" s="2">
        <v>2000</v>
      </c>
    </row>
    <row r="1486" spans="1:27" x14ac:dyDescent="0.3">
      <c r="A1486" s="3">
        <v>20</v>
      </c>
      <c r="B1486" s="2" t="str">
        <f>"09110034900"</f>
        <v>09110034900</v>
      </c>
      <c r="C1486" s="2" t="s">
        <v>5483</v>
      </c>
      <c r="D1486" t="s">
        <v>29</v>
      </c>
      <c r="E1486" s="2" t="s">
        <v>30</v>
      </c>
      <c r="F1486" s="2">
        <v>37209</v>
      </c>
      <c r="G1486" s="2" t="s">
        <v>64</v>
      </c>
      <c r="H1486" t="s">
        <v>211</v>
      </c>
      <c r="I1486" s="6">
        <v>40603</v>
      </c>
      <c r="J1486" s="2" t="s">
        <v>5484</v>
      </c>
      <c r="K1486" s="2">
        <v>0</v>
      </c>
      <c r="L1486" t="s">
        <v>35</v>
      </c>
      <c r="M1486" t="s">
        <v>29</v>
      </c>
      <c r="N1486" t="s">
        <v>30</v>
      </c>
      <c r="O1486">
        <v>37219</v>
      </c>
      <c r="P1486" t="s">
        <v>5485</v>
      </c>
      <c r="Q1486" s="2">
        <v>0.15</v>
      </c>
      <c r="R1486" s="2">
        <v>50</v>
      </c>
      <c r="S1486" s="2">
        <v>137</v>
      </c>
      <c r="T1486" t="s">
        <v>5486</v>
      </c>
      <c r="U1486" s="6">
        <v>21125</v>
      </c>
      <c r="V1486" s="2">
        <v>47037013300</v>
      </c>
      <c r="W1486" s="2" t="s">
        <v>68</v>
      </c>
      <c r="X1486" s="1">
        <v>45658</v>
      </c>
      <c r="Y1486" s="2">
        <v>2000</v>
      </c>
      <c r="Z1486" s="2">
        <v>0</v>
      </c>
      <c r="AA1486" s="2">
        <v>2000</v>
      </c>
    </row>
    <row r="1487" spans="1:27" x14ac:dyDescent="0.3">
      <c r="A1487" s="3">
        <v>20</v>
      </c>
      <c r="B1487" s="2" t="str">
        <f>"09110035500"</f>
        <v>09110035500</v>
      </c>
      <c r="C1487" s="2" t="s">
        <v>5487</v>
      </c>
      <c r="D1487" t="s">
        <v>29</v>
      </c>
      <c r="E1487" s="2" t="s">
        <v>30</v>
      </c>
      <c r="F1487" s="2">
        <v>37209</v>
      </c>
      <c r="G1487" s="2" t="s">
        <v>64</v>
      </c>
      <c r="H1487" t="s">
        <v>211</v>
      </c>
      <c r="I1487" s="6">
        <v>40723</v>
      </c>
      <c r="J1487" s="2" t="s">
        <v>5488</v>
      </c>
      <c r="K1487" s="2">
        <v>0</v>
      </c>
      <c r="L1487" t="s">
        <v>35</v>
      </c>
      <c r="M1487" t="s">
        <v>29</v>
      </c>
      <c r="N1487" t="s">
        <v>30</v>
      </c>
      <c r="O1487">
        <v>37219</v>
      </c>
      <c r="P1487" t="s">
        <v>5489</v>
      </c>
      <c r="Q1487" s="2">
        <v>0.15</v>
      </c>
      <c r="R1487" s="2">
        <v>24</v>
      </c>
      <c r="S1487" s="2">
        <v>108</v>
      </c>
      <c r="T1487" t="s">
        <v>5490</v>
      </c>
      <c r="U1487" s="6">
        <v>22816</v>
      </c>
      <c r="V1487" s="2">
        <v>47037013300</v>
      </c>
      <c r="W1487" s="2" t="s">
        <v>68</v>
      </c>
      <c r="X1487" s="1">
        <v>45658</v>
      </c>
      <c r="Y1487" s="2">
        <v>2000</v>
      </c>
      <c r="Z1487" s="2">
        <v>0</v>
      </c>
      <c r="AA1487" s="2">
        <v>2000</v>
      </c>
    </row>
    <row r="1488" spans="1:27" x14ac:dyDescent="0.3">
      <c r="A1488" s="3">
        <v>20</v>
      </c>
      <c r="B1488" s="2" t="str">
        <f>"09110035600"</f>
        <v>09110035600</v>
      </c>
      <c r="C1488" s="2" t="s">
        <v>5296</v>
      </c>
      <c r="D1488" t="s">
        <v>29</v>
      </c>
      <c r="E1488" s="2" t="s">
        <v>30</v>
      </c>
      <c r="F1488" s="2">
        <v>37209</v>
      </c>
      <c r="G1488" s="2" t="s">
        <v>64</v>
      </c>
      <c r="H1488" t="s">
        <v>211</v>
      </c>
      <c r="I1488" s="6">
        <v>28236</v>
      </c>
      <c r="J1488" s="2" t="s">
        <v>5491</v>
      </c>
      <c r="K1488" s="2">
        <v>219</v>
      </c>
      <c r="L1488" t="s">
        <v>35</v>
      </c>
      <c r="M1488" t="s">
        <v>29</v>
      </c>
      <c r="N1488" t="s">
        <v>30</v>
      </c>
      <c r="O1488">
        <v>37219</v>
      </c>
      <c r="P1488" t="s">
        <v>5492</v>
      </c>
      <c r="Q1488" s="2">
        <v>0.27</v>
      </c>
      <c r="R1488" s="2">
        <v>50</v>
      </c>
      <c r="S1488" s="2">
        <v>170</v>
      </c>
      <c r="T1488" t="s">
        <v>5490</v>
      </c>
      <c r="U1488" s="6">
        <v>22816</v>
      </c>
      <c r="V1488" s="2">
        <v>47037013300</v>
      </c>
      <c r="W1488" s="2" t="s">
        <v>68</v>
      </c>
      <c r="X1488" s="1">
        <v>45658</v>
      </c>
      <c r="Y1488" s="2">
        <v>2000</v>
      </c>
      <c r="Z1488" s="2">
        <v>0</v>
      </c>
      <c r="AA1488" s="2">
        <v>2000</v>
      </c>
    </row>
    <row r="1489" spans="1:27" x14ac:dyDescent="0.3">
      <c r="A1489" s="3">
        <v>20</v>
      </c>
      <c r="B1489" s="2" t="str">
        <f>"09110040100"</f>
        <v>09110040100</v>
      </c>
      <c r="C1489" s="2" t="s">
        <v>5493</v>
      </c>
      <c r="D1489" t="s">
        <v>29</v>
      </c>
      <c r="E1489" s="2" t="s">
        <v>30</v>
      </c>
      <c r="F1489" s="2">
        <v>37209</v>
      </c>
      <c r="G1489" s="2" t="s">
        <v>64</v>
      </c>
      <c r="H1489" t="s">
        <v>211</v>
      </c>
      <c r="I1489" s="6">
        <v>40591</v>
      </c>
      <c r="J1489" s="2" t="s">
        <v>5494</v>
      </c>
      <c r="K1489" s="2">
        <v>0</v>
      </c>
      <c r="L1489" t="s">
        <v>35</v>
      </c>
      <c r="M1489" t="s">
        <v>29</v>
      </c>
      <c r="N1489" t="s">
        <v>30</v>
      </c>
      <c r="O1489">
        <v>37219</v>
      </c>
      <c r="P1489" t="s">
        <v>5495</v>
      </c>
      <c r="Q1489" s="2">
        <v>0.17</v>
      </c>
      <c r="R1489" s="2">
        <v>60</v>
      </c>
      <c r="S1489" s="2">
        <v>108</v>
      </c>
      <c r="T1489" t="s">
        <v>5496</v>
      </c>
      <c r="U1489" s="6">
        <v>27180</v>
      </c>
      <c r="V1489" s="2">
        <v>47037013300</v>
      </c>
      <c r="W1489" s="2" t="s">
        <v>68</v>
      </c>
      <c r="X1489" s="1">
        <v>45658</v>
      </c>
      <c r="Y1489" s="2">
        <v>2000</v>
      </c>
      <c r="Z1489" s="2">
        <v>0</v>
      </c>
      <c r="AA1489" s="2">
        <v>2000</v>
      </c>
    </row>
    <row r="1490" spans="1:27" x14ac:dyDescent="0.3">
      <c r="A1490" s="3">
        <v>20</v>
      </c>
      <c r="B1490" s="2" t="str">
        <f>"09110040000"</f>
        <v>09110040000</v>
      </c>
      <c r="C1490" s="2" t="s">
        <v>5296</v>
      </c>
      <c r="D1490" t="s">
        <v>29</v>
      </c>
      <c r="E1490" s="2" t="s">
        <v>30</v>
      </c>
      <c r="F1490" s="2">
        <v>37209</v>
      </c>
      <c r="G1490" s="2" t="s">
        <v>64</v>
      </c>
      <c r="H1490" t="s">
        <v>211</v>
      </c>
      <c r="I1490" s="6">
        <v>41586</v>
      </c>
      <c r="J1490" s="2" t="s">
        <v>5497</v>
      </c>
      <c r="K1490" s="2">
        <v>0</v>
      </c>
      <c r="L1490" t="s">
        <v>343</v>
      </c>
      <c r="M1490" t="s">
        <v>29</v>
      </c>
      <c r="N1490" t="s">
        <v>30</v>
      </c>
      <c r="O1490">
        <v>37201</v>
      </c>
      <c r="P1490" t="s">
        <v>5498</v>
      </c>
      <c r="Q1490" s="2">
        <v>1.18</v>
      </c>
      <c r="R1490" s="2">
        <v>280</v>
      </c>
      <c r="S1490" s="2">
        <v>161</v>
      </c>
      <c r="T1490" t="s">
        <v>5499</v>
      </c>
      <c r="U1490" s="6">
        <v>37148</v>
      </c>
      <c r="V1490" s="2">
        <v>47037013300</v>
      </c>
      <c r="W1490" s="2" t="s">
        <v>68</v>
      </c>
      <c r="X1490" s="1">
        <v>45658</v>
      </c>
      <c r="Y1490" s="2">
        <v>2400</v>
      </c>
      <c r="Z1490" s="2">
        <v>0</v>
      </c>
      <c r="AA1490" s="2">
        <v>2400</v>
      </c>
    </row>
    <row r="1491" spans="1:27" x14ac:dyDescent="0.3">
      <c r="A1491" s="3">
        <v>20</v>
      </c>
      <c r="B1491" s="2" t="str">
        <f>"09110001700"</f>
        <v>09110001700</v>
      </c>
      <c r="C1491" s="2" t="s">
        <v>5500</v>
      </c>
      <c r="D1491" t="s">
        <v>29</v>
      </c>
      <c r="E1491" s="2" t="s">
        <v>30</v>
      </c>
      <c r="F1491" s="2">
        <v>37209</v>
      </c>
      <c r="G1491" s="2" t="s">
        <v>64</v>
      </c>
      <c r="H1491" t="s">
        <v>211</v>
      </c>
      <c r="I1491" s="6">
        <v>28948</v>
      </c>
      <c r="J1491" s="2" t="s">
        <v>5501</v>
      </c>
      <c r="K1491" s="2">
        <v>462</v>
      </c>
      <c r="L1491" t="s">
        <v>35</v>
      </c>
      <c r="M1491" t="s">
        <v>29</v>
      </c>
      <c r="N1491" t="s">
        <v>30</v>
      </c>
      <c r="O1491">
        <v>37219</v>
      </c>
      <c r="P1491" t="s">
        <v>5502</v>
      </c>
      <c r="Q1491" s="2">
        <v>1.19</v>
      </c>
      <c r="R1491" s="2">
        <v>0</v>
      </c>
      <c r="S1491" s="2">
        <v>0</v>
      </c>
      <c r="T1491" t="s">
        <v>5503</v>
      </c>
      <c r="U1491" s="6">
        <v>20381</v>
      </c>
      <c r="V1491" s="2">
        <v>47037013300</v>
      </c>
      <c r="W1491" s="2" t="s">
        <v>68</v>
      </c>
      <c r="X1491" s="1">
        <v>45658</v>
      </c>
      <c r="Y1491" s="2">
        <v>2400</v>
      </c>
      <c r="Z1491" s="2">
        <v>0</v>
      </c>
      <c r="AA1491" s="2">
        <v>2400</v>
      </c>
    </row>
    <row r="1492" spans="1:27" x14ac:dyDescent="0.3">
      <c r="A1492" s="3">
        <v>20</v>
      </c>
      <c r="B1492" s="2" t="str">
        <f>"09105017200"</f>
        <v>09105017200</v>
      </c>
      <c r="C1492" s="2" t="s">
        <v>5504</v>
      </c>
      <c r="D1492" t="s">
        <v>29</v>
      </c>
      <c r="E1492" s="2" t="s">
        <v>30</v>
      </c>
      <c r="F1492" s="2">
        <v>37209</v>
      </c>
      <c r="G1492" s="2" t="s">
        <v>200</v>
      </c>
      <c r="H1492" t="s">
        <v>5505</v>
      </c>
      <c r="I1492" s="6">
        <v>18898</v>
      </c>
      <c r="J1492" s="2" t="s">
        <v>5506</v>
      </c>
      <c r="K1492" s="2">
        <v>0</v>
      </c>
      <c r="L1492" t="s">
        <v>35</v>
      </c>
      <c r="M1492" t="s">
        <v>29</v>
      </c>
      <c r="N1492" t="s">
        <v>30</v>
      </c>
      <c r="O1492">
        <v>37219</v>
      </c>
      <c r="P1492" t="s">
        <v>5507</v>
      </c>
      <c r="Q1492" s="2">
        <v>33.049999999999997</v>
      </c>
      <c r="R1492" s="2">
        <v>0</v>
      </c>
      <c r="S1492" s="2">
        <v>0</v>
      </c>
      <c r="T1492" t="s">
        <v>278</v>
      </c>
      <c r="U1492" s="6">
        <v>36580</v>
      </c>
      <c r="V1492" s="2">
        <v>47037013300</v>
      </c>
      <c r="W1492" s="2" t="s">
        <v>68</v>
      </c>
      <c r="X1492" s="1">
        <v>45658</v>
      </c>
      <c r="Y1492" s="2">
        <v>66100</v>
      </c>
      <c r="Z1492" s="2">
        <v>0</v>
      </c>
      <c r="AA1492" s="2">
        <v>66100</v>
      </c>
    </row>
    <row r="1493" spans="1:27" x14ac:dyDescent="0.3">
      <c r="A1493" s="3">
        <v>20</v>
      </c>
      <c r="B1493" s="2" t="str">
        <f>"07900005700"</f>
        <v>07900005700</v>
      </c>
      <c r="C1493" s="2" t="s">
        <v>5508</v>
      </c>
      <c r="D1493" t="s">
        <v>29</v>
      </c>
      <c r="E1493" s="2" t="s">
        <v>30</v>
      </c>
      <c r="F1493" s="2">
        <v>37209</v>
      </c>
      <c r="G1493" s="2" t="s">
        <v>1485</v>
      </c>
      <c r="H1493" t="s">
        <v>5509</v>
      </c>
      <c r="I1493" s="6">
        <v>33297</v>
      </c>
      <c r="J1493" s="2" t="s">
        <v>5510</v>
      </c>
      <c r="K1493" s="2">
        <v>787636</v>
      </c>
      <c r="L1493" t="s">
        <v>35</v>
      </c>
      <c r="M1493" t="s">
        <v>29</v>
      </c>
      <c r="N1493" t="s">
        <v>30</v>
      </c>
      <c r="O1493">
        <v>37219</v>
      </c>
      <c r="P1493" t="s">
        <v>5511</v>
      </c>
      <c r="Q1493" s="2">
        <v>6.53</v>
      </c>
      <c r="R1493" s="2">
        <v>0</v>
      </c>
      <c r="S1493" s="2">
        <v>0</v>
      </c>
      <c r="T1493" t="s">
        <v>5510</v>
      </c>
      <c r="U1493" s="6">
        <v>33297</v>
      </c>
      <c r="V1493" s="2">
        <v>47037013000</v>
      </c>
      <c r="W1493" s="2" t="s">
        <v>68</v>
      </c>
      <c r="X1493" s="1">
        <v>45658</v>
      </c>
      <c r="Y1493" s="2">
        <v>992600</v>
      </c>
      <c r="Z1493" s="2">
        <v>0</v>
      </c>
      <c r="AA1493" s="2">
        <v>992600</v>
      </c>
    </row>
    <row r="1494" spans="1:27" x14ac:dyDescent="0.3">
      <c r="A1494" s="3">
        <v>20</v>
      </c>
      <c r="B1494" s="2" t="str">
        <f>"10203019500"</f>
        <v>10203019500</v>
      </c>
      <c r="C1494" s="2" t="s">
        <v>5512</v>
      </c>
      <c r="D1494" t="s">
        <v>29</v>
      </c>
      <c r="E1494" s="2" t="s">
        <v>30</v>
      </c>
      <c r="F1494" s="2">
        <v>37209</v>
      </c>
      <c r="G1494" s="2" t="s">
        <v>64</v>
      </c>
      <c r="H1494" t="s">
        <v>1332</v>
      </c>
      <c r="I1494" s="6">
        <v>28383</v>
      </c>
      <c r="J1494" s="2" t="s">
        <v>5513</v>
      </c>
      <c r="K1494" s="2">
        <v>223</v>
      </c>
      <c r="L1494" t="s">
        <v>35</v>
      </c>
      <c r="M1494" t="s">
        <v>29</v>
      </c>
      <c r="N1494" t="s">
        <v>30</v>
      </c>
      <c r="O1494">
        <v>37219</v>
      </c>
      <c r="P1494" t="s">
        <v>5514</v>
      </c>
      <c r="Q1494" s="2">
        <v>0.11</v>
      </c>
      <c r="R1494" s="2">
        <v>209</v>
      </c>
      <c r="S1494" s="2">
        <v>222</v>
      </c>
      <c r="T1494" t="s">
        <v>5515</v>
      </c>
      <c r="U1494" s="6">
        <v>24107</v>
      </c>
      <c r="V1494" s="2">
        <v>47037018101</v>
      </c>
      <c r="W1494" s="2" t="s">
        <v>68</v>
      </c>
      <c r="X1494" s="1">
        <v>45658</v>
      </c>
      <c r="Y1494" s="2">
        <v>800</v>
      </c>
      <c r="Z1494" s="2">
        <v>0</v>
      </c>
      <c r="AA1494" s="2">
        <v>800</v>
      </c>
    </row>
    <row r="1495" spans="1:27" x14ac:dyDescent="0.3">
      <c r="A1495" s="3">
        <v>20</v>
      </c>
      <c r="B1495" s="2" t="str">
        <f>"10203019300"</f>
        <v>10203019300</v>
      </c>
      <c r="C1495" s="2" t="s">
        <v>5516</v>
      </c>
      <c r="D1495" t="s">
        <v>29</v>
      </c>
      <c r="E1495" s="2" t="s">
        <v>30</v>
      </c>
      <c r="F1495" s="2">
        <v>37209</v>
      </c>
      <c r="G1495" s="2" t="s">
        <v>64</v>
      </c>
      <c r="H1495" t="s">
        <v>1332</v>
      </c>
      <c r="I1495" s="6">
        <v>33073</v>
      </c>
      <c r="J1495" s="2" t="s">
        <v>5517</v>
      </c>
      <c r="K1495" s="2" t="s">
        <v>34</v>
      </c>
      <c r="L1495" t="s">
        <v>35</v>
      </c>
      <c r="M1495" t="s">
        <v>29</v>
      </c>
      <c r="N1495" t="s">
        <v>30</v>
      </c>
      <c r="O1495">
        <v>37219</v>
      </c>
      <c r="P1495" t="s">
        <v>5518</v>
      </c>
      <c r="Q1495" s="2">
        <v>0.02</v>
      </c>
      <c r="R1495" s="2">
        <v>35</v>
      </c>
      <c r="S1495" s="2">
        <v>185</v>
      </c>
      <c r="T1495" t="s">
        <v>5519</v>
      </c>
      <c r="U1495" s="6">
        <v>37657</v>
      </c>
      <c r="V1495" s="2">
        <v>47037018101</v>
      </c>
      <c r="W1495" s="2" t="s">
        <v>68</v>
      </c>
      <c r="X1495" s="1">
        <v>45658</v>
      </c>
      <c r="Y1495" s="2">
        <v>800</v>
      </c>
      <c r="Z1495" s="2">
        <v>0</v>
      </c>
      <c r="AA1495" s="2">
        <v>800</v>
      </c>
    </row>
    <row r="1496" spans="1:27" x14ac:dyDescent="0.3">
      <c r="A1496" s="3">
        <v>20</v>
      </c>
      <c r="B1496" s="2" t="str">
        <f>"10203019400"</f>
        <v>10203019400</v>
      </c>
      <c r="C1496" s="2" t="s">
        <v>5512</v>
      </c>
      <c r="D1496" t="s">
        <v>29</v>
      </c>
      <c r="E1496" s="2" t="s">
        <v>30</v>
      </c>
      <c r="F1496" s="2">
        <v>37209</v>
      </c>
      <c r="G1496" s="2" t="s">
        <v>64</v>
      </c>
      <c r="H1496" t="s">
        <v>1332</v>
      </c>
      <c r="I1496" s="6">
        <v>28383</v>
      </c>
      <c r="J1496" s="2" t="s">
        <v>5520</v>
      </c>
      <c r="K1496" s="2">
        <v>190</v>
      </c>
      <c r="L1496" t="s">
        <v>35</v>
      </c>
      <c r="M1496" t="s">
        <v>29</v>
      </c>
      <c r="N1496" t="s">
        <v>30</v>
      </c>
      <c r="O1496">
        <v>37219</v>
      </c>
      <c r="P1496" t="s">
        <v>5514</v>
      </c>
      <c r="Q1496" s="2">
        <v>0.01</v>
      </c>
      <c r="R1496" s="2">
        <v>150</v>
      </c>
      <c r="S1496" s="2">
        <v>154</v>
      </c>
      <c r="T1496" t="s">
        <v>5515</v>
      </c>
      <c r="U1496" s="6">
        <v>24107</v>
      </c>
      <c r="V1496" s="2">
        <v>47037018101</v>
      </c>
      <c r="W1496" s="2" t="s">
        <v>68</v>
      </c>
      <c r="X1496" s="1">
        <v>45658</v>
      </c>
      <c r="Y1496" s="2">
        <v>800</v>
      </c>
      <c r="Z1496" s="2">
        <v>0</v>
      </c>
      <c r="AA1496" s="2">
        <v>800</v>
      </c>
    </row>
    <row r="1497" spans="1:27" x14ac:dyDescent="0.3">
      <c r="A1497" s="3">
        <v>20</v>
      </c>
      <c r="B1497" s="2" t="str">
        <f>"09105019000"</f>
        <v>09105019000</v>
      </c>
      <c r="C1497" s="2" t="s">
        <v>5310</v>
      </c>
      <c r="D1497" t="s">
        <v>29</v>
      </c>
      <c r="E1497" s="2" t="s">
        <v>30</v>
      </c>
      <c r="F1497" s="2">
        <v>37209</v>
      </c>
      <c r="G1497" s="2" t="s">
        <v>1485</v>
      </c>
      <c r="H1497" t="s">
        <v>237</v>
      </c>
      <c r="I1497" s="6">
        <v>25168</v>
      </c>
      <c r="J1497" s="2" t="s">
        <v>5521</v>
      </c>
      <c r="K1497" s="2" t="s">
        <v>34</v>
      </c>
      <c r="L1497" t="s">
        <v>35</v>
      </c>
      <c r="M1497" t="s">
        <v>29</v>
      </c>
      <c r="N1497" t="s">
        <v>30</v>
      </c>
      <c r="O1497">
        <v>37219</v>
      </c>
      <c r="P1497" t="s">
        <v>5522</v>
      </c>
      <c r="Q1497" s="2">
        <v>0.78</v>
      </c>
      <c r="R1497" s="2">
        <v>190</v>
      </c>
      <c r="S1497" s="2">
        <v>250</v>
      </c>
      <c r="T1497" t="s">
        <v>5523</v>
      </c>
      <c r="U1497" s="6">
        <v>37230</v>
      </c>
      <c r="V1497" s="2">
        <v>47037013300</v>
      </c>
      <c r="W1497" s="2" t="s">
        <v>68</v>
      </c>
      <c r="X1497" s="1">
        <v>45658</v>
      </c>
      <c r="Y1497" s="2">
        <v>146300</v>
      </c>
      <c r="Z1497" s="2">
        <v>0</v>
      </c>
      <c r="AA1497" s="2">
        <v>146300</v>
      </c>
    </row>
    <row r="1498" spans="1:27" x14ac:dyDescent="0.3">
      <c r="A1498" s="3">
        <v>20</v>
      </c>
      <c r="B1498" s="2" t="str">
        <f>"09110041100"</f>
        <v>09110041100</v>
      </c>
      <c r="C1498" s="2" t="s">
        <v>5500</v>
      </c>
      <c r="D1498" t="s">
        <v>29</v>
      </c>
      <c r="E1498" s="2" t="s">
        <v>30</v>
      </c>
      <c r="F1498" s="2">
        <v>37209</v>
      </c>
      <c r="G1498" s="2" t="s">
        <v>64</v>
      </c>
      <c r="H1498" t="s">
        <v>237</v>
      </c>
      <c r="I1498" s="6">
        <v>25178</v>
      </c>
      <c r="J1498" s="2" t="s">
        <v>5524</v>
      </c>
      <c r="K1498" s="2" t="s">
        <v>34</v>
      </c>
      <c r="L1498" t="s">
        <v>35</v>
      </c>
      <c r="M1498" t="s">
        <v>29</v>
      </c>
      <c r="N1498" t="s">
        <v>30</v>
      </c>
      <c r="O1498">
        <v>37219</v>
      </c>
      <c r="P1498" t="s">
        <v>5525</v>
      </c>
      <c r="Q1498" s="2">
        <v>5.75</v>
      </c>
      <c r="R1498" s="2">
        <v>0</v>
      </c>
      <c r="S1498" s="2">
        <v>0</v>
      </c>
      <c r="T1498" t="s">
        <v>5523</v>
      </c>
      <c r="U1498" s="6">
        <v>37230</v>
      </c>
      <c r="V1498" s="2">
        <v>47037013300</v>
      </c>
      <c r="W1498" s="2" t="s">
        <v>68</v>
      </c>
      <c r="X1498" s="1">
        <v>45658</v>
      </c>
      <c r="Y1498" s="2">
        <v>11500</v>
      </c>
      <c r="Z1498" s="2">
        <v>0</v>
      </c>
      <c r="AA1498" s="2">
        <v>11500</v>
      </c>
    </row>
    <row r="1499" spans="1:27" x14ac:dyDescent="0.3">
      <c r="A1499" s="3">
        <v>20</v>
      </c>
      <c r="B1499" s="2" t="str">
        <f>"09016016900"</f>
        <v>09016016900</v>
      </c>
      <c r="C1499" s="2" t="s">
        <v>5526</v>
      </c>
      <c r="D1499" t="s">
        <v>29</v>
      </c>
      <c r="E1499" s="2" t="s">
        <v>30</v>
      </c>
      <c r="F1499" s="2">
        <v>37209</v>
      </c>
      <c r="G1499" s="2" t="s">
        <v>253</v>
      </c>
      <c r="H1499" t="s">
        <v>5527</v>
      </c>
      <c r="I1499" s="6">
        <v>21360</v>
      </c>
      <c r="J1499" s="2" t="s">
        <v>5528</v>
      </c>
      <c r="K1499" s="2" t="s">
        <v>34</v>
      </c>
      <c r="L1499" t="s">
        <v>35</v>
      </c>
      <c r="M1499" t="s">
        <v>29</v>
      </c>
      <c r="N1499" t="s">
        <v>30</v>
      </c>
      <c r="O1499">
        <v>37219</v>
      </c>
      <c r="P1499" t="s">
        <v>5529</v>
      </c>
      <c r="Q1499" s="2">
        <v>10.58</v>
      </c>
      <c r="R1499" s="2">
        <v>0</v>
      </c>
      <c r="S1499" s="2">
        <v>0</v>
      </c>
      <c r="T1499" t="s">
        <v>5528</v>
      </c>
      <c r="U1499" s="6">
        <v>21360</v>
      </c>
      <c r="V1499" s="2">
        <v>47037013201</v>
      </c>
      <c r="W1499" s="2" t="s">
        <v>68</v>
      </c>
      <c r="X1499" s="1">
        <v>45658</v>
      </c>
      <c r="Y1499" s="2">
        <v>650300</v>
      </c>
      <c r="Z1499" s="2">
        <v>0</v>
      </c>
      <c r="AA1499" s="2">
        <v>650300</v>
      </c>
    </row>
    <row r="1500" spans="1:27" x14ac:dyDescent="0.3">
      <c r="A1500" s="3">
        <v>20</v>
      </c>
      <c r="B1500" s="2" t="str">
        <f>"09111028400"</f>
        <v>09111028400</v>
      </c>
      <c r="C1500" s="2" t="s">
        <v>5530</v>
      </c>
      <c r="D1500" t="s">
        <v>29</v>
      </c>
      <c r="E1500" s="2" t="s">
        <v>30</v>
      </c>
      <c r="F1500" s="2">
        <v>37209</v>
      </c>
      <c r="G1500" s="2" t="s">
        <v>253</v>
      </c>
      <c r="H1500" t="s">
        <v>5531</v>
      </c>
      <c r="I1500" s="6">
        <v>14374</v>
      </c>
      <c r="J1500" s="2" t="s">
        <v>5532</v>
      </c>
      <c r="K1500" s="2" t="s">
        <v>34</v>
      </c>
      <c r="L1500" t="s">
        <v>35</v>
      </c>
      <c r="M1500" t="s">
        <v>29</v>
      </c>
      <c r="N1500" t="s">
        <v>30</v>
      </c>
      <c r="O1500">
        <v>37219</v>
      </c>
      <c r="P1500" t="s">
        <v>5533</v>
      </c>
      <c r="Q1500" s="2">
        <v>11.3</v>
      </c>
      <c r="R1500" s="2">
        <v>0</v>
      </c>
      <c r="S1500" s="2">
        <v>0</v>
      </c>
      <c r="T1500" t="s">
        <v>5532</v>
      </c>
      <c r="U1500" s="6">
        <v>14374</v>
      </c>
      <c r="V1500" s="2">
        <v>47037013300</v>
      </c>
      <c r="W1500" s="2" t="s">
        <v>68</v>
      </c>
      <c r="X1500" s="1">
        <v>45658</v>
      </c>
      <c r="Y1500" s="2">
        <v>443400</v>
      </c>
      <c r="Z1500" s="2">
        <v>0</v>
      </c>
      <c r="AA1500" s="2">
        <v>443400</v>
      </c>
    </row>
    <row r="1501" spans="1:27" x14ac:dyDescent="0.3">
      <c r="A1501" s="3">
        <v>20</v>
      </c>
      <c r="B1501" s="2" t="str">
        <f>"09106021600"</f>
        <v>09106021600</v>
      </c>
      <c r="C1501" s="2" t="s">
        <v>5534</v>
      </c>
      <c r="D1501" t="s">
        <v>29</v>
      </c>
      <c r="E1501" s="2" t="s">
        <v>30</v>
      </c>
      <c r="F1501" s="2">
        <v>37209</v>
      </c>
      <c r="G1501" s="2" t="s">
        <v>253</v>
      </c>
      <c r="H1501" t="s">
        <v>5535</v>
      </c>
      <c r="I1501" s="6">
        <v>27395</v>
      </c>
      <c r="J1501" s="2" t="s">
        <v>5536</v>
      </c>
      <c r="K1501" s="2" t="s">
        <v>34</v>
      </c>
      <c r="L1501" t="s">
        <v>35</v>
      </c>
      <c r="M1501" t="s">
        <v>29</v>
      </c>
      <c r="N1501" t="s">
        <v>30</v>
      </c>
      <c r="O1501">
        <v>37219</v>
      </c>
      <c r="P1501" t="s">
        <v>5537</v>
      </c>
      <c r="Q1501" s="2">
        <v>2.41</v>
      </c>
      <c r="R1501" s="2">
        <v>325</v>
      </c>
      <c r="S1501" s="2">
        <v>320</v>
      </c>
      <c r="T1501" t="s">
        <v>5538</v>
      </c>
      <c r="U1501" s="6">
        <v>3008</v>
      </c>
      <c r="V1501" s="2">
        <v>47037013300</v>
      </c>
      <c r="W1501" s="2" t="s">
        <v>68</v>
      </c>
      <c r="X1501" s="1">
        <v>45658</v>
      </c>
      <c r="Y1501" s="2">
        <v>285800</v>
      </c>
      <c r="Z1501" s="2">
        <v>0</v>
      </c>
      <c r="AA1501" s="2">
        <v>285800</v>
      </c>
    </row>
    <row r="1502" spans="1:27" x14ac:dyDescent="0.3">
      <c r="A1502" s="3">
        <v>20</v>
      </c>
      <c r="B1502" s="2" t="str">
        <f>"09113030500"</f>
        <v>09113030500</v>
      </c>
      <c r="C1502" s="2" t="s">
        <v>5539</v>
      </c>
      <c r="D1502" t="s">
        <v>29</v>
      </c>
      <c r="E1502" s="2" t="s">
        <v>30</v>
      </c>
      <c r="F1502" s="2">
        <v>37209</v>
      </c>
      <c r="G1502" s="2" t="s">
        <v>253</v>
      </c>
      <c r="H1502" t="s">
        <v>5540</v>
      </c>
      <c r="I1502" s="6">
        <v>14789</v>
      </c>
      <c r="J1502" s="2" t="s">
        <v>5541</v>
      </c>
      <c r="K1502" s="2" t="s">
        <v>34</v>
      </c>
      <c r="L1502" t="s">
        <v>35</v>
      </c>
      <c r="M1502" t="s">
        <v>29</v>
      </c>
      <c r="N1502" t="s">
        <v>30</v>
      </c>
      <c r="O1502">
        <v>37219</v>
      </c>
      <c r="P1502" t="s">
        <v>5542</v>
      </c>
      <c r="Q1502" s="2">
        <v>4.5</v>
      </c>
      <c r="R1502" s="2">
        <v>444</v>
      </c>
      <c r="S1502" s="2">
        <v>335</v>
      </c>
      <c r="T1502" t="s">
        <v>5541</v>
      </c>
      <c r="U1502" s="6">
        <v>14789</v>
      </c>
      <c r="V1502" s="2">
        <v>47037018101</v>
      </c>
      <c r="W1502" s="2" t="s">
        <v>68</v>
      </c>
      <c r="X1502" s="1">
        <v>45658</v>
      </c>
      <c r="Y1502" s="2">
        <v>254600</v>
      </c>
      <c r="Z1502" s="2">
        <v>0</v>
      </c>
      <c r="AA1502" s="2">
        <v>254600</v>
      </c>
    </row>
    <row r="1503" spans="1:27" x14ac:dyDescent="0.3">
      <c r="A1503" s="3">
        <v>20</v>
      </c>
      <c r="B1503" s="2" t="str">
        <f>"09111024100"</f>
        <v>09111024100</v>
      </c>
      <c r="C1503" s="2" t="s">
        <v>5543</v>
      </c>
      <c r="D1503" t="s">
        <v>29</v>
      </c>
      <c r="E1503" s="2" t="s">
        <v>30</v>
      </c>
      <c r="F1503" s="2">
        <v>37209</v>
      </c>
      <c r="G1503" s="2" t="s">
        <v>253</v>
      </c>
      <c r="H1503" t="s">
        <v>5544</v>
      </c>
      <c r="I1503" s="6">
        <v>27395</v>
      </c>
      <c r="J1503" s="2" t="s">
        <v>5545</v>
      </c>
      <c r="K1503" s="2" t="s">
        <v>34</v>
      </c>
      <c r="L1503" t="s">
        <v>35</v>
      </c>
      <c r="M1503" t="s">
        <v>29</v>
      </c>
      <c r="N1503" t="s">
        <v>30</v>
      </c>
      <c r="O1503">
        <v>37219</v>
      </c>
      <c r="P1503" t="s">
        <v>5546</v>
      </c>
      <c r="Q1503" s="2">
        <v>6.63</v>
      </c>
      <c r="R1503" s="2">
        <v>0</v>
      </c>
      <c r="S1503" s="2">
        <v>0</v>
      </c>
      <c r="T1503" t="s">
        <v>5547</v>
      </c>
      <c r="U1503" s="6">
        <v>22679</v>
      </c>
      <c r="V1503" s="2">
        <v>47037013300</v>
      </c>
      <c r="W1503" s="2" t="s">
        <v>68</v>
      </c>
      <c r="X1503" s="1">
        <v>45658</v>
      </c>
      <c r="Y1503" s="2">
        <v>371500</v>
      </c>
      <c r="Z1503" s="2">
        <v>0</v>
      </c>
      <c r="AA1503" s="2">
        <v>371500</v>
      </c>
    </row>
    <row r="1504" spans="1:27" x14ac:dyDescent="0.3">
      <c r="A1504" s="3">
        <v>20</v>
      </c>
      <c r="B1504" s="2" t="str">
        <f>"09110044000"</f>
        <v>09110044000</v>
      </c>
      <c r="C1504" s="2" t="s">
        <v>5548</v>
      </c>
      <c r="D1504" t="s">
        <v>29</v>
      </c>
      <c r="E1504" s="2" t="s">
        <v>30</v>
      </c>
      <c r="F1504" s="2">
        <v>37209</v>
      </c>
      <c r="G1504" s="2" t="s">
        <v>64</v>
      </c>
      <c r="H1504" t="s">
        <v>280</v>
      </c>
      <c r="I1504" s="6">
        <v>40653</v>
      </c>
      <c r="J1504" s="2" t="s">
        <v>5549</v>
      </c>
      <c r="K1504" s="2">
        <v>0</v>
      </c>
      <c r="L1504" t="s">
        <v>35</v>
      </c>
      <c r="M1504" t="s">
        <v>29</v>
      </c>
      <c r="N1504" t="s">
        <v>30</v>
      </c>
      <c r="O1504">
        <v>37219</v>
      </c>
      <c r="P1504" t="s">
        <v>5550</v>
      </c>
      <c r="Q1504" s="2">
        <v>7.0000000000000007E-2</v>
      </c>
      <c r="R1504" s="2">
        <v>0</v>
      </c>
      <c r="S1504" s="2">
        <v>62</v>
      </c>
      <c r="T1504" t="s">
        <v>5551</v>
      </c>
      <c r="U1504" s="6">
        <v>29550</v>
      </c>
      <c r="V1504" s="2">
        <v>47037013300</v>
      </c>
      <c r="W1504" s="2" t="s">
        <v>68</v>
      </c>
      <c r="X1504" s="1">
        <v>45658</v>
      </c>
      <c r="Y1504" s="2">
        <v>2000</v>
      </c>
      <c r="Z1504" s="2">
        <v>0</v>
      </c>
      <c r="AA1504" s="2">
        <v>2000</v>
      </c>
    </row>
    <row r="1505" spans="1:27" x14ac:dyDescent="0.3">
      <c r="A1505" s="3">
        <v>20</v>
      </c>
      <c r="B1505" s="2" t="str">
        <f>"09110010900"</f>
        <v>09110010900</v>
      </c>
      <c r="C1505" s="2" t="s">
        <v>5552</v>
      </c>
      <c r="D1505" t="s">
        <v>29</v>
      </c>
      <c r="E1505" s="2" t="s">
        <v>30</v>
      </c>
      <c r="F1505" s="2">
        <v>37209</v>
      </c>
      <c r="G1505" s="2" t="s">
        <v>64</v>
      </c>
      <c r="H1505" t="s">
        <v>280</v>
      </c>
      <c r="I1505" s="6">
        <v>42859</v>
      </c>
      <c r="J1505" s="2" t="s">
        <v>5553</v>
      </c>
      <c r="K1505" s="2">
        <v>0</v>
      </c>
      <c r="L1505" t="s">
        <v>343</v>
      </c>
      <c r="M1505" t="s">
        <v>29</v>
      </c>
      <c r="N1505" t="s">
        <v>30</v>
      </c>
      <c r="O1505">
        <v>37201</v>
      </c>
      <c r="P1505" t="s">
        <v>5554</v>
      </c>
      <c r="Q1505" s="2">
        <v>0.14000000000000001</v>
      </c>
      <c r="R1505" s="2">
        <v>50</v>
      </c>
      <c r="S1505" s="2">
        <v>126</v>
      </c>
      <c r="T1505" t="s">
        <v>5555</v>
      </c>
      <c r="U1505" s="6">
        <v>24216</v>
      </c>
      <c r="V1505" s="2">
        <v>47037013300</v>
      </c>
      <c r="W1505" s="2" t="s">
        <v>68</v>
      </c>
      <c r="X1505" s="1">
        <v>45658</v>
      </c>
      <c r="Y1505" s="2">
        <v>120000</v>
      </c>
      <c r="Z1505" s="2">
        <v>0</v>
      </c>
      <c r="AA1505" s="2">
        <v>120000</v>
      </c>
    </row>
    <row r="1506" spans="1:27" x14ac:dyDescent="0.3">
      <c r="A1506" s="3">
        <v>20</v>
      </c>
      <c r="B1506" s="2" t="str">
        <f>"09011004700"</f>
        <v>09011004700</v>
      </c>
      <c r="C1506" s="2" t="s">
        <v>5292</v>
      </c>
      <c r="D1506" t="s">
        <v>29</v>
      </c>
      <c r="E1506" s="2" t="s">
        <v>30</v>
      </c>
      <c r="F1506" s="2">
        <v>37209</v>
      </c>
      <c r="G1506" s="2" t="s">
        <v>64</v>
      </c>
      <c r="H1506" t="s">
        <v>280</v>
      </c>
      <c r="I1506" s="6">
        <v>21017</v>
      </c>
      <c r="J1506" s="2" t="s">
        <v>5556</v>
      </c>
      <c r="K1506" s="2" t="s">
        <v>34</v>
      </c>
      <c r="L1506" t="s">
        <v>35</v>
      </c>
      <c r="M1506" t="s">
        <v>29</v>
      </c>
      <c r="N1506" t="s">
        <v>30</v>
      </c>
      <c r="O1506">
        <v>37219</v>
      </c>
      <c r="P1506" t="s">
        <v>5557</v>
      </c>
      <c r="Q1506" s="2">
        <v>1.08</v>
      </c>
      <c r="R1506" s="2">
        <v>20</v>
      </c>
      <c r="S1506" s="2">
        <v>148</v>
      </c>
      <c r="T1506" t="s">
        <v>5556</v>
      </c>
      <c r="U1506" s="6">
        <v>21017</v>
      </c>
      <c r="V1506" s="2">
        <v>47037013201</v>
      </c>
      <c r="W1506" s="2" t="s">
        <v>68</v>
      </c>
      <c r="X1506" s="1">
        <v>45658</v>
      </c>
      <c r="Y1506" s="2">
        <v>2000</v>
      </c>
      <c r="Z1506" s="2">
        <v>0</v>
      </c>
      <c r="AA1506" s="2">
        <v>2000</v>
      </c>
    </row>
    <row r="1507" spans="1:27" x14ac:dyDescent="0.3">
      <c r="A1507" s="3">
        <v>20</v>
      </c>
      <c r="B1507" s="2" t="str">
        <f>"09110012300"</f>
        <v>09110012300</v>
      </c>
      <c r="C1507" s="2" t="s">
        <v>5558</v>
      </c>
      <c r="D1507" t="s">
        <v>29</v>
      </c>
      <c r="E1507" s="2" t="s">
        <v>30</v>
      </c>
      <c r="F1507" s="2">
        <v>37209</v>
      </c>
      <c r="G1507" s="2" t="s">
        <v>64</v>
      </c>
      <c r="H1507" t="s">
        <v>280</v>
      </c>
      <c r="I1507" s="6">
        <v>40653</v>
      </c>
      <c r="J1507" s="2" t="s">
        <v>5559</v>
      </c>
      <c r="K1507" s="2">
        <v>0</v>
      </c>
      <c r="L1507" t="s">
        <v>35</v>
      </c>
      <c r="M1507" t="s">
        <v>29</v>
      </c>
      <c r="N1507" t="s">
        <v>30</v>
      </c>
      <c r="O1507">
        <v>37219</v>
      </c>
      <c r="P1507" t="s">
        <v>5560</v>
      </c>
      <c r="Q1507" s="2">
        <v>0.22</v>
      </c>
      <c r="R1507" s="2">
        <v>50</v>
      </c>
      <c r="S1507" s="2">
        <v>196</v>
      </c>
      <c r="T1507" t="s">
        <v>5561</v>
      </c>
      <c r="U1507" s="6">
        <v>26722</v>
      </c>
      <c r="V1507" s="2">
        <v>47037013300</v>
      </c>
      <c r="W1507" s="2" t="s">
        <v>68</v>
      </c>
      <c r="X1507" s="1">
        <v>45658</v>
      </c>
      <c r="Y1507" s="2">
        <v>2000</v>
      </c>
      <c r="Z1507" s="2">
        <v>0</v>
      </c>
      <c r="AA1507" s="2">
        <v>2000</v>
      </c>
    </row>
    <row r="1508" spans="1:27" x14ac:dyDescent="0.3">
      <c r="A1508" s="3">
        <v>20</v>
      </c>
      <c r="B1508" s="2" t="str">
        <f>"09110012400"</f>
        <v>09110012400</v>
      </c>
      <c r="C1508" s="2" t="s">
        <v>5562</v>
      </c>
      <c r="D1508" t="s">
        <v>29</v>
      </c>
      <c r="E1508" s="2" t="s">
        <v>30</v>
      </c>
      <c r="F1508" s="2">
        <v>37209</v>
      </c>
      <c r="G1508" s="2" t="s">
        <v>64</v>
      </c>
      <c r="H1508" t="s">
        <v>280</v>
      </c>
      <c r="I1508" s="6">
        <v>40598</v>
      </c>
      <c r="J1508" s="2" t="s">
        <v>5563</v>
      </c>
      <c r="K1508" s="2">
        <v>0</v>
      </c>
      <c r="L1508" t="s">
        <v>35</v>
      </c>
      <c r="M1508" t="s">
        <v>29</v>
      </c>
      <c r="N1508" t="s">
        <v>30</v>
      </c>
      <c r="O1508">
        <v>37219</v>
      </c>
      <c r="P1508" t="s">
        <v>5564</v>
      </c>
      <c r="Q1508" s="2">
        <v>0.14000000000000001</v>
      </c>
      <c r="R1508" s="2">
        <v>82</v>
      </c>
      <c r="S1508" s="2">
        <v>178</v>
      </c>
      <c r="T1508" t="s">
        <v>5565</v>
      </c>
      <c r="U1508" s="6">
        <v>26737</v>
      </c>
      <c r="V1508" s="2">
        <v>47037013300</v>
      </c>
      <c r="W1508" s="2" t="s">
        <v>68</v>
      </c>
      <c r="X1508" s="1">
        <v>45658</v>
      </c>
      <c r="Y1508" s="2">
        <v>2000</v>
      </c>
      <c r="Z1508" s="2">
        <v>0</v>
      </c>
      <c r="AA1508" s="2">
        <v>2000</v>
      </c>
    </row>
    <row r="1509" spans="1:27" x14ac:dyDescent="0.3">
      <c r="A1509" s="3">
        <v>20</v>
      </c>
      <c r="B1509" s="2" t="str">
        <f>"09111003200"</f>
        <v>09111003200</v>
      </c>
      <c r="C1509" s="2" t="s">
        <v>5566</v>
      </c>
      <c r="D1509" t="s">
        <v>29</v>
      </c>
      <c r="E1509" s="2" t="s">
        <v>30</v>
      </c>
      <c r="F1509" s="2">
        <v>37209</v>
      </c>
      <c r="G1509" s="2" t="s">
        <v>194</v>
      </c>
      <c r="H1509" t="s">
        <v>280</v>
      </c>
      <c r="I1509" s="6">
        <v>45293</v>
      </c>
      <c r="J1509" s="2" t="s">
        <v>5567</v>
      </c>
      <c r="K1509" s="2" t="s">
        <v>34</v>
      </c>
      <c r="L1509" t="s">
        <v>315</v>
      </c>
      <c r="M1509" t="s">
        <v>29</v>
      </c>
      <c r="N1509" t="s">
        <v>30</v>
      </c>
      <c r="O1509">
        <v>37208</v>
      </c>
      <c r="P1509" t="s">
        <v>5568</v>
      </c>
      <c r="Q1509" s="2">
        <v>0.12</v>
      </c>
      <c r="R1509" s="2">
        <v>50</v>
      </c>
      <c r="S1509" s="2">
        <v>114</v>
      </c>
      <c r="T1509" t="s">
        <v>5569</v>
      </c>
      <c r="U1509" s="6">
        <v>21984</v>
      </c>
      <c r="V1509" s="2">
        <v>47037013300</v>
      </c>
      <c r="W1509" s="2" t="s">
        <v>68</v>
      </c>
      <c r="X1509" s="1">
        <v>45658</v>
      </c>
      <c r="Y1509" s="2">
        <v>140000</v>
      </c>
      <c r="Z1509" s="2">
        <v>0</v>
      </c>
      <c r="AA1509" s="2">
        <v>140000</v>
      </c>
    </row>
    <row r="1510" spans="1:27" x14ac:dyDescent="0.3">
      <c r="A1510" s="3">
        <v>20</v>
      </c>
      <c r="B1510" s="2" t="str">
        <f>"09015001200"</f>
        <v>09015001200</v>
      </c>
      <c r="C1510" s="2" t="s">
        <v>5570</v>
      </c>
      <c r="D1510" t="s">
        <v>29</v>
      </c>
      <c r="E1510" s="2" t="s">
        <v>30</v>
      </c>
      <c r="F1510" s="2">
        <v>37209</v>
      </c>
      <c r="G1510" s="2" t="s">
        <v>152</v>
      </c>
      <c r="H1510" t="s">
        <v>280</v>
      </c>
      <c r="I1510" s="6">
        <v>22553</v>
      </c>
      <c r="J1510" s="2" t="s">
        <v>5571</v>
      </c>
      <c r="K1510" s="2" t="s">
        <v>34</v>
      </c>
      <c r="L1510" t="s">
        <v>35</v>
      </c>
      <c r="M1510" t="s">
        <v>29</v>
      </c>
      <c r="N1510" t="s">
        <v>30</v>
      </c>
      <c r="O1510">
        <v>37219</v>
      </c>
      <c r="P1510" t="s">
        <v>5572</v>
      </c>
      <c r="Q1510" s="2">
        <v>0.09</v>
      </c>
      <c r="R1510" s="2">
        <v>76</v>
      </c>
      <c r="S1510" s="2">
        <v>50</v>
      </c>
      <c r="T1510" t="s">
        <v>5571</v>
      </c>
      <c r="U1510" s="6">
        <v>22553</v>
      </c>
      <c r="V1510" s="2">
        <v>47037013201</v>
      </c>
      <c r="W1510" s="2" t="s">
        <v>68</v>
      </c>
      <c r="X1510" s="1">
        <v>45658</v>
      </c>
      <c r="Y1510" s="2">
        <v>100</v>
      </c>
      <c r="Z1510" s="2">
        <v>0</v>
      </c>
      <c r="AA1510" s="2">
        <v>100</v>
      </c>
    </row>
    <row r="1511" spans="1:27" x14ac:dyDescent="0.3">
      <c r="A1511" s="3">
        <v>20</v>
      </c>
      <c r="B1511" s="2" t="str">
        <f>"10203003400"</f>
        <v>10203003400</v>
      </c>
      <c r="C1511" s="2" t="s">
        <v>5573</v>
      </c>
      <c r="D1511" t="s">
        <v>29</v>
      </c>
      <c r="E1511" s="2" t="s">
        <v>30</v>
      </c>
      <c r="F1511" s="2">
        <v>37209</v>
      </c>
      <c r="G1511" s="2" t="s">
        <v>152</v>
      </c>
      <c r="H1511" t="s">
        <v>280</v>
      </c>
      <c r="I1511" s="6">
        <v>23252</v>
      </c>
      <c r="J1511" s="2" t="s">
        <v>5574</v>
      </c>
      <c r="K1511" s="2" t="s">
        <v>34</v>
      </c>
      <c r="L1511" t="s">
        <v>35</v>
      </c>
      <c r="M1511" t="s">
        <v>29</v>
      </c>
      <c r="N1511" t="s">
        <v>30</v>
      </c>
      <c r="O1511">
        <v>37219</v>
      </c>
      <c r="P1511" t="s">
        <v>5575</v>
      </c>
      <c r="Q1511" s="2">
        <v>0.39</v>
      </c>
      <c r="R1511" s="2">
        <v>118</v>
      </c>
      <c r="S1511" s="2">
        <v>265</v>
      </c>
      <c r="T1511" t="s">
        <v>5287</v>
      </c>
      <c r="U1511" s="6">
        <v>33777</v>
      </c>
      <c r="V1511" s="2">
        <v>47037013201</v>
      </c>
      <c r="W1511" s="2" t="s">
        <v>68</v>
      </c>
      <c r="X1511" s="1">
        <v>45658</v>
      </c>
      <c r="Y1511" s="2">
        <v>315000</v>
      </c>
      <c r="Z1511" s="2">
        <v>0</v>
      </c>
      <c r="AA1511" s="2">
        <v>315000</v>
      </c>
    </row>
    <row r="1512" spans="1:27" x14ac:dyDescent="0.3">
      <c r="A1512" s="3">
        <v>20</v>
      </c>
      <c r="B1512" s="2" t="str">
        <f>"10309006000"</f>
        <v>10309006000</v>
      </c>
      <c r="C1512" s="2" t="s">
        <v>5576</v>
      </c>
      <c r="D1512" t="s">
        <v>29</v>
      </c>
      <c r="E1512" s="2" t="s">
        <v>30</v>
      </c>
      <c r="F1512" s="2">
        <v>37209</v>
      </c>
      <c r="G1512" s="2" t="s">
        <v>64</v>
      </c>
      <c r="H1512" t="s">
        <v>280</v>
      </c>
      <c r="I1512" s="6">
        <v>30924</v>
      </c>
      <c r="J1512" s="2" t="s">
        <v>5577</v>
      </c>
      <c r="K1512" s="2" t="s">
        <v>34</v>
      </c>
      <c r="L1512" t="s">
        <v>35</v>
      </c>
      <c r="M1512" t="s">
        <v>29</v>
      </c>
      <c r="N1512" t="s">
        <v>30</v>
      </c>
      <c r="O1512">
        <v>37219</v>
      </c>
      <c r="P1512" t="s">
        <v>5578</v>
      </c>
      <c r="Q1512" s="2">
        <v>0.3</v>
      </c>
      <c r="R1512" s="2">
        <v>150</v>
      </c>
      <c r="S1512" s="2">
        <v>100</v>
      </c>
      <c r="T1512" t="s">
        <v>5579</v>
      </c>
      <c r="U1512" s="6">
        <v>9859</v>
      </c>
      <c r="V1512" s="2">
        <v>47037018102</v>
      </c>
      <c r="W1512" s="2" t="s">
        <v>68</v>
      </c>
      <c r="X1512" s="1">
        <v>45658</v>
      </c>
      <c r="Y1512" s="2">
        <v>50000</v>
      </c>
      <c r="Z1512" s="2">
        <v>0</v>
      </c>
      <c r="AA1512" s="2">
        <v>50000</v>
      </c>
    </row>
    <row r="1513" spans="1:27" x14ac:dyDescent="0.3">
      <c r="A1513" s="3">
        <v>20</v>
      </c>
      <c r="B1513" s="2" t="str">
        <f>"09110010100"</f>
        <v>09110010100</v>
      </c>
      <c r="C1513" s="2" t="s">
        <v>5580</v>
      </c>
      <c r="D1513" t="s">
        <v>29</v>
      </c>
      <c r="E1513" s="2" t="s">
        <v>30</v>
      </c>
      <c r="F1513" s="2">
        <v>37209</v>
      </c>
      <c r="G1513" s="2" t="s">
        <v>64</v>
      </c>
      <c r="H1513" t="s">
        <v>280</v>
      </c>
      <c r="I1513" s="6">
        <v>40680</v>
      </c>
      <c r="J1513" s="2" t="s">
        <v>5581</v>
      </c>
      <c r="K1513" s="2">
        <v>0</v>
      </c>
      <c r="L1513" t="s">
        <v>35</v>
      </c>
      <c r="M1513" t="s">
        <v>29</v>
      </c>
      <c r="N1513" t="s">
        <v>30</v>
      </c>
      <c r="O1513">
        <v>37219</v>
      </c>
      <c r="P1513" t="s">
        <v>5582</v>
      </c>
      <c r="Q1513" s="2">
        <v>0.16</v>
      </c>
      <c r="R1513" s="2">
        <v>37</v>
      </c>
      <c r="S1513" s="2">
        <v>108</v>
      </c>
      <c r="T1513" t="s">
        <v>5583</v>
      </c>
      <c r="U1513" s="6">
        <v>25076</v>
      </c>
      <c r="V1513" s="2">
        <v>47037013300</v>
      </c>
      <c r="W1513" s="2" t="s">
        <v>68</v>
      </c>
      <c r="X1513" s="1">
        <v>45658</v>
      </c>
      <c r="Y1513" s="2">
        <v>2000</v>
      </c>
      <c r="Z1513" s="2">
        <v>0</v>
      </c>
      <c r="AA1513" s="2">
        <v>2000</v>
      </c>
    </row>
    <row r="1514" spans="1:27" x14ac:dyDescent="0.3">
      <c r="A1514" s="3">
        <v>20</v>
      </c>
      <c r="B1514" s="2" t="str">
        <f>"09110010000"</f>
        <v>09110010000</v>
      </c>
      <c r="C1514" s="2" t="s">
        <v>5584</v>
      </c>
      <c r="D1514" t="s">
        <v>29</v>
      </c>
      <c r="E1514" s="2" t="s">
        <v>30</v>
      </c>
      <c r="F1514" s="2">
        <v>37209</v>
      </c>
      <c r="G1514" s="2" t="s">
        <v>64</v>
      </c>
      <c r="H1514" t="s">
        <v>280</v>
      </c>
      <c r="I1514" s="6">
        <v>40527</v>
      </c>
      <c r="J1514" s="2" t="s">
        <v>5585</v>
      </c>
      <c r="K1514" s="2">
        <v>0</v>
      </c>
      <c r="L1514" t="s">
        <v>35</v>
      </c>
      <c r="M1514" t="s">
        <v>29</v>
      </c>
      <c r="N1514" t="s">
        <v>30</v>
      </c>
      <c r="O1514">
        <v>37219</v>
      </c>
      <c r="P1514" t="s">
        <v>5586</v>
      </c>
      <c r="Q1514" s="2">
        <v>0.16</v>
      </c>
      <c r="R1514" s="2">
        <v>37</v>
      </c>
      <c r="S1514" s="2">
        <v>108</v>
      </c>
      <c r="T1514" t="s">
        <v>5587</v>
      </c>
      <c r="U1514" s="6">
        <v>26375</v>
      </c>
      <c r="V1514" s="2">
        <v>47037013300</v>
      </c>
      <c r="W1514" s="2" t="s">
        <v>68</v>
      </c>
      <c r="X1514" s="1">
        <v>45658</v>
      </c>
      <c r="Y1514" s="2">
        <v>2000</v>
      </c>
      <c r="Z1514" s="2">
        <v>0</v>
      </c>
      <c r="AA1514" s="2">
        <v>2000</v>
      </c>
    </row>
    <row r="1515" spans="1:27" x14ac:dyDescent="0.3">
      <c r="A1515" s="3">
        <v>20</v>
      </c>
      <c r="B1515" s="2" t="str">
        <f>"09110010500"</f>
        <v>09110010500</v>
      </c>
      <c r="C1515" s="2" t="s">
        <v>5588</v>
      </c>
      <c r="D1515" t="s">
        <v>29</v>
      </c>
      <c r="E1515" s="2" t="s">
        <v>30</v>
      </c>
      <c r="F1515" s="2">
        <v>37209</v>
      </c>
      <c r="G1515" s="2" t="s">
        <v>64</v>
      </c>
      <c r="H1515" t="s">
        <v>280</v>
      </c>
      <c r="I1515" s="6">
        <v>40631</v>
      </c>
      <c r="J1515" s="2" t="s">
        <v>5589</v>
      </c>
      <c r="K1515" s="2">
        <v>0</v>
      </c>
      <c r="L1515" t="s">
        <v>35</v>
      </c>
      <c r="M1515" t="s">
        <v>29</v>
      </c>
      <c r="N1515" t="s">
        <v>30</v>
      </c>
      <c r="O1515">
        <v>37219</v>
      </c>
      <c r="P1515" t="s">
        <v>5590</v>
      </c>
      <c r="Q1515" s="2">
        <v>0.22</v>
      </c>
      <c r="R1515" s="2">
        <v>50</v>
      </c>
      <c r="S1515" s="2">
        <v>188</v>
      </c>
      <c r="T1515" t="s">
        <v>5591</v>
      </c>
      <c r="U1515" s="6">
        <v>29522</v>
      </c>
      <c r="V1515" s="2">
        <v>47037013300</v>
      </c>
      <c r="W1515" s="2" t="s">
        <v>68</v>
      </c>
      <c r="X1515" s="1">
        <v>45658</v>
      </c>
      <c r="Y1515" s="2">
        <v>2000</v>
      </c>
      <c r="Z1515" s="2">
        <v>0</v>
      </c>
      <c r="AA1515" s="2">
        <v>2000</v>
      </c>
    </row>
    <row r="1516" spans="1:27" x14ac:dyDescent="0.3">
      <c r="A1516" s="3">
        <v>20</v>
      </c>
      <c r="B1516" s="2" t="str">
        <f>"09110009900"</f>
        <v>09110009900</v>
      </c>
      <c r="C1516" s="2" t="s">
        <v>5592</v>
      </c>
      <c r="D1516" t="s">
        <v>29</v>
      </c>
      <c r="E1516" s="2" t="s">
        <v>30</v>
      </c>
      <c r="F1516" s="2">
        <v>37209</v>
      </c>
      <c r="G1516" s="2" t="s">
        <v>64</v>
      </c>
      <c r="H1516" t="s">
        <v>280</v>
      </c>
      <c r="I1516" s="6">
        <v>40591</v>
      </c>
      <c r="J1516" s="2" t="s">
        <v>5593</v>
      </c>
      <c r="K1516" s="2">
        <v>0</v>
      </c>
      <c r="L1516" t="s">
        <v>35</v>
      </c>
      <c r="M1516" t="s">
        <v>29</v>
      </c>
      <c r="N1516" t="s">
        <v>30</v>
      </c>
      <c r="O1516">
        <v>37219</v>
      </c>
      <c r="P1516" t="s">
        <v>5594</v>
      </c>
      <c r="Q1516" s="2">
        <v>0.17</v>
      </c>
      <c r="R1516" s="2">
        <v>73</v>
      </c>
      <c r="S1516" s="2">
        <v>125</v>
      </c>
      <c r="T1516" t="s">
        <v>5595</v>
      </c>
      <c r="U1516" s="6">
        <v>20118</v>
      </c>
      <c r="V1516" s="2">
        <v>47037013300</v>
      </c>
      <c r="W1516" s="2" t="s">
        <v>68</v>
      </c>
      <c r="X1516" s="1">
        <v>45658</v>
      </c>
      <c r="Y1516" s="2">
        <v>2000</v>
      </c>
      <c r="Z1516" s="2">
        <v>0</v>
      </c>
      <c r="AA1516" s="2">
        <v>2000</v>
      </c>
    </row>
    <row r="1517" spans="1:27" x14ac:dyDescent="0.3">
      <c r="A1517" s="3">
        <v>20</v>
      </c>
      <c r="B1517" s="2" t="str">
        <f>"09110010600"</f>
        <v>09110010600</v>
      </c>
      <c r="C1517" s="2" t="s">
        <v>5596</v>
      </c>
      <c r="D1517" t="s">
        <v>29</v>
      </c>
      <c r="E1517" s="2" t="s">
        <v>30</v>
      </c>
      <c r="F1517" s="2">
        <v>37209</v>
      </c>
      <c r="G1517" s="2" t="s">
        <v>64</v>
      </c>
      <c r="H1517" t="s">
        <v>280</v>
      </c>
      <c r="I1517" s="6">
        <v>40605</v>
      </c>
      <c r="J1517" s="2" t="s">
        <v>5597</v>
      </c>
      <c r="K1517" s="2">
        <v>0</v>
      </c>
      <c r="L1517" t="s">
        <v>35</v>
      </c>
      <c r="M1517" t="s">
        <v>29</v>
      </c>
      <c r="N1517" t="s">
        <v>30</v>
      </c>
      <c r="O1517">
        <v>37219</v>
      </c>
      <c r="P1517" t="s">
        <v>5598</v>
      </c>
      <c r="Q1517" s="2">
        <v>0.22</v>
      </c>
      <c r="R1517" s="2">
        <v>50</v>
      </c>
      <c r="S1517" s="2">
        <v>188</v>
      </c>
      <c r="T1517" t="s">
        <v>5551</v>
      </c>
      <c r="U1517" s="6">
        <v>29550</v>
      </c>
      <c r="V1517" s="2">
        <v>47037013300</v>
      </c>
      <c r="W1517" s="2" t="s">
        <v>68</v>
      </c>
      <c r="X1517" s="1">
        <v>45658</v>
      </c>
      <c r="Y1517" s="2">
        <v>2000</v>
      </c>
      <c r="Z1517" s="2">
        <v>0</v>
      </c>
      <c r="AA1517" s="2">
        <v>2000</v>
      </c>
    </row>
    <row r="1518" spans="1:27" x14ac:dyDescent="0.3">
      <c r="A1518" s="3">
        <v>20</v>
      </c>
      <c r="B1518" s="2" t="str">
        <f>"09110009800"</f>
        <v>09110009800</v>
      </c>
      <c r="C1518" s="2" t="s">
        <v>5599</v>
      </c>
      <c r="D1518" t="s">
        <v>29</v>
      </c>
      <c r="E1518" s="2" t="s">
        <v>30</v>
      </c>
      <c r="F1518" s="2">
        <v>37209</v>
      </c>
      <c r="G1518" s="2" t="s">
        <v>64</v>
      </c>
      <c r="H1518" t="s">
        <v>280</v>
      </c>
      <c r="I1518" s="6">
        <v>40591</v>
      </c>
      <c r="J1518" s="2" t="s">
        <v>5600</v>
      </c>
      <c r="K1518" s="2">
        <v>0</v>
      </c>
      <c r="L1518" t="s">
        <v>35</v>
      </c>
      <c r="M1518" t="s">
        <v>29</v>
      </c>
      <c r="N1518" t="s">
        <v>30</v>
      </c>
      <c r="O1518">
        <v>37219</v>
      </c>
      <c r="P1518" t="s">
        <v>5601</v>
      </c>
      <c r="Q1518" s="2">
        <v>0.14000000000000001</v>
      </c>
      <c r="R1518" s="2">
        <v>50</v>
      </c>
      <c r="S1518" s="2">
        <v>125</v>
      </c>
      <c r="T1518" t="s">
        <v>5602</v>
      </c>
      <c r="U1518" s="6">
        <v>19647</v>
      </c>
      <c r="V1518" s="2">
        <v>47037013300</v>
      </c>
      <c r="W1518" s="2" t="s">
        <v>68</v>
      </c>
      <c r="X1518" s="1">
        <v>45658</v>
      </c>
      <c r="Y1518" s="2">
        <v>2000</v>
      </c>
      <c r="Z1518" s="2">
        <v>0</v>
      </c>
      <c r="AA1518" s="2">
        <v>2000</v>
      </c>
    </row>
    <row r="1519" spans="1:27" x14ac:dyDescent="0.3">
      <c r="A1519" s="3">
        <v>20</v>
      </c>
      <c r="B1519" s="2" t="str">
        <f>"09110010700"</f>
        <v>09110010700</v>
      </c>
      <c r="C1519" s="2" t="s">
        <v>5603</v>
      </c>
      <c r="D1519" t="s">
        <v>29</v>
      </c>
      <c r="E1519" s="2" t="s">
        <v>30</v>
      </c>
      <c r="F1519" s="2">
        <v>37209</v>
      </c>
      <c r="G1519" s="2" t="s">
        <v>64</v>
      </c>
      <c r="H1519" t="s">
        <v>280</v>
      </c>
      <c r="I1519" s="6">
        <v>40653</v>
      </c>
      <c r="J1519" s="2" t="s">
        <v>5549</v>
      </c>
      <c r="K1519" s="2">
        <v>0</v>
      </c>
      <c r="L1519" t="s">
        <v>35</v>
      </c>
      <c r="M1519" t="s">
        <v>29</v>
      </c>
      <c r="N1519" t="s">
        <v>30</v>
      </c>
      <c r="O1519">
        <v>37219</v>
      </c>
      <c r="P1519" t="s">
        <v>5604</v>
      </c>
      <c r="Q1519" s="2">
        <v>0.14000000000000001</v>
      </c>
      <c r="R1519" s="2">
        <v>50</v>
      </c>
      <c r="S1519" s="2">
        <v>125</v>
      </c>
      <c r="T1519" t="s">
        <v>5605</v>
      </c>
      <c r="U1519" s="6">
        <v>23417</v>
      </c>
      <c r="V1519" s="2">
        <v>47037013300</v>
      </c>
      <c r="W1519" s="2" t="s">
        <v>68</v>
      </c>
      <c r="X1519" s="1">
        <v>45658</v>
      </c>
      <c r="Y1519" s="2">
        <v>2000</v>
      </c>
      <c r="Z1519" s="2">
        <v>0</v>
      </c>
      <c r="AA1519" s="2">
        <v>2000</v>
      </c>
    </row>
    <row r="1520" spans="1:27" x14ac:dyDescent="0.3">
      <c r="A1520" s="3">
        <v>20</v>
      </c>
      <c r="B1520" s="2" t="str">
        <f>"09110009700"</f>
        <v>09110009700</v>
      </c>
      <c r="C1520" s="2" t="s">
        <v>5606</v>
      </c>
      <c r="D1520" t="s">
        <v>29</v>
      </c>
      <c r="E1520" s="2" t="s">
        <v>30</v>
      </c>
      <c r="F1520" s="2">
        <v>37209</v>
      </c>
      <c r="G1520" s="2" t="s">
        <v>64</v>
      </c>
      <c r="H1520" t="s">
        <v>280</v>
      </c>
      <c r="I1520" s="6">
        <v>40606</v>
      </c>
      <c r="J1520" s="2" t="s">
        <v>5607</v>
      </c>
      <c r="K1520" s="2">
        <v>0</v>
      </c>
      <c r="L1520" t="s">
        <v>35</v>
      </c>
      <c r="M1520" t="s">
        <v>29</v>
      </c>
      <c r="N1520" t="s">
        <v>30</v>
      </c>
      <c r="O1520">
        <v>37219</v>
      </c>
      <c r="P1520" t="s">
        <v>5608</v>
      </c>
      <c r="Q1520" s="2">
        <v>0.14000000000000001</v>
      </c>
      <c r="R1520" s="2">
        <v>50</v>
      </c>
      <c r="S1520" s="2">
        <v>125</v>
      </c>
      <c r="T1520" t="s">
        <v>5609</v>
      </c>
      <c r="U1520" s="6">
        <v>27317</v>
      </c>
      <c r="V1520" s="2">
        <v>47037013300</v>
      </c>
      <c r="W1520" s="2" t="s">
        <v>68</v>
      </c>
      <c r="X1520" s="1">
        <v>45658</v>
      </c>
      <c r="Y1520" s="2">
        <v>2000</v>
      </c>
      <c r="Z1520" s="2">
        <v>0</v>
      </c>
      <c r="AA1520" s="2">
        <v>2000</v>
      </c>
    </row>
    <row r="1521" spans="1:27" x14ac:dyDescent="0.3">
      <c r="A1521" s="3">
        <v>20</v>
      </c>
      <c r="B1521" s="2" t="str">
        <f>"09110010300"</f>
        <v>09110010300</v>
      </c>
      <c r="C1521" s="2" t="s">
        <v>5610</v>
      </c>
      <c r="D1521" t="s">
        <v>29</v>
      </c>
      <c r="E1521" s="2" t="s">
        <v>30</v>
      </c>
      <c r="F1521" s="2">
        <v>37209</v>
      </c>
      <c r="G1521" s="2" t="s">
        <v>64</v>
      </c>
      <c r="H1521" t="s">
        <v>280</v>
      </c>
      <c r="I1521" s="6">
        <v>40658</v>
      </c>
      <c r="J1521" s="2" t="s">
        <v>5611</v>
      </c>
      <c r="K1521" s="2">
        <v>0</v>
      </c>
      <c r="L1521" t="s">
        <v>35</v>
      </c>
      <c r="M1521" t="s">
        <v>29</v>
      </c>
      <c r="N1521" t="s">
        <v>30</v>
      </c>
      <c r="O1521">
        <v>37219</v>
      </c>
      <c r="P1521" t="s">
        <v>5612</v>
      </c>
      <c r="Q1521" s="2">
        <v>0.16</v>
      </c>
      <c r="R1521" s="2">
        <v>37</v>
      </c>
      <c r="S1521" s="2">
        <v>251</v>
      </c>
      <c r="T1521" t="s">
        <v>5613</v>
      </c>
      <c r="U1521" s="6">
        <v>29522</v>
      </c>
      <c r="V1521" s="2">
        <v>47037013300</v>
      </c>
      <c r="W1521" s="2" t="s">
        <v>68</v>
      </c>
      <c r="X1521" s="1">
        <v>45658</v>
      </c>
      <c r="Y1521" s="2">
        <v>2000</v>
      </c>
      <c r="Z1521" s="2">
        <v>0</v>
      </c>
      <c r="AA1521" s="2">
        <v>2000</v>
      </c>
    </row>
    <row r="1522" spans="1:27" x14ac:dyDescent="0.3">
      <c r="A1522" s="3">
        <v>20</v>
      </c>
      <c r="B1522" s="2" t="str">
        <f>"09110010400"</f>
        <v>09110010400</v>
      </c>
      <c r="C1522" s="2" t="s">
        <v>5614</v>
      </c>
      <c r="D1522" t="s">
        <v>29</v>
      </c>
      <c r="E1522" s="2" t="s">
        <v>30</v>
      </c>
      <c r="F1522" s="2">
        <v>37209</v>
      </c>
      <c r="G1522" s="2" t="s">
        <v>64</v>
      </c>
      <c r="H1522" t="s">
        <v>280</v>
      </c>
      <c r="I1522" s="6">
        <v>40632</v>
      </c>
      <c r="J1522" s="2" t="s">
        <v>5615</v>
      </c>
      <c r="K1522" s="2">
        <v>0</v>
      </c>
      <c r="L1522" t="s">
        <v>35</v>
      </c>
      <c r="M1522" t="s">
        <v>29</v>
      </c>
      <c r="N1522" t="s">
        <v>30</v>
      </c>
      <c r="O1522">
        <v>37219</v>
      </c>
      <c r="P1522" t="s">
        <v>5616</v>
      </c>
      <c r="Q1522" s="2">
        <v>0.26</v>
      </c>
      <c r="R1522" s="2">
        <v>70</v>
      </c>
      <c r="S1522" s="2">
        <v>188</v>
      </c>
      <c r="T1522" t="s">
        <v>278</v>
      </c>
      <c r="U1522" s="6">
        <v>29587</v>
      </c>
      <c r="V1522" s="2">
        <v>47037013300</v>
      </c>
      <c r="W1522" s="2" t="s">
        <v>68</v>
      </c>
      <c r="X1522" s="1">
        <v>45658</v>
      </c>
      <c r="Y1522" s="2">
        <v>2000</v>
      </c>
      <c r="Z1522" s="2">
        <v>0</v>
      </c>
      <c r="AA1522" s="2">
        <v>2000</v>
      </c>
    </row>
    <row r="1523" spans="1:27" x14ac:dyDescent="0.3">
      <c r="A1523" s="3">
        <v>20</v>
      </c>
      <c r="B1523" s="2" t="str">
        <f>"09110011000"</f>
        <v>09110011000</v>
      </c>
      <c r="C1523" s="2" t="s">
        <v>5617</v>
      </c>
      <c r="D1523" t="s">
        <v>29</v>
      </c>
      <c r="E1523" s="2" t="s">
        <v>30</v>
      </c>
      <c r="F1523" s="2">
        <v>37209</v>
      </c>
      <c r="G1523" s="2" t="s">
        <v>194</v>
      </c>
      <c r="H1523" t="s">
        <v>280</v>
      </c>
      <c r="I1523" s="6">
        <v>45167</v>
      </c>
      <c r="J1523" s="2" t="s">
        <v>5618</v>
      </c>
      <c r="K1523" s="2">
        <v>0</v>
      </c>
      <c r="L1523" t="s">
        <v>315</v>
      </c>
      <c r="M1523" t="s">
        <v>29</v>
      </c>
      <c r="N1523" t="s">
        <v>30</v>
      </c>
      <c r="O1523">
        <v>37208</v>
      </c>
      <c r="P1523" t="s">
        <v>5619</v>
      </c>
      <c r="Q1523" s="2">
        <v>0.19</v>
      </c>
      <c r="R1523" s="2">
        <v>57</v>
      </c>
      <c r="S1523" s="2">
        <v>189</v>
      </c>
      <c r="T1523" t="s">
        <v>5620</v>
      </c>
      <c r="U1523" s="6">
        <v>29522</v>
      </c>
      <c r="V1523" s="2">
        <v>47037013300</v>
      </c>
      <c r="W1523" s="2" t="s">
        <v>68</v>
      </c>
      <c r="X1523" s="1">
        <v>45658</v>
      </c>
      <c r="Y1523" s="2">
        <v>120000</v>
      </c>
      <c r="Z1523" s="2">
        <v>0</v>
      </c>
      <c r="AA1523" s="2">
        <v>120000</v>
      </c>
    </row>
    <row r="1524" spans="1:27" x14ac:dyDescent="0.3">
      <c r="A1524" s="3">
        <v>20</v>
      </c>
      <c r="B1524" s="2" t="str">
        <f>"09110011100"</f>
        <v>09110011100</v>
      </c>
      <c r="C1524" s="2" t="s">
        <v>5621</v>
      </c>
      <c r="D1524" t="s">
        <v>29</v>
      </c>
      <c r="E1524" s="2" t="s">
        <v>30</v>
      </c>
      <c r="F1524" s="2">
        <v>37209</v>
      </c>
      <c r="G1524" s="2" t="s">
        <v>64</v>
      </c>
      <c r="H1524" t="s">
        <v>280</v>
      </c>
      <c r="I1524" s="6">
        <v>40599</v>
      </c>
      <c r="J1524" s="2" t="s">
        <v>5622</v>
      </c>
      <c r="K1524" s="2">
        <v>0</v>
      </c>
      <c r="L1524" t="s">
        <v>35</v>
      </c>
      <c r="M1524" t="s">
        <v>29</v>
      </c>
      <c r="N1524" t="s">
        <v>30</v>
      </c>
      <c r="O1524">
        <v>37219</v>
      </c>
      <c r="P1524" t="s">
        <v>5623</v>
      </c>
      <c r="Q1524" s="2">
        <v>0.15</v>
      </c>
      <c r="R1524" s="2">
        <v>52</v>
      </c>
      <c r="S1524" s="2">
        <v>128</v>
      </c>
      <c r="T1524" t="s">
        <v>5624</v>
      </c>
      <c r="U1524" s="6">
        <v>18850</v>
      </c>
      <c r="V1524" s="2">
        <v>47037013300</v>
      </c>
      <c r="W1524" s="2" t="s">
        <v>68</v>
      </c>
      <c r="X1524" s="1">
        <v>45658</v>
      </c>
      <c r="Y1524" s="2">
        <v>2000</v>
      </c>
      <c r="Z1524" s="2">
        <v>0</v>
      </c>
      <c r="AA1524" s="2">
        <v>2000</v>
      </c>
    </row>
    <row r="1525" spans="1:27" x14ac:dyDescent="0.3">
      <c r="A1525" s="3">
        <v>20</v>
      </c>
      <c r="B1525" s="2" t="str">
        <f>"09110011300"</f>
        <v>09110011300</v>
      </c>
      <c r="C1525" s="2" t="s">
        <v>5625</v>
      </c>
      <c r="D1525" t="s">
        <v>29</v>
      </c>
      <c r="E1525" s="2" t="s">
        <v>30</v>
      </c>
      <c r="F1525" s="2">
        <v>37209</v>
      </c>
      <c r="G1525" s="2" t="s">
        <v>64</v>
      </c>
      <c r="H1525" t="s">
        <v>280</v>
      </c>
      <c r="I1525" s="6">
        <v>40633</v>
      </c>
      <c r="J1525" s="2" t="s">
        <v>5626</v>
      </c>
      <c r="K1525" s="2">
        <v>0</v>
      </c>
      <c r="L1525" t="s">
        <v>35</v>
      </c>
      <c r="M1525" t="s">
        <v>29</v>
      </c>
      <c r="N1525" t="s">
        <v>30</v>
      </c>
      <c r="O1525">
        <v>37219</v>
      </c>
      <c r="P1525" t="s">
        <v>5627</v>
      </c>
      <c r="Q1525" s="2">
        <v>0.14000000000000001</v>
      </c>
      <c r="R1525" s="2">
        <v>48</v>
      </c>
      <c r="S1525" s="2">
        <v>139</v>
      </c>
      <c r="T1525" t="s">
        <v>5628</v>
      </c>
      <c r="U1525" s="6">
        <v>26350</v>
      </c>
      <c r="V1525" s="2">
        <v>47037013300</v>
      </c>
      <c r="W1525" s="2" t="s">
        <v>68</v>
      </c>
      <c r="X1525" s="1">
        <v>45658</v>
      </c>
      <c r="Y1525" s="2">
        <v>2000</v>
      </c>
      <c r="Z1525" s="2">
        <v>0</v>
      </c>
      <c r="AA1525" s="2">
        <v>2000</v>
      </c>
    </row>
    <row r="1526" spans="1:27" x14ac:dyDescent="0.3">
      <c r="A1526" s="3">
        <v>20</v>
      </c>
      <c r="B1526" s="2" t="str">
        <f>"09110011500"</f>
        <v>09110011500</v>
      </c>
      <c r="C1526" s="2" t="s">
        <v>5629</v>
      </c>
      <c r="D1526" t="s">
        <v>29</v>
      </c>
      <c r="E1526" s="2" t="s">
        <v>30</v>
      </c>
      <c r="F1526" s="2">
        <v>37209</v>
      </c>
      <c r="G1526" s="2" t="s">
        <v>64</v>
      </c>
      <c r="H1526" t="s">
        <v>280</v>
      </c>
      <c r="I1526" s="6">
        <v>40652</v>
      </c>
      <c r="J1526" s="2" t="s">
        <v>5630</v>
      </c>
      <c r="K1526" s="2">
        <v>0</v>
      </c>
      <c r="L1526" t="s">
        <v>35</v>
      </c>
      <c r="M1526" t="s">
        <v>29</v>
      </c>
      <c r="N1526" t="s">
        <v>30</v>
      </c>
      <c r="O1526">
        <v>37219</v>
      </c>
      <c r="P1526" t="s">
        <v>5631</v>
      </c>
      <c r="Q1526" s="2">
        <v>0.18</v>
      </c>
      <c r="R1526" s="2">
        <v>50</v>
      </c>
      <c r="S1526" s="2">
        <v>173</v>
      </c>
      <c r="T1526" t="s">
        <v>5632</v>
      </c>
      <c r="U1526" s="6">
        <v>24642</v>
      </c>
      <c r="V1526" s="2">
        <v>47037013300</v>
      </c>
      <c r="W1526" s="2" t="s">
        <v>68</v>
      </c>
      <c r="X1526" s="1">
        <v>45658</v>
      </c>
      <c r="Y1526" s="2">
        <v>2000</v>
      </c>
      <c r="Z1526" s="2">
        <v>0</v>
      </c>
      <c r="AA1526" s="2">
        <v>2000</v>
      </c>
    </row>
    <row r="1527" spans="1:27" x14ac:dyDescent="0.3">
      <c r="A1527" s="3">
        <v>20</v>
      </c>
      <c r="B1527" s="2" t="str">
        <f>"09110008900"</f>
        <v>09110008900</v>
      </c>
      <c r="C1527" s="2" t="s">
        <v>5633</v>
      </c>
      <c r="D1527" t="s">
        <v>29</v>
      </c>
      <c r="E1527" s="2" t="s">
        <v>30</v>
      </c>
      <c r="F1527" s="2">
        <v>37209</v>
      </c>
      <c r="G1527" s="2" t="s">
        <v>64</v>
      </c>
      <c r="H1527" t="s">
        <v>280</v>
      </c>
      <c r="I1527" s="6">
        <v>40701</v>
      </c>
      <c r="J1527" s="2" t="s">
        <v>5634</v>
      </c>
      <c r="K1527" s="2">
        <v>0</v>
      </c>
      <c r="L1527" t="s">
        <v>35</v>
      </c>
      <c r="M1527" t="s">
        <v>29</v>
      </c>
      <c r="N1527" t="s">
        <v>30</v>
      </c>
      <c r="O1527">
        <v>37219</v>
      </c>
      <c r="P1527" t="s">
        <v>5635</v>
      </c>
      <c r="Q1527" s="2">
        <v>0.18</v>
      </c>
      <c r="R1527" s="2">
        <v>59</v>
      </c>
      <c r="S1527" s="2">
        <v>109</v>
      </c>
      <c r="T1527" t="s">
        <v>5636</v>
      </c>
      <c r="U1527" s="6">
        <v>27117</v>
      </c>
      <c r="V1527" s="2">
        <v>47037013300</v>
      </c>
      <c r="W1527" s="2" t="s">
        <v>68</v>
      </c>
      <c r="X1527" s="1">
        <v>45658</v>
      </c>
      <c r="Y1527" s="2">
        <v>2000</v>
      </c>
      <c r="Z1527" s="2">
        <v>0</v>
      </c>
      <c r="AA1527" s="2">
        <v>2000</v>
      </c>
    </row>
    <row r="1528" spans="1:27" x14ac:dyDescent="0.3">
      <c r="A1528" s="3">
        <v>20</v>
      </c>
      <c r="B1528" s="2" t="str">
        <f>"09110011700"</f>
        <v>09110011700</v>
      </c>
      <c r="C1528" s="2" t="s">
        <v>5637</v>
      </c>
      <c r="D1528" t="s">
        <v>29</v>
      </c>
      <c r="E1528" s="2" t="s">
        <v>30</v>
      </c>
      <c r="F1528" s="2">
        <v>37209</v>
      </c>
      <c r="G1528" s="2" t="s">
        <v>64</v>
      </c>
      <c r="H1528" t="s">
        <v>280</v>
      </c>
      <c r="I1528" s="6">
        <v>41346</v>
      </c>
      <c r="J1528" s="2" t="s">
        <v>5638</v>
      </c>
      <c r="K1528" s="2">
        <v>0</v>
      </c>
      <c r="L1528" t="s">
        <v>35</v>
      </c>
      <c r="M1528" t="s">
        <v>29</v>
      </c>
      <c r="N1528" t="s">
        <v>30</v>
      </c>
      <c r="O1528">
        <v>37219</v>
      </c>
      <c r="P1528" t="s">
        <v>5639</v>
      </c>
      <c r="Q1528" s="2">
        <v>0.22</v>
      </c>
      <c r="R1528" s="2">
        <v>50</v>
      </c>
      <c r="S1528" s="2">
        <v>193</v>
      </c>
      <c r="T1528" t="s">
        <v>5640</v>
      </c>
      <c r="U1528" s="6">
        <v>27213</v>
      </c>
      <c r="V1528" s="2">
        <v>47037013300</v>
      </c>
      <c r="W1528" s="2" t="s">
        <v>68</v>
      </c>
      <c r="X1528" s="1">
        <v>45658</v>
      </c>
      <c r="Y1528" s="2">
        <v>120000</v>
      </c>
      <c r="Z1528" s="2">
        <v>0</v>
      </c>
      <c r="AA1528" s="2">
        <v>120000</v>
      </c>
    </row>
    <row r="1529" spans="1:27" x14ac:dyDescent="0.3">
      <c r="A1529" s="3">
        <v>20</v>
      </c>
      <c r="B1529" s="2" t="str">
        <f>"09110009000"</f>
        <v>09110009000</v>
      </c>
      <c r="C1529" s="2" t="s">
        <v>5641</v>
      </c>
      <c r="D1529" t="s">
        <v>29</v>
      </c>
      <c r="E1529" s="2" t="s">
        <v>30</v>
      </c>
      <c r="F1529" s="2">
        <v>37209</v>
      </c>
      <c r="G1529" s="2" t="s">
        <v>64</v>
      </c>
      <c r="H1529" t="s">
        <v>280</v>
      </c>
      <c r="I1529" s="6">
        <v>41383</v>
      </c>
      <c r="J1529" s="2" t="s">
        <v>5642</v>
      </c>
      <c r="K1529" s="2">
        <v>0</v>
      </c>
      <c r="L1529" t="s">
        <v>35</v>
      </c>
      <c r="M1529" t="s">
        <v>29</v>
      </c>
      <c r="N1529" t="s">
        <v>30</v>
      </c>
      <c r="O1529">
        <v>37219</v>
      </c>
      <c r="P1529" t="s">
        <v>5643</v>
      </c>
      <c r="Q1529" s="2">
        <v>0.16</v>
      </c>
      <c r="R1529" s="2">
        <v>61</v>
      </c>
      <c r="S1529" s="2">
        <v>121</v>
      </c>
      <c r="T1529" t="s">
        <v>5644</v>
      </c>
      <c r="U1529" s="6">
        <v>24604</v>
      </c>
      <c r="V1529" s="2">
        <v>47037013300</v>
      </c>
      <c r="W1529" s="2" t="s">
        <v>68</v>
      </c>
      <c r="X1529" s="1">
        <v>45658</v>
      </c>
      <c r="Y1529" s="2">
        <v>140000</v>
      </c>
      <c r="Z1529" s="2">
        <v>0</v>
      </c>
      <c r="AA1529" s="2">
        <v>140000</v>
      </c>
    </row>
    <row r="1530" spans="1:27" x14ac:dyDescent="0.3">
      <c r="A1530" s="3">
        <v>20</v>
      </c>
      <c r="B1530" s="2" t="str">
        <f>"09110009200"</f>
        <v>09110009200</v>
      </c>
      <c r="C1530" s="2" t="s">
        <v>5645</v>
      </c>
      <c r="D1530" t="s">
        <v>29</v>
      </c>
      <c r="E1530" s="2" t="s">
        <v>30</v>
      </c>
      <c r="F1530" s="2">
        <v>37209</v>
      </c>
      <c r="G1530" s="2" t="s">
        <v>64</v>
      </c>
      <c r="H1530" t="s">
        <v>280</v>
      </c>
      <c r="I1530" s="6">
        <v>40683</v>
      </c>
      <c r="J1530" s="2" t="s">
        <v>5646</v>
      </c>
      <c r="K1530" s="2">
        <v>0</v>
      </c>
      <c r="L1530" t="s">
        <v>35</v>
      </c>
      <c r="M1530" t="s">
        <v>29</v>
      </c>
      <c r="N1530" t="s">
        <v>30</v>
      </c>
      <c r="O1530">
        <v>37219</v>
      </c>
      <c r="P1530" t="s">
        <v>5647</v>
      </c>
      <c r="Q1530" s="2">
        <v>0.17</v>
      </c>
      <c r="R1530" s="2">
        <v>49</v>
      </c>
      <c r="S1530" s="2">
        <v>164</v>
      </c>
      <c r="T1530" t="s">
        <v>5648</v>
      </c>
      <c r="U1530" s="6">
        <v>23428</v>
      </c>
      <c r="V1530" s="2">
        <v>47037013300</v>
      </c>
      <c r="W1530" s="2" t="s">
        <v>68</v>
      </c>
      <c r="X1530" s="1">
        <v>45658</v>
      </c>
      <c r="Y1530" s="2">
        <v>2000</v>
      </c>
      <c r="Z1530" s="2">
        <v>0</v>
      </c>
      <c r="AA1530" s="2">
        <v>2000</v>
      </c>
    </row>
    <row r="1531" spans="1:27" x14ac:dyDescent="0.3">
      <c r="A1531" s="3">
        <v>20</v>
      </c>
      <c r="B1531" s="2" t="str">
        <f>"09110009300"</f>
        <v>09110009300</v>
      </c>
      <c r="C1531" s="2" t="s">
        <v>5649</v>
      </c>
      <c r="D1531" t="s">
        <v>29</v>
      </c>
      <c r="E1531" s="2" t="s">
        <v>30</v>
      </c>
      <c r="F1531" s="2">
        <v>37209</v>
      </c>
      <c r="G1531" s="2" t="s">
        <v>64</v>
      </c>
      <c r="H1531" t="s">
        <v>280</v>
      </c>
      <c r="I1531" s="6">
        <v>40683</v>
      </c>
      <c r="J1531" s="2" t="s">
        <v>5650</v>
      </c>
      <c r="K1531" s="2">
        <v>0</v>
      </c>
      <c r="L1531" t="s">
        <v>35</v>
      </c>
      <c r="M1531" t="s">
        <v>29</v>
      </c>
      <c r="N1531" t="s">
        <v>30</v>
      </c>
      <c r="O1531">
        <v>37219</v>
      </c>
      <c r="P1531" t="s">
        <v>5651</v>
      </c>
      <c r="Q1531" s="2">
        <v>0.14000000000000001</v>
      </c>
      <c r="R1531" s="2">
        <v>49</v>
      </c>
      <c r="S1531" s="2">
        <v>127</v>
      </c>
      <c r="T1531" t="s">
        <v>5652</v>
      </c>
      <c r="U1531" s="6">
        <v>22607</v>
      </c>
      <c r="V1531" s="2">
        <v>47037013300</v>
      </c>
      <c r="W1531" s="2" t="s">
        <v>68</v>
      </c>
      <c r="X1531" s="1">
        <v>45658</v>
      </c>
      <c r="Y1531" s="2">
        <v>2000</v>
      </c>
      <c r="Z1531" s="2">
        <v>0</v>
      </c>
      <c r="AA1531" s="2">
        <v>2000</v>
      </c>
    </row>
    <row r="1532" spans="1:27" x14ac:dyDescent="0.3">
      <c r="A1532" s="3">
        <v>20</v>
      </c>
      <c r="B1532" s="2" t="str">
        <f>"09110039900"</f>
        <v>09110039900</v>
      </c>
      <c r="C1532" s="2" t="s">
        <v>5653</v>
      </c>
      <c r="D1532" t="s">
        <v>29</v>
      </c>
      <c r="E1532" s="2" t="s">
        <v>30</v>
      </c>
      <c r="F1532" s="2">
        <v>37209</v>
      </c>
      <c r="G1532" s="2" t="s">
        <v>194</v>
      </c>
      <c r="H1532" t="s">
        <v>280</v>
      </c>
      <c r="I1532" s="6">
        <v>45482</v>
      </c>
      <c r="J1532" s="2" t="s">
        <v>5654</v>
      </c>
      <c r="K1532" s="2">
        <v>0</v>
      </c>
      <c r="L1532" t="s">
        <v>1104</v>
      </c>
      <c r="M1532" t="s">
        <v>29</v>
      </c>
      <c r="N1532" t="s">
        <v>30</v>
      </c>
      <c r="O1532">
        <v>37208</v>
      </c>
      <c r="P1532" t="s">
        <v>5655</v>
      </c>
      <c r="Q1532" s="2">
        <v>0.12</v>
      </c>
      <c r="R1532" s="2">
        <v>50</v>
      </c>
      <c r="S1532" s="2">
        <v>112</v>
      </c>
      <c r="T1532" t="s">
        <v>5656</v>
      </c>
      <c r="U1532" s="6">
        <v>25392</v>
      </c>
      <c r="V1532" s="2">
        <v>47037013300</v>
      </c>
      <c r="W1532" s="2" t="s">
        <v>68</v>
      </c>
      <c r="X1532" s="1">
        <v>45658</v>
      </c>
      <c r="Y1532" s="2">
        <v>198300</v>
      </c>
      <c r="Z1532" s="2">
        <v>78300</v>
      </c>
      <c r="AA1532" s="2">
        <v>120000</v>
      </c>
    </row>
    <row r="1533" spans="1:27" x14ac:dyDescent="0.3">
      <c r="A1533" s="3">
        <v>20</v>
      </c>
      <c r="B1533" s="2" t="str">
        <f>"09106016800"</f>
        <v>09106016800</v>
      </c>
      <c r="C1533" s="2" t="s">
        <v>5657</v>
      </c>
      <c r="D1533" t="s">
        <v>29</v>
      </c>
      <c r="E1533" s="2" t="s">
        <v>30</v>
      </c>
      <c r="F1533" s="2">
        <v>37209</v>
      </c>
      <c r="G1533" s="2" t="s">
        <v>64</v>
      </c>
      <c r="H1533" t="s">
        <v>280</v>
      </c>
      <c r="I1533" s="6">
        <v>40766</v>
      </c>
      <c r="J1533" s="2" t="s">
        <v>5658</v>
      </c>
      <c r="K1533" s="2">
        <v>0</v>
      </c>
      <c r="L1533" t="s">
        <v>35</v>
      </c>
      <c r="M1533" t="s">
        <v>29</v>
      </c>
      <c r="N1533" t="s">
        <v>30</v>
      </c>
      <c r="O1533">
        <v>37219</v>
      </c>
      <c r="P1533" t="s">
        <v>5659</v>
      </c>
      <c r="Q1533" s="2">
        <v>0.34</v>
      </c>
      <c r="R1533" s="2">
        <v>35</v>
      </c>
      <c r="S1533" s="2">
        <v>176</v>
      </c>
      <c r="T1533" t="s">
        <v>5660</v>
      </c>
      <c r="U1533" s="6">
        <v>25395</v>
      </c>
      <c r="V1533" s="2">
        <v>47037013300</v>
      </c>
      <c r="W1533" s="2" t="s">
        <v>68</v>
      </c>
      <c r="X1533" s="1">
        <v>45658</v>
      </c>
      <c r="Y1533" s="2">
        <v>2000</v>
      </c>
      <c r="Z1533" s="2">
        <v>0</v>
      </c>
      <c r="AA1533" s="2">
        <v>2000</v>
      </c>
    </row>
    <row r="1534" spans="1:27" x14ac:dyDescent="0.3">
      <c r="A1534" s="3">
        <v>20</v>
      </c>
      <c r="B1534" s="2" t="str">
        <f>"09110001900"</f>
        <v>09110001900</v>
      </c>
      <c r="C1534" s="2" t="s">
        <v>5661</v>
      </c>
      <c r="D1534" t="s">
        <v>29</v>
      </c>
      <c r="E1534" s="2" t="s">
        <v>30</v>
      </c>
      <c r="F1534" s="2">
        <v>37209</v>
      </c>
      <c r="G1534" s="2" t="s">
        <v>64</v>
      </c>
      <c r="H1534" t="s">
        <v>280</v>
      </c>
      <c r="I1534" s="6">
        <v>40700</v>
      </c>
      <c r="J1534" s="2" t="s">
        <v>5662</v>
      </c>
      <c r="K1534" s="2">
        <v>0</v>
      </c>
      <c r="L1534" t="s">
        <v>35</v>
      </c>
      <c r="M1534" t="s">
        <v>29</v>
      </c>
      <c r="N1534" t="s">
        <v>30</v>
      </c>
      <c r="O1534">
        <v>37216</v>
      </c>
      <c r="P1534" t="s">
        <v>5663</v>
      </c>
      <c r="Q1534" s="2">
        <v>0.27</v>
      </c>
      <c r="R1534" s="2">
        <v>44</v>
      </c>
      <c r="S1534" s="2">
        <v>141</v>
      </c>
      <c r="T1534" t="s">
        <v>5664</v>
      </c>
      <c r="U1534" s="6">
        <v>26634</v>
      </c>
      <c r="V1534" s="2">
        <v>47037013300</v>
      </c>
      <c r="W1534" s="2" t="s">
        <v>68</v>
      </c>
      <c r="X1534" s="1">
        <v>45658</v>
      </c>
      <c r="Y1534" s="2">
        <v>2000</v>
      </c>
      <c r="Z1534" s="2">
        <v>0</v>
      </c>
      <c r="AA1534" s="2">
        <v>2000</v>
      </c>
    </row>
    <row r="1535" spans="1:27" x14ac:dyDescent="0.3">
      <c r="A1535" s="3">
        <v>20</v>
      </c>
      <c r="B1535" s="2" t="str">
        <f>"09106015400"</f>
        <v>09106015400</v>
      </c>
      <c r="C1535" s="2" t="s">
        <v>5665</v>
      </c>
      <c r="D1535" t="s">
        <v>29</v>
      </c>
      <c r="E1535" s="2" t="s">
        <v>30</v>
      </c>
      <c r="F1535" s="2">
        <v>37209</v>
      </c>
      <c r="G1535" s="2" t="s">
        <v>64</v>
      </c>
      <c r="H1535" t="s">
        <v>280</v>
      </c>
      <c r="I1535" s="6">
        <v>40694</v>
      </c>
      <c r="J1535" s="2" t="s">
        <v>5666</v>
      </c>
      <c r="K1535" s="2">
        <v>0</v>
      </c>
      <c r="L1535" t="s">
        <v>35</v>
      </c>
      <c r="M1535" t="s">
        <v>29</v>
      </c>
      <c r="N1535" t="s">
        <v>30</v>
      </c>
      <c r="O1535">
        <v>37219</v>
      </c>
      <c r="P1535" t="s">
        <v>5667</v>
      </c>
      <c r="Q1535" s="2">
        <v>0.14000000000000001</v>
      </c>
      <c r="R1535" s="2">
        <v>52</v>
      </c>
      <c r="S1535" s="2">
        <v>125</v>
      </c>
      <c r="T1535" t="s">
        <v>5668</v>
      </c>
      <c r="U1535" s="6">
        <v>20342</v>
      </c>
      <c r="V1535" s="2">
        <v>47037013300</v>
      </c>
      <c r="W1535" s="2" t="s">
        <v>68</v>
      </c>
      <c r="X1535" s="1">
        <v>45658</v>
      </c>
      <c r="Y1535" s="2">
        <v>2000</v>
      </c>
      <c r="Z1535" s="2">
        <v>0</v>
      </c>
      <c r="AA1535" s="2">
        <v>2000</v>
      </c>
    </row>
    <row r="1536" spans="1:27" x14ac:dyDescent="0.3">
      <c r="A1536" s="3">
        <v>20</v>
      </c>
      <c r="B1536" s="2" t="str">
        <f>"09106015300"</f>
        <v>09106015300</v>
      </c>
      <c r="C1536" s="2" t="s">
        <v>5669</v>
      </c>
      <c r="D1536" t="s">
        <v>29</v>
      </c>
      <c r="E1536" s="2" t="s">
        <v>30</v>
      </c>
      <c r="F1536" s="2">
        <v>37209</v>
      </c>
      <c r="G1536" s="2" t="s">
        <v>64</v>
      </c>
      <c r="H1536" t="s">
        <v>280</v>
      </c>
      <c r="I1536" s="6">
        <v>41395</v>
      </c>
      <c r="J1536" s="2" t="s">
        <v>5670</v>
      </c>
      <c r="K1536" s="2" t="s">
        <v>34</v>
      </c>
      <c r="L1536" t="s">
        <v>35</v>
      </c>
      <c r="M1536" t="s">
        <v>29</v>
      </c>
      <c r="N1536" t="s">
        <v>30</v>
      </c>
      <c r="O1536">
        <v>37219</v>
      </c>
      <c r="P1536" t="s">
        <v>5671</v>
      </c>
      <c r="Q1536" s="2">
        <v>0.14000000000000001</v>
      </c>
      <c r="R1536" s="2">
        <v>52</v>
      </c>
      <c r="S1536" s="2">
        <v>125</v>
      </c>
      <c r="T1536" t="s">
        <v>5672</v>
      </c>
      <c r="U1536" s="6">
        <v>26932</v>
      </c>
      <c r="V1536" s="2">
        <v>47037013300</v>
      </c>
      <c r="W1536" s="2" t="s">
        <v>68</v>
      </c>
      <c r="X1536" s="1">
        <v>45658</v>
      </c>
      <c r="Y1536" s="2">
        <v>140000</v>
      </c>
      <c r="Z1536" s="2">
        <v>0</v>
      </c>
      <c r="AA1536" s="2">
        <v>140000</v>
      </c>
    </row>
    <row r="1537" spans="1:27" x14ac:dyDescent="0.3">
      <c r="A1537" s="3">
        <v>20</v>
      </c>
      <c r="B1537" s="2" t="str">
        <f>"09106016700"</f>
        <v>09106016700</v>
      </c>
      <c r="C1537" s="2" t="s">
        <v>5673</v>
      </c>
      <c r="D1537" t="s">
        <v>29</v>
      </c>
      <c r="E1537" s="2" t="s">
        <v>30</v>
      </c>
      <c r="F1537" s="2">
        <v>37209</v>
      </c>
      <c r="G1537" s="2" t="s">
        <v>64</v>
      </c>
      <c r="H1537" t="s">
        <v>280</v>
      </c>
      <c r="I1537" s="6">
        <v>40690</v>
      </c>
      <c r="J1537" s="2" t="s">
        <v>5674</v>
      </c>
      <c r="K1537" s="2">
        <v>0</v>
      </c>
      <c r="L1537" t="s">
        <v>35</v>
      </c>
      <c r="M1537" t="s">
        <v>29</v>
      </c>
      <c r="N1537" t="s">
        <v>30</v>
      </c>
      <c r="O1537">
        <v>37219</v>
      </c>
      <c r="P1537" t="s">
        <v>5675</v>
      </c>
      <c r="Q1537" s="2">
        <v>0.2</v>
      </c>
      <c r="R1537" s="2">
        <v>69</v>
      </c>
      <c r="S1537" s="2">
        <v>153</v>
      </c>
      <c r="T1537" t="s">
        <v>5676</v>
      </c>
      <c r="U1537" s="6">
        <v>20515</v>
      </c>
      <c r="V1537" s="2">
        <v>47037013300</v>
      </c>
      <c r="W1537" s="2" t="s">
        <v>68</v>
      </c>
      <c r="X1537" s="1">
        <v>45658</v>
      </c>
      <c r="Y1537" s="2">
        <v>2000</v>
      </c>
      <c r="Z1537" s="2">
        <v>0</v>
      </c>
      <c r="AA1537" s="2">
        <v>2000</v>
      </c>
    </row>
    <row r="1538" spans="1:27" x14ac:dyDescent="0.3">
      <c r="A1538" s="3">
        <v>20</v>
      </c>
      <c r="B1538" s="2" t="str">
        <f>"09111003100"</f>
        <v>09111003100</v>
      </c>
      <c r="C1538" s="2" t="s">
        <v>5677</v>
      </c>
      <c r="D1538" t="s">
        <v>29</v>
      </c>
      <c r="E1538" s="2" t="s">
        <v>30</v>
      </c>
      <c r="F1538" s="2">
        <v>37209</v>
      </c>
      <c r="G1538" s="2" t="s">
        <v>194</v>
      </c>
      <c r="H1538" t="s">
        <v>1084</v>
      </c>
      <c r="I1538" s="6">
        <v>45261</v>
      </c>
      <c r="J1538" s="2" t="s">
        <v>5678</v>
      </c>
      <c r="K1538" s="2">
        <v>0</v>
      </c>
      <c r="L1538" t="s">
        <v>315</v>
      </c>
      <c r="M1538" t="s">
        <v>29</v>
      </c>
      <c r="N1538" t="s">
        <v>30</v>
      </c>
      <c r="O1538">
        <v>37208</v>
      </c>
      <c r="P1538" t="s">
        <v>5679</v>
      </c>
      <c r="Q1538" s="2">
        <v>0.12</v>
      </c>
      <c r="R1538" s="2">
        <v>50</v>
      </c>
      <c r="S1538" s="2">
        <v>112</v>
      </c>
      <c r="T1538" t="s">
        <v>5680</v>
      </c>
      <c r="U1538" s="6">
        <v>22462</v>
      </c>
      <c r="V1538" s="2">
        <v>47037013300</v>
      </c>
      <c r="W1538" s="2" t="s">
        <v>68</v>
      </c>
      <c r="X1538" s="1">
        <v>45658</v>
      </c>
      <c r="Y1538" s="2">
        <v>140000</v>
      </c>
      <c r="Z1538" s="2">
        <v>0</v>
      </c>
      <c r="AA1538" s="2">
        <v>140000</v>
      </c>
    </row>
    <row r="1539" spans="1:27" x14ac:dyDescent="0.3">
      <c r="A1539" s="3">
        <v>20</v>
      </c>
      <c r="B1539" s="2" t="str">
        <f>"09111001500"</f>
        <v>09111001500</v>
      </c>
      <c r="C1539" s="2" t="s">
        <v>5681</v>
      </c>
      <c r="D1539" t="s">
        <v>29</v>
      </c>
      <c r="E1539" s="2" t="s">
        <v>30</v>
      </c>
      <c r="F1539" s="2">
        <v>37209</v>
      </c>
      <c r="G1539" s="2" t="s">
        <v>194</v>
      </c>
      <c r="H1539" t="s">
        <v>1084</v>
      </c>
      <c r="I1539" s="6">
        <v>45385</v>
      </c>
      <c r="J1539" s="2" t="s">
        <v>5682</v>
      </c>
      <c r="K1539" s="2" t="s">
        <v>34</v>
      </c>
      <c r="L1539" t="s">
        <v>1104</v>
      </c>
      <c r="M1539" t="s">
        <v>29</v>
      </c>
      <c r="N1539" t="s">
        <v>30</v>
      </c>
      <c r="O1539">
        <v>37208</v>
      </c>
      <c r="P1539" t="s">
        <v>5683</v>
      </c>
      <c r="Q1539" s="2">
        <v>0.19</v>
      </c>
      <c r="R1539" s="2">
        <v>84</v>
      </c>
      <c r="S1539" s="2">
        <v>70</v>
      </c>
      <c r="T1539" t="s">
        <v>5684</v>
      </c>
      <c r="U1539" s="6">
        <v>26036</v>
      </c>
      <c r="V1539" s="2">
        <v>47037013300</v>
      </c>
      <c r="W1539" s="2" t="s">
        <v>68</v>
      </c>
      <c r="X1539" s="1">
        <v>45658</v>
      </c>
      <c r="Y1539" s="2">
        <v>140000</v>
      </c>
      <c r="Z1539" s="2">
        <v>0</v>
      </c>
      <c r="AA1539" s="2">
        <v>140000</v>
      </c>
    </row>
    <row r="1540" spans="1:27" x14ac:dyDescent="0.3">
      <c r="A1540" s="3">
        <v>20</v>
      </c>
      <c r="B1540" s="2" t="str">
        <f>"09110011600"</f>
        <v>09110011600</v>
      </c>
      <c r="C1540" s="2" t="s">
        <v>5685</v>
      </c>
      <c r="D1540" t="s">
        <v>29</v>
      </c>
      <c r="E1540" s="2" t="s">
        <v>30</v>
      </c>
      <c r="F1540" s="2">
        <v>37209</v>
      </c>
      <c r="G1540" s="2" t="s">
        <v>64</v>
      </c>
      <c r="H1540" t="s">
        <v>5686</v>
      </c>
      <c r="I1540" s="6">
        <v>42915</v>
      </c>
      <c r="J1540" s="2" t="s">
        <v>5687</v>
      </c>
      <c r="K1540" s="2" t="s">
        <v>34</v>
      </c>
      <c r="L1540" t="s">
        <v>343</v>
      </c>
      <c r="M1540" t="s">
        <v>29</v>
      </c>
      <c r="N1540" t="s">
        <v>30</v>
      </c>
      <c r="O1540">
        <v>37201</v>
      </c>
      <c r="P1540" t="s">
        <v>5688</v>
      </c>
      <c r="Q1540" s="2">
        <v>0.2</v>
      </c>
      <c r="R1540" s="2">
        <v>50</v>
      </c>
      <c r="S1540" s="2">
        <v>193</v>
      </c>
      <c r="T1540" t="s">
        <v>5689</v>
      </c>
      <c r="U1540" s="6">
        <v>22418</v>
      </c>
      <c r="V1540" s="2">
        <v>47037013300</v>
      </c>
      <c r="W1540" s="2" t="s">
        <v>68</v>
      </c>
      <c r="X1540" s="1">
        <v>45658</v>
      </c>
      <c r="Y1540" s="2">
        <v>120000</v>
      </c>
      <c r="Z1540" s="2">
        <v>0</v>
      </c>
      <c r="AA1540" s="2">
        <v>120000</v>
      </c>
    </row>
    <row r="1541" spans="1:27" x14ac:dyDescent="0.3">
      <c r="A1541" s="3">
        <v>20</v>
      </c>
      <c r="B1541" s="2" t="str">
        <f>"09110037900"</f>
        <v>09110037900</v>
      </c>
      <c r="C1541" s="2" t="s">
        <v>5690</v>
      </c>
      <c r="D1541" t="s">
        <v>29</v>
      </c>
      <c r="E1541" s="2" t="s">
        <v>30</v>
      </c>
      <c r="F1541" s="2">
        <v>37209</v>
      </c>
      <c r="G1541" s="2" t="s">
        <v>194</v>
      </c>
      <c r="H1541" t="s">
        <v>379</v>
      </c>
      <c r="I1541" s="6">
        <v>45392</v>
      </c>
      <c r="J1541" s="2" t="s">
        <v>5691</v>
      </c>
      <c r="K1541" s="2" t="s">
        <v>34</v>
      </c>
      <c r="L1541" t="s">
        <v>315</v>
      </c>
      <c r="M1541" t="s">
        <v>29</v>
      </c>
      <c r="N1541" t="s">
        <v>30</v>
      </c>
      <c r="O1541">
        <v>37208</v>
      </c>
      <c r="P1541" t="s">
        <v>5692</v>
      </c>
      <c r="Q1541" s="2">
        <v>0.17</v>
      </c>
      <c r="R1541" s="2">
        <v>46</v>
      </c>
      <c r="S1541" s="2">
        <v>172</v>
      </c>
      <c r="T1541" t="s">
        <v>5693</v>
      </c>
      <c r="U1541" s="6">
        <v>23160</v>
      </c>
      <c r="V1541" s="2">
        <v>47037013300</v>
      </c>
      <c r="W1541" s="2" t="s">
        <v>68</v>
      </c>
      <c r="X1541" s="1">
        <v>45658</v>
      </c>
      <c r="Y1541" s="2">
        <v>120000</v>
      </c>
      <c r="Z1541" s="2">
        <v>0</v>
      </c>
      <c r="AA1541" s="2">
        <v>120000</v>
      </c>
    </row>
    <row r="1542" spans="1:27" x14ac:dyDescent="0.3">
      <c r="A1542" s="3">
        <v>20</v>
      </c>
      <c r="B1542" s="2" t="str">
        <f>"09110037800"</f>
        <v>09110037800</v>
      </c>
      <c r="C1542" s="2" t="s">
        <v>5694</v>
      </c>
      <c r="D1542" t="s">
        <v>29</v>
      </c>
      <c r="E1542" s="2" t="s">
        <v>30</v>
      </c>
      <c r="F1542" s="2">
        <v>37209</v>
      </c>
      <c r="G1542" s="2" t="s">
        <v>194</v>
      </c>
      <c r="H1542" t="s">
        <v>379</v>
      </c>
      <c r="I1542" s="6">
        <v>45555</v>
      </c>
      <c r="J1542" s="2" t="s">
        <v>5695</v>
      </c>
      <c r="K1542" s="2" t="s">
        <v>34</v>
      </c>
      <c r="L1542" t="s">
        <v>315</v>
      </c>
      <c r="M1542" t="s">
        <v>29</v>
      </c>
      <c r="N1542" t="s">
        <v>30</v>
      </c>
      <c r="O1542">
        <v>37208</v>
      </c>
      <c r="P1542" t="s">
        <v>5696</v>
      </c>
      <c r="Q1542" s="2">
        <v>0.13</v>
      </c>
      <c r="R1542" s="2">
        <v>61</v>
      </c>
      <c r="S1542" s="2">
        <v>145</v>
      </c>
      <c r="T1542" t="s">
        <v>5697</v>
      </c>
      <c r="U1542" s="6">
        <v>27177</v>
      </c>
      <c r="V1542" s="2">
        <v>47037013300</v>
      </c>
      <c r="W1542" s="2" t="s">
        <v>68</v>
      </c>
      <c r="X1542" s="1">
        <v>45658</v>
      </c>
      <c r="Y1542" s="2">
        <v>268500</v>
      </c>
      <c r="Z1542" s="2">
        <v>148500</v>
      </c>
      <c r="AA1542" s="2">
        <v>120000</v>
      </c>
    </row>
    <row r="1543" spans="1:27" x14ac:dyDescent="0.3">
      <c r="A1543" s="3">
        <v>20</v>
      </c>
      <c r="B1543" s="2" t="str">
        <f>"09110037500"</f>
        <v>09110037500</v>
      </c>
      <c r="C1543" s="2" t="s">
        <v>5698</v>
      </c>
      <c r="D1543" t="s">
        <v>29</v>
      </c>
      <c r="E1543" s="2" t="s">
        <v>30</v>
      </c>
      <c r="F1543" s="2">
        <v>37209</v>
      </c>
      <c r="G1543" s="2" t="s">
        <v>194</v>
      </c>
      <c r="H1543" t="s">
        <v>379</v>
      </c>
      <c r="I1543" s="6">
        <v>45260</v>
      </c>
      <c r="J1543" s="2" t="s">
        <v>5699</v>
      </c>
      <c r="K1543" s="2">
        <v>0</v>
      </c>
      <c r="L1543" t="s">
        <v>315</v>
      </c>
      <c r="M1543" t="s">
        <v>29</v>
      </c>
      <c r="N1543" t="s">
        <v>30</v>
      </c>
      <c r="O1543">
        <v>37208</v>
      </c>
      <c r="P1543" t="s">
        <v>5700</v>
      </c>
      <c r="Q1543" s="2">
        <v>0.11</v>
      </c>
      <c r="R1543" s="2">
        <v>50</v>
      </c>
      <c r="S1543" s="2">
        <v>117</v>
      </c>
      <c r="T1543" t="s">
        <v>5701</v>
      </c>
      <c r="U1543" s="6">
        <v>27271</v>
      </c>
      <c r="V1543" s="2">
        <v>47037013300</v>
      </c>
      <c r="W1543" s="2" t="s">
        <v>68</v>
      </c>
      <c r="X1543" s="1">
        <v>45658</v>
      </c>
      <c r="Y1543" s="2">
        <v>108000</v>
      </c>
      <c r="Z1543" s="2">
        <v>0</v>
      </c>
      <c r="AA1543" s="2">
        <v>108000</v>
      </c>
    </row>
    <row r="1544" spans="1:27" x14ac:dyDescent="0.3">
      <c r="A1544" s="3">
        <v>20</v>
      </c>
      <c r="B1544" s="2" t="str">
        <f>"09110010800"</f>
        <v>09110010800</v>
      </c>
      <c r="C1544" s="2" t="s">
        <v>5702</v>
      </c>
      <c r="D1544" t="s">
        <v>29</v>
      </c>
      <c r="E1544" s="2" t="s">
        <v>30</v>
      </c>
      <c r="F1544" s="2">
        <v>37209</v>
      </c>
      <c r="G1544" s="2" t="s">
        <v>64</v>
      </c>
      <c r="H1544" t="s">
        <v>379</v>
      </c>
      <c r="I1544" s="6">
        <v>43782</v>
      </c>
      <c r="J1544" s="2" t="s">
        <v>5703</v>
      </c>
      <c r="K1544" s="2" t="s">
        <v>34</v>
      </c>
      <c r="L1544" t="s">
        <v>315</v>
      </c>
      <c r="M1544" t="s">
        <v>29</v>
      </c>
      <c r="N1544" t="s">
        <v>30</v>
      </c>
      <c r="O1544">
        <v>37208</v>
      </c>
      <c r="P1544" t="s">
        <v>5704</v>
      </c>
      <c r="Q1544" s="2">
        <v>0.22</v>
      </c>
      <c r="R1544" s="2">
        <v>50</v>
      </c>
      <c r="S1544" s="2">
        <v>189</v>
      </c>
      <c r="T1544" t="s">
        <v>5705</v>
      </c>
      <c r="U1544" s="6">
        <v>29543</v>
      </c>
      <c r="V1544" s="2">
        <v>47037013300</v>
      </c>
      <c r="W1544" s="2" t="s">
        <v>68</v>
      </c>
      <c r="X1544" s="1">
        <v>45658</v>
      </c>
      <c r="Y1544" s="2">
        <v>120000</v>
      </c>
      <c r="Z1544" s="2">
        <v>0</v>
      </c>
      <c r="AA1544" s="2">
        <v>120000</v>
      </c>
    </row>
    <row r="1545" spans="1:27" x14ac:dyDescent="0.3">
      <c r="A1545" s="3">
        <v>20</v>
      </c>
      <c r="B1545" s="2" t="str">
        <f>"09106018700"</f>
        <v>09106018700</v>
      </c>
      <c r="C1545" s="2" t="s">
        <v>5706</v>
      </c>
      <c r="D1545" t="s">
        <v>29</v>
      </c>
      <c r="E1545" s="2" t="s">
        <v>30</v>
      </c>
      <c r="F1545" s="2">
        <v>37209</v>
      </c>
      <c r="G1545" s="2" t="s">
        <v>194</v>
      </c>
      <c r="H1545" t="s">
        <v>379</v>
      </c>
      <c r="I1545" s="6">
        <v>45294</v>
      </c>
      <c r="J1545" s="2" t="s">
        <v>5707</v>
      </c>
      <c r="K1545" s="2" t="s">
        <v>34</v>
      </c>
      <c r="L1545" t="s">
        <v>315</v>
      </c>
      <c r="M1545" t="s">
        <v>29</v>
      </c>
      <c r="N1545" t="s">
        <v>30</v>
      </c>
      <c r="O1545">
        <v>37208</v>
      </c>
      <c r="P1545" t="s">
        <v>5708</v>
      </c>
      <c r="Q1545" s="2">
        <v>0.17</v>
      </c>
      <c r="R1545" s="2">
        <v>35</v>
      </c>
      <c r="S1545" s="2">
        <v>108</v>
      </c>
      <c r="T1545" t="s">
        <v>5709</v>
      </c>
      <c r="U1545" s="6">
        <v>26584</v>
      </c>
      <c r="V1545" s="2">
        <v>47037013300</v>
      </c>
      <c r="W1545" s="2" t="s">
        <v>68</v>
      </c>
      <c r="X1545" s="1">
        <v>45658</v>
      </c>
      <c r="Y1545" s="2">
        <v>140000</v>
      </c>
      <c r="Z1545" s="2">
        <v>0</v>
      </c>
      <c r="AA1545" s="2">
        <v>140000</v>
      </c>
    </row>
    <row r="1546" spans="1:27" x14ac:dyDescent="0.3">
      <c r="A1546" s="3">
        <v>20</v>
      </c>
      <c r="B1546" s="2" t="str">
        <f>"09110038200"</f>
        <v>09110038200</v>
      </c>
      <c r="C1546" s="2" t="s">
        <v>5710</v>
      </c>
      <c r="D1546" t="s">
        <v>29</v>
      </c>
      <c r="E1546" s="2" t="s">
        <v>30</v>
      </c>
      <c r="F1546" s="2">
        <v>37209</v>
      </c>
      <c r="G1546" s="2" t="s">
        <v>194</v>
      </c>
      <c r="H1546" t="s">
        <v>379</v>
      </c>
      <c r="I1546" s="6">
        <v>45751</v>
      </c>
      <c r="J1546" s="2" t="s">
        <v>5711</v>
      </c>
      <c r="K1546" s="2">
        <v>0</v>
      </c>
      <c r="L1546" t="s">
        <v>1104</v>
      </c>
      <c r="M1546" t="s">
        <v>29</v>
      </c>
      <c r="N1546" t="s">
        <v>30</v>
      </c>
      <c r="O1546">
        <v>37208</v>
      </c>
      <c r="P1546" t="s">
        <v>5712</v>
      </c>
      <c r="Q1546" s="2">
        <v>0.15</v>
      </c>
      <c r="R1546" s="2">
        <v>62</v>
      </c>
      <c r="S1546" s="2">
        <v>160</v>
      </c>
      <c r="T1546" t="s">
        <v>5713</v>
      </c>
      <c r="U1546" s="6">
        <v>25057</v>
      </c>
      <c r="V1546" s="2">
        <v>47037013300</v>
      </c>
      <c r="W1546" s="2" t="s">
        <v>68</v>
      </c>
      <c r="X1546" s="1">
        <v>45658</v>
      </c>
      <c r="Y1546" s="2">
        <v>295400</v>
      </c>
      <c r="Z1546" s="2">
        <v>175400</v>
      </c>
      <c r="AA1546" s="2">
        <v>120000</v>
      </c>
    </row>
    <row r="1547" spans="1:27" x14ac:dyDescent="0.3">
      <c r="A1547" s="3">
        <v>20</v>
      </c>
      <c r="B1547" s="2" t="str">
        <f>"09110038100"</f>
        <v>09110038100</v>
      </c>
      <c r="C1547" s="2" t="s">
        <v>5714</v>
      </c>
      <c r="D1547" t="s">
        <v>29</v>
      </c>
      <c r="E1547" s="2" t="s">
        <v>30</v>
      </c>
      <c r="F1547" s="2">
        <v>37209</v>
      </c>
      <c r="G1547" s="2" t="s">
        <v>194</v>
      </c>
      <c r="H1547" t="s">
        <v>379</v>
      </c>
      <c r="I1547" s="6">
        <v>45490</v>
      </c>
      <c r="J1547" s="2" t="s">
        <v>5715</v>
      </c>
      <c r="K1547" s="2" t="s">
        <v>34</v>
      </c>
      <c r="L1547" t="s">
        <v>1104</v>
      </c>
      <c r="M1547" t="s">
        <v>29</v>
      </c>
      <c r="N1547" t="s">
        <v>30</v>
      </c>
      <c r="O1547">
        <v>37208</v>
      </c>
      <c r="P1547" t="s">
        <v>5716</v>
      </c>
      <c r="Q1547" s="2">
        <v>0.17</v>
      </c>
      <c r="R1547" s="2">
        <v>48</v>
      </c>
      <c r="S1547" s="2">
        <v>176</v>
      </c>
      <c r="T1547" t="s">
        <v>5717</v>
      </c>
      <c r="U1547" s="6">
        <v>27180</v>
      </c>
      <c r="V1547" s="2">
        <v>47037013300</v>
      </c>
      <c r="W1547" s="2" t="s">
        <v>68</v>
      </c>
      <c r="X1547" s="1">
        <v>45658</v>
      </c>
      <c r="Y1547" s="2">
        <v>277200</v>
      </c>
      <c r="Z1547" s="2">
        <v>157200</v>
      </c>
      <c r="AA1547" s="2">
        <v>120000</v>
      </c>
    </row>
    <row r="1548" spans="1:27" x14ac:dyDescent="0.3">
      <c r="A1548" s="3">
        <v>20</v>
      </c>
      <c r="B1548" s="2" t="str">
        <f>"09110038000"</f>
        <v>09110038000</v>
      </c>
      <c r="C1548" s="2" t="s">
        <v>5718</v>
      </c>
      <c r="D1548" t="s">
        <v>29</v>
      </c>
      <c r="E1548" s="2" t="s">
        <v>30</v>
      </c>
      <c r="F1548" s="2">
        <v>37209</v>
      </c>
      <c r="G1548" s="2" t="s">
        <v>194</v>
      </c>
      <c r="H1548" t="s">
        <v>379</v>
      </c>
      <c r="I1548" s="6">
        <v>45323</v>
      </c>
      <c r="J1548" s="2" t="s">
        <v>5719</v>
      </c>
      <c r="K1548" s="2" t="s">
        <v>34</v>
      </c>
      <c r="L1548" t="s">
        <v>85</v>
      </c>
      <c r="M1548" t="s">
        <v>29</v>
      </c>
      <c r="N1548" t="s">
        <v>30</v>
      </c>
      <c r="O1548">
        <v>37219</v>
      </c>
      <c r="P1548" t="s">
        <v>5720</v>
      </c>
      <c r="Q1548" s="2">
        <v>0.21</v>
      </c>
      <c r="R1548" s="2">
        <v>48</v>
      </c>
      <c r="S1548" s="2">
        <v>176</v>
      </c>
      <c r="T1548" t="s">
        <v>5721</v>
      </c>
      <c r="U1548" s="6">
        <v>20215</v>
      </c>
      <c r="V1548" s="2">
        <v>47037013300</v>
      </c>
      <c r="W1548" s="2" t="s">
        <v>68</v>
      </c>
      <c r="X1548" s="1">
        <v>45658</v>
      </c>
      <c r="Y1548" s="2">
        <v>120000</v>
      </c>
      <c r="Z1548" s="2">
        <v>0</v>
      </c>
      <c r="AA1548" s="2">
        <v>120000</v>
      </c>
    </row>
    <row r="1549" spans="1:27" x14ac:dyDescent="0.3">
      <c r="A1549" s="3">
        <v>20</v>
      </c>
      <c r="B1549" s="2" t="str">
        <f>"09110037600"</f>
        <v>09110037600</v>
      </c>
      <c r="C1549" s="2" t="s">
        <v>5722</v>
      </c>
      <c r="D1549" t="s">
        <v>29</v>
      </c>
      <c r="E1549" s="2" t="s">
        <v>30</v>
      </c>
      <c r="F1549" s="2">
        <v>37209</v>
      </c>
      <c r="G1549" s="2" t="s">
        <v>194</v>
      </c>
      <c r="H1549" t="s">
        <v>379</v>
      </c>
      <c r="I1549" s="6">
        <v>45671</v>
      </c>
      <c r="J1549" s="2" t="s">
        <v>5723</v>
      </c>
      <c r="K1549" s="2" t="s">
        <v>34</v>
      </c>
      <c r="L1549" t="s">
        <v>315</v>
      </c>
      <c r="M1549" t="s">
        <v>29</v>
      </c>
      <c r="N1549" t="s">
        <v>30</v>
      </c>
      <c r="O1549">
        <v>37208</v>
      </c>
      <c r="P1549" t="s">
        <v>5724</v>
      </c>
      <c r="Q1549" s="2">
        <v>0.16</v>
      </c>
      <c r="R1549" s="2">
        <v>57</v>
      </c>
      <c r="S1549" s="2">
        <v>83</v>
      </c>
      <c r="T1549" t="s">
        <v>5725</v>
      </c>
      <c r="U1549" s="6">
        <v>27138</v>
      </c>
      <c r="V1549" s="2">
        <v>47037013300</v>
      </c>
      <c r="W1549" s="2" t="s">
        <v>68</v>
      </c>
      <c r="X1549" s="1">
        <v>45658</v>
      </c>
      <c r="Y1549" s="2">
        <v>247200</v>
      </c>
      <c r="Z1549" s="2">
        <v>127200</v>
      </c>
      <c r="AA1549" s="2">
        <v>120000</v>
      </c>
    </row>
    <row r="1550" spans="1:27" x14ac:dyDescent="0.3">
      <c r="A1550" s="3">
        <v>20</v>
      </c>
      <c r="B1550" s="2" t="str">
        <f>"09111003300"</f>
        <v>09111003300</v>
      </c>
      <c r="C1550" s="2" t="s">
        <v>5726</v>
      </c>
      <c r="D1550" t="s">
        <v>29</v>
      </c>
      <c r="E1550" s="2" t="s">
        <v>30</v>
      </c>
      <c r="F1550" s="2">
        <v>37209</v>
      </c>
      <c r="G1550" s="2" t="s">
        <v>194</v>
      </c>
      <c r="H1550" t="s">
        <v>379</v>
      </c>
      <c r="I1550" s="6">
        <v>45414</v>
      </c>
      <c r="J1550" s="2" t="s">
        <v>5727</v>
      </c>
      <c r="K1550" s="2">
        <v>0</v>
      </c>
      <c r="L1550" t="s">
        <v>85</v>
      </c>
      <c r="M1550" t="s">
        <v>29</v>
      </c>
      <c r="N1550" t="s">
        <v>30</v>
      </c>
      <c r="O1550">
        <v>37219</v>
      </c>
      <c r="P1550" t="s">
        <v>5728</v>
      </c>
      <c r="Q1550" s="2">
        <v>0.17</v>
      </c>
      <c r="R1550" s="2">
        <v>50</v>
      </c>
      <c r="S1550" s="2">
        <v>105</v>
      </c>
      <c r="T1550" t="s">
        <v>5729</v>
      </c>
      <c r="U1550" s="6">
        <v>20047</v>
      </c>
      <c r="V1550" s="2">
        <v>47037013300</v>
      </c>
      <c r="W1550" s="2" t="s">
        <v>68</v>
      </c>
      <c r="X1550" s="1">
        <v>45658</v>
      </c>
      <c r="Y1550" s="2">
        <v>140000</v>
      </c>
      <c r="Z1550" s="2">
        <v>0</v>
      </c>
      <c r="AA1550" s="2">
        <v>140000</v>
      </c>
    </row>
    <row r="1551" spans="1:27" x14ac:dyDescent="0.3">
      <c r="A1551" s="3">
        <v>20</v>
      </c>
      <c r="B1551" s="2" t="str">
        <f>"09110039700"</f>
        <v>09110039700</v>
      </c>
      <c r="C1551" s="2" t="s">
        <v>5730</v>
      </c>
      <c r="D1551" t="s">
        <v>29</v>
      </c>
      <c r="E1551" s="2" t="s">
        <v>30</v>
      </c>
      <c r="F1551" s="2">
        <v>37209</v>
      </c>
      <c r="G1551" s="2" t="s">
        <v>194</v>
      </c>
      <c r="H1551" t="s">
        <v>379</v>
      </c>
      <c r="I1551" s="6">
        <v>45365</v>
      </c>
      <c r="J1551" s="2" t="s">
        <v>5731</v>
      </c>
      <c r="K1551" s="2" t="s">
        <v>34</v>
      </c>
      <c r="L1551" t="s">
        <v>315</v>
      </c>
      <c r="M1551" t="s">
        <v>29</v>
      </c>
      <c r="N1551" t="s">
        <v>30</v>
      </c>
      <c r="O1551">
        <v>37208</v>
      </c>
      <c r="P1551" t="s">
        <v>5732</v>
      </c>
      <c r="Q1551" s="2">
        <v>0.12</v>
      </c>
      <c r="R1551" s="2">
        <v>50</v>
      </c>
      <c r="S1551" s="2">
        <v>112</v>
      </c>
      <c r="T1551" t="s">
        <v>5733</v>
      </c>
      <c r="U1551" s="6">
        <v>25783</v>
      </c>
      <c r="V1551" s="2">
        <v>47037013300</v>
      </c>
      <c r="W1551" s="2" t="s">
        <v>68</v>
      </c>
      <c r="X1551" s="1">
        <v>45658</v>
      </c>
      <c r="Y1551" s="2">
        <v>120000</v>
      </c>
      <c r="Z1551" s="2">
        <v>0</v>
      </c>
      <c r="AA1551" s="2">
        <v>120000</v>
      </c>
    </row>
    <row r="1552" spans="1:27" x14ac:dyDescent="0.3">
      <c r="A1552" s="3">
        <v>20</v>
      </c>
      <c r="B1552" s="2" t="str">
        <f>"09110039800"</f>
        <v>09110039800</v>
      </c>
      <c r="C1552" s="2" t="s">
        <v>5734</v>
      </c>
      <c r="D1552" t="s">
        <v>29</v>
      </c>
      <c r="E1552" s="2" t="s">
        <v>30</v>
      </c>
      <c r="F1552" s="2">
        <v>37209</v>
      </c>
      <c r="G1552" s="2" t="s">
        <v>194</v>
      </c>
      <c r="H1552" t="s">
        <v>379</v>
      </c>
      <c r="I1552" s="6">
        <v>45275</v>
      </c>
      <c r="J1552" s="2" t="s">
        <v>5735</v>
      </c>
      <c r="K1552" s="2">
        <v>0</v>
      </c>
      <c r="L1552" t="s">
        <v>315</v>
      </c>
      <c r="M1552" t="s">
        <v>29</v>
      </c>
      <c r="N1552" t="s">
        <v>30</v>
      </c>
      <c r="O1552">
        <v>37208</v>
      </c>
      <c r="P1552" t="s">
        <v>5736</v>
      </c>
      <c r="Q1552" s="2">
        <v>0.12</v>
      </c>
      <c r="R1552" s="2">
        <v>50</v>
      </c>
      <c r="S1552" s="2">
        <v>112</v>
      </c>
      <c r="T1552" t="s">
        <v>5737</v>
      </c>
      <c r="U1552" s="6">
        <v>20047</v>
      </c>
      <c r="V1552" s="2">
        <v>47037013300</v>
      </c>
      <c r="W1552" s="2" t="s">
        <v>68</v>
      </c>
      <c r="X1552" s="1">
        <v>45658</v>
      </c>
      <c r="Y1552" s="2">
        <v>120000</v>
      </c>
      <c r="Z1552" s="2">
        <v>0</v>
      </c>
      <c r="AA1552" s="2">
        <v>120000</v>
      </c>
    </row>
    <row r="1553" spans="1:27" x14ac:dyDescent="0.3">
      <c r="A1553" s="3">
        <v>20</v>
      </c>
      <c r="B1553" s="2" t="str">
        <f>"06800008200"</f>
        <v>06800008200</v>
      </c>
      <c r="C1553" s="2" t="s">
        <v>5738</v>
      </c>
      <c r="D1553" t="s">
        <v>29</v>
      </c>
      <c r="E1553" s="2" t="s">
        <v>30</v>
      </c>
      <c r="F1553" s="2">
        <v>37209</v>
      </c>
      <c r="G1553" s="2" t="s">
        <v>1485</v>
      </c>
      <c r="H1553" t="s">
        <v>2687</v>
      </c>
      <c r="I1553" s="6">
        <v>32507</v>
      </c>
      <c r="J1553" s="2" t="s">
        <v>5739</v>
      </c>
      <c r="K1553" s="2">
        <v>450300</v>
      </c>
      <c r="L1553" t="s">
        <v>2689</v>
      </c>
      <c r="M1553" t="s">
        <v>29</v>
      </c>
      <c r="N1553" t="s">
        <v>30</v>
      </c>
      <c r="O1553">
        <v>37214</v>
      </c>
      <c r="P1553" t="s">
        <v>5740</v>
      </c>
      <c r="Q1553" s="2">
        <v>12.62</v>
      </c>
      <c r="R1553" s="2">
        <v>0</v>
      </c>
      <c r="S1553" s="2">
        <v>0</v>
      </c>
      <c r="T1553" t="s">
        <v>5741</v>
      </c>
      <c r="U1553" s="6">
        <v>32498</v>
      </c>
      <c r="V1553" s="2">
        <v>47037013000</v>
      </c>
      <c r="W1553" s="2" t="s">
        <v>68</v>
      </c>
      <c r="X1553" s="1">
        <v>45658</v>
      </c>
      <c r="Y1553" s="2">
        <v>2019200</v>
      </c>
      <c r="Z1553" s="2">
        <v>0</v>
      </c>
      <c r="AA1553" s="2">
        <v>2019200</v>
      </c>
    </row>
    <row r="1554" spans="1:27" x14ac:dyDescent="0.3">
      <c r="A1554" s="3">
        <v>20</v>
      </c>
      <c r="B1554" s="2" t="str">
        <f>"06800008300"</f>
        <v>06800008300</v>
      </c>
      <c r="C1554" s="2" t="s">
        <v>5738</v>
      </c>
      <c r="D1554" t="s">
        <v>29</v>
      </c>
      <c r="E1554" s="2" t="s">
        <v>30</v>
      </c>
      <c r="F1554" s="2">
        <v>37209</v>
      </c>
      <c r="G1554" s="2" t="s">
        <v>1485</v>
      </c>
      <c r="H1554" t="s">
        <v>2687</v>
      </c>
      <c r="I1554" s="6">
        <v>27073</v>
      </c>
      <c r="J1554" s="2" t="s">
        <v>5742</v>
      </c>
      <c r="K1554" s="2" t="s">
        <v>34</v>
      </c>
      <c r="L1554" t="s">
        <v>2689</v>
      </c>
      <c r="M1554" t="s">
        <v>29</v>
      </c>
      <c r="N1554" t="s">
        <v>30</v>
      </c>
      <c r="O1554">
        <v>37214</v>
      </c>
      <c r="P1554" t="s">
        <v>5743</v>
      </c>
      <c r="Q1554" s="2">
        <v>39.93</v>
      </c>
      <c r="R1554" s="2">
        <v>0</v>
      </c>
      <c r="S1554" s="2">
        <v>0</v>
      </c>
      <c r="T1554" t="s">
        <v>5744</v>
      </c>
      <c r="U1554" s="6">
        <v>32507</v>
      </c>
      <c r="V1554" s="2">
        <v>47037013000</v>
      </c>
      <c r="W1554" s="2" t="s">
        <v>68</v>
      </c>
      <c r="X1554" s="1">
        <v>45658</v>
      </c>
      <c r="Y1554" s="2">
        <v>7586700</v>
      </c>
      <c r="Z1554" s="2">
        <v>0</v>
      </c>
      <c r="AA1554" s="2">
        <v>7586700</v>
      </c>
    </row>
    <row r="1555" spans="1:27" x14ac:dyDescent="0.3">
      <c r="A1555" s="3">
        <v>20</v>
      </c>
      <c r="B1555" s="2" t="str">
        <f>"07900010600"</f>
        <v>07900010600</v>
      </c>
      <c r="C1555" s="2" t="s">
        <v>5745</v>
      </c>
      <c r="D1555" t="s">
        <v>29</v>
      </c>
      <c r="E1555" s="2" t="s">
        <v>30</v>
      </c>
      <c r="F1555" s="2">
        <v>37209</v>
      </c>
      <c r="G1555" s="2" t="s">
        <v>1485</v>
      </c>
      <c r="H1555" t="s">
        <v>2687</v>
      </c>
      <c r="I1555" s="6">
        <v>41976</v>
      </c>
      <c r="J1555" s="2" t="s">
        <v>5746</v>
      </c>
      <c r="K1555" s="2">
        <v>0</v>
      </c>
      <c r="L1555" t="s">
        <v>5747</v>
      </c>
      <c r="M1555" t="s">
        <v>29</v>
      </c>
      <c r="N1555" t="s">
        <v>30</v>
      </c>
      <c r="O1555">
        <v>37214</v>
      </c>
      <c r="P1555" t="s">
        <v>5748</v>
      </c>
      <c r="Q1555" s="2">
        <v>15.74</v>
      </c>
      <c r="R1555" s="2">
        <v>100</v>
      </c>
      <c r="S1555" s="2">
        <v>0</v>
      </c>
      <c r="T1555" t="s">
        <v>5749</v>
      </c>
      <c r="U1555" s="6">
        <v>41935</v>
      </c>
      <c r="V1555" s="2">
        <v>47037013000</v>
      </c>
      <c r="W1555" s="2" t="s">
        <v>68</v>
      </c>
      <c r="X1555" s="1">
        <v>45658</v>
      </c>
      <c r="Y1555" s="2">
        <v>1794400</v>
      </c>
      <c r="Z1555" s="2">
        <v>0</v>
      </c>
      <c r="AA1555" s="2">
        <v>1794400</v>
      </c>
    </row>
    <row r="1556" spans="1:27" x14ac:dyDescent="0.3">
      <c r="A1556" s="3">
        <v>20</v>
      </c>
      <c r="B1556" s="2" t="str">
        <f>"07900003400"</f>
        <v>07900003400</v>
      </c>
      <c r="C1556" s="2" t="s">
        <v>5750</v>
      </c>
      <c r="D1556" t="s">
        <v>29</v>
      </c>
      <c r="E1556" s="2" t="s">
        <v>30</v>
      </c>
      <c r="F1556" s="2">
        <v>37209</v>
      </c>
      <c r="G1556" s="2" t="s">
        <v>152</v>
      </c>
      <c r="H1556" t="s">
        <v>2687</v>
      </c>
      <c r="I1556" s="6">
        <v>27073</v>
      </c>
      <c r="J1556" s="2" t="s">
        <v>5742</v>
      </c>
      <c r="K1556" s="2" t="s">
        <v>34</v>
      </c>
      <c r="L1556" t="s">
        <v>2689</v>
      </c>
      <c r="M1556" t="s">
        <v>29</v>
      </c>
      <c r="N1556" t="s">
        <v>30</v>
      </c>
      <c r="O1556">
        <v>37214</v>
      </c>
      <c r="P1556" t="s">
        <v>5751</v>
      </c>
      <c r="Q1556" s="2">
        <v>301.19</v>
      </c>
      <c r="R1556" s="2">
        <v>0</v>
      </c>
      <c r="S1556" s="2">
        <v>0</v>
      </c>
      <c r="T1556" t="s">
        <v>5337</v>
      </c>
      <c r="U1556" s="6">
        <v>32833</v>
      </c>
      <c r="V1556" s="2">
        <v>47037013000</v>
      </c>
      <c r="W1556" s="2" t="s">
        <v>68</v>
      </c>
      <c r="X1556" s="1">
        <v>45658</v>
      </c>
      <c r="Y1556" s="2">
        <v>57226100</v>
      </c>
      <c r="Z1556" s="2">
        <v>0</v>
      </c>
      <c r="AA1556" s="2">
        <v>57226100</v>
      </c>
    </row>
    <row r="1557" spans="1:27" x14ac:dyDescent="0.3">
      <c r="A1557" s="3">
        <v>21</v>
      </c>
      <c r="B1557" s="2" t="str">
        <f>"08111029400"</f>
        <v>08111029400</v>
      </c>
      <c r="C1557" s="2" t="s">
        <v>5752</v>
      </c>
      <c r="D1557" t="s">
        <v>29</v>
      </c>
      <c r="E1557" s="2" t="s">
        <v>30</v>
      </c>
      <c r="F1557" s="2">
        <v>37208</v>
      </c>
      <c r="G1557" s="2" t="s">
        <v>64</v>
      </c>
      <c r="H1557" t="s">
        <v>32</v>
      </c>
      <c r="I1557" s="6">
        <v>37970</v>
      </c>
      <c r="J1557" s="2" t="s">
        <v>5753</v>
      </c>
      <c r="K1557" s="2">
        <v>0</v>
      </c>
      <c r="L1557" t="s">
        <v>35</v>
      </c>
      <c r="M1557" t="s">
        <v>29</v>
      </c>
      <c r="N1557" t="s">
        <v>30</v>
      </c>
      <c r="O1557">
        <v>37219</v>
      </c>
      <c r="P1557" t="s">
        <v>5754</v>
      </c>
      <c r="Q1557" s="2">
        <v>0.1</v>
      </c>
      <c r="R1557" s="2">
        <v>25</v>
      </c>
      <c r="S1557" s="2">
        <v>170</v>
      </c>
      <c r="T1557" t="s">
        <v>5755</v>
      </c>
      <c r="U1557" s="6">
        <v>22762</v>
      </c>
      <c r="V1557" s="2">
        <v>47037013900</v>
      </c>
      <c r="W1557" s="2" t="s">
        <v>68</v>
      </c>
      <c r="X1557" s="1">
        <v>45658</v>
      </c>
      <c r="Y1557" s="2">
        <v>171000</v>
      </c>
      <c r="Z1557" s="2">
        <v>0</v>
      </c>
      <c r="AA1557" s="2">
        <v>171000</v>
      </c>
    </row>
    <row r="1558" spans="1:27" x14ac:dyDescent="0.3">
      <c r="A1558" s="3">
        <v>21</v>
      </c>
      <c r="B1558" s="2" t="str">
        <f>"09210043500"</f>
        <v>09210043500</v>
      </c>
      <c r="C1558" s="2" t="s">
        <v>5756</v>
      </c>
      <c r="D1558" t="s">
        <v>29</v>
      </c>
      <c r="E1558" s="2" t="s">
        <v>30</v>
      </c>
      <c r="F1558" s="2">
        <v>37209</v>
      </c>
      <c r="G1558" s="2" t="s">
        <v>41</v>
      </c>
      <c r="H1558" t="s">
        <v>32</v>
      </c>
      <c r="I1558" s="6">
        <v>42019</v>
      </c>
      <c r="J1558" s="2" t="s">
        <v>5757</v>
      </c>
      <c r="K1558" s="2">
        <v>0</v>
      </c>
      <c r="L1558" t="s">
        <v>35</v>
      </c>
      <c r="M1558" t="s">
        <v>29</v>
      </c>
      <c r="N1558" t="s">
        <v>30</v>
      </c>
      <c r="O1558">
        <v>37219</v>
      </c>
      <c r="P1558" t="s">
        <v>5758</v>
      </c>
      <c r="Q1558" s="2">
        <v>0.48</v>
      </c>
      <c r="R1558" s="2">
        <v>109</v>
      </c>
      <c r="S1558" s="2">
        <v>452</v>
      </c>
      <c r="T1558" t="s">
        <v>5759</v>
      </c>
      <c r="U1558" s="6">
        <v>36203</v>
      </c>
      <c r="V1558" s="2">
        <v>47037014400</v>
      </c>
      <c r="W1558" s="2" t="s">
        <v>68</v>
      </c>
      <c r="X1558" s="1">
        <v>45658</v>
      </c>
      <c r="Y1558" s="2">
        <v>1881800</v>
      </c>
      <c r="Z1558" s="2">
        <v>0</v>
      </c>
      <c r="AA1558" s="2">
        <v>1881800</v>
      </c>
    </row>
    <row r="1559" spans="1:27" x14ac:dyDescent="0.3">
      <c r="A1559" s="3">
        <v>21</v>
      </c>
      <c r="B1559" s="2" t="str">
        <f>"09210030200"</f>
        <v>09210030200</v>
      </c>
      <c r="C1559" s="2" t="s">
        <v>5760</v>
      </c>
      <c r="D1559" t="s">
        <v>29</v>
      </c>
      <c r="E1559" s="2" t="s">
        <v>30</v>
      </c>
      <c r="F1559" s="2">
        <v>37209</v>
      </c>
      <c r="G1559" s="2" t="s">
        <v>41</v>
      </c>
      <c r="H1559" t="s">
        <v>32</v>
      </c>
      <c r="I1559" s="6">
        <v>42019</v>
      </c>
      <c r="J1559" s="2" t="s">
        <v>5757</v>
      </c>
      <c r="K1559" s="2">
        <v>0</v>
      </c>
      <c r="L1559" t="s">
        <v>35</v>
      </c>
      <c r="M1559" t="s">
        <v>29</v>
      </c>
      <c r="N1559" t="s">
        <v>30</v>
      </c>
      <c r="O1559">
        <v>37219</v>
      </c>
      <c r="P1559" t="s">
        <v>5761</v>
      </c>
      <c r="Q1559" s="2">
        <v>1.04</v>
      </c>
      <c r="R1559" s="2">
        <v>193</v>
      </c>
      <c r="S1559" s="2">
        <v>295</v>
      </c>
      <c r="T1559" t="s">
        <v>5762</v>
      </c>
      <c r="U1559" s="6">
        <v>36188</v>
      </c>
      <c r="V1559" s="2">
        <v>47037014400</v>
      </c>
      <c r="W1559" s="2" t="s">
        <v>68</v>
      </c>
      <c r="X1559" s="1">
        <v>45658</v>
      </c>
      <c r="Y1559" s="2">
        <v>4077200</v>
      </c>
      <c r="Z1559" s="2">
        <v>0</v>
      </c>
      <c r="AA1559" s="2">
        <v>4077200</v>
      </c>
    </row>
    <row r="1560" spans="1:27" x14ac:dyDescent="0.3">
      <c r="A1560" s="3">
        <v>21</v>
      </c>
      <c r="B1560" s="2" t="str">
        <f>"09210038300"</f>
        <v>09210038300</v>
      </c>
      <c r="C1560" s="2" t="s">
        <v>5763</v>
      </c>
      <c r="D1560" t="s">
        <v>29</v>
      </c>
      <c r="E1560" s="2" t="s">
        <v>30</v>
      </c>
      <c r="F1560" s="2">
        <v>37209</v>
      </c>
      <c r="G1560" s="2" t="s">
        <v>2706</v>
      </c>
      <c r="H1560" t="s">
        <v>32</v>
      </c>
      <c r="I1560" s="6">
        <v>41793</v>
      </c>
      <c r="J1560" s="2" t="s">
        <v>5764</v>
      </c>
      <c r="K1560" s="2">
        <v>0</v>
      </c>
      <c r="L1560" t="s">
        <v>35</v>
      </c>
      <c r="M1560" t="s">
        <v>29</v>
      </c>
      <c r="N1560" t="s">
        <v>30</v>
      </c>
      <c r="O1560">
        <v>37219</v>
      </c>
      <c r="P1560" t="s">
        <v>5765</v>
      </c>
      <c r="Q1560" s="2">
        <v>4.3499999999999996</v>
      </c>
      <c r="R1560" s="2">
        <v>433</v>
      </c>
      <c r="S1560" s="2">
        <v>85</v>
      </c>
      <c r="T1560" t="s">
        <v>5766</v>
      </c>
      <c r="U1560" s="6">
        <v>41726</v>
      </c>
      <c r="V1560" s="2">
        <v>47037014400</v>
      </c>
      <c r="W1560" s="2" t="s">
        <v>68</v>
      </c>
      <c r="X1560" s="1">
        <v>45658</v>
      </c>
      <c r="Y1560" s="2">
        <v>28422900</v>
      </c>
      <c r="Z1560" s="2">
        <v>0</v>
      </c>
      <c r="AA1560" s="2">
        <v>28422900</v>
      </c>
    </row>
    <row r="1561" spans="1:27" x14ac:dyDescent="0.3">
      <c r="A1561" s="3">
        <v>21</v>
      </c>
      <c r="B1561" s="2" t="str">
        <f>"09209010700"</f>
        <v>09209010700</v>
      </c>
      <c r="C1561" s="2" t="s">
        <v>5767</v>
      </c>
      <c r="D1561" t="s">
        <v>29</v>
      </c>
      <c r="E1561" s="2" t="s">
        <v>30</v>
      </c>
      <c r="F1561" s="2">
        <v>37209</v>
      </c>
      <c r="G1561" s="2" t="s">
        <v>64</v>
      </c>
      <c r="H1561" t="s">
        <v>32</v>
      </c>
      <c r="I1561" s="6">
        <v>41206</v>
      </c>
      <c r="J1561" s="2" t="s">
        <v>5768</v>
      </c>
      <c r="K1561" s="2" t="s">
        <v>34</v>
      </c>
      <c r="L1561" t="s">
        <v>35</v>
      </c>
      <c r="M1561" t="s">
        <v>29</v>
      </c>
      <c r="N1561" t="s">
        <v>30</v>
      </c>
      <c r="O1561">
        <v>37219</v>
      </c>
      <c r="P1561" t="s">
        <v>5769</v>
      </c>
      <c r="Q1561" s="2">
        <v>7.0000000000000007E-2</v>
      </c>
      <c r="R1561" s="2">
        <v>50</v>
      </c>
      <c r="S1561" s="2">
        <v>85</v>
      </c>
      <c r="T1561" t="s">
        <v>5770</v>
      </c>
      <c r="U1561" s="6">
        <v>24411</v>
      </c>
      <c r="V1561" s="2">
        <v>47037013601</v>
      </c>
      <c r="W1561" s="2" t="s">
        <v>68</v>
      </c>
      <c r="X1561" s="1">
        <v>45658</v>
      </c>
      <c r="Y1561" s="2">
        <v>1200</v>
      </c>
      <c r="Z1561" s="2">
        <v>0</v>
      </c>
      <c r="AA1561" s="2">
        <v>1200</v>
      </c>
    </row>
    <row r="1562" spans="1:27" x14ac:dyDescent="0.3">
      <c r="A1562" s="3">
        <v>21</v>
      </c>
      <c r="B1562" s="2" t="str">
        <f>"09202024200"</f>
        <v>09202024200</v>
      </c>
      <c r="C1562" s="2" t="s">
        <v>5771</v>
      </c>
      <c r="D1562" t="s">
        <v>29</v>
      </c>
      <c r="E1562" s="2" t="s">
        <v>30</v>
      </c>
      <c r="F1562" s="2">
        <v>37208</v>
      </c>
      <c r="G1562" s="2" t="s">
        <v>64</v>
      </c>
      <c r="H1562" t="s">
        <v>99</v>
      </c>
      <c r="I1562" s="6">
        <v>28593</v>
      </c>
      <c r="J1562" s="2" t="s">
        <v>5772</v>
      </c>
      <c r="K1562" s="2">
        <v>306</v>
      </c>
      <c r="L1562" t="s">
        <v>35</v>
      </c>
      <c r="M1562" t="s">
        <v>29</v>
      </c>
      <c r="N1562" t="s">
        <v>30</v>
      </c>
      <c r="O1562">
        <v>37210</v>
      </c>
      <c r="P1562" t="s">
        <v>5773</v>
      </c>
      <c r="Q1562" s="2">
        <v>0.02</v>
      </c>
      <c r="R1562" s="2">
        <v>59</v>
      </c>
      <c r="S1562" s="2">
        <v>46</v>
      </c>
      <c r="T1562" t="s">
        <v>5774</v>
      </c>
      <c r="U1562" s="6">
        <v>18515</v>
      </c>
      <c r="V1562" s="2">
        <v>47037014300</v>
      </c>
      <c r="W1562" s="2" t="s">
        <v>68</v>
      </c>
      <c r="X1562" s="1">
        <v>45658</v>
      </c>
      <c r="Y1562" s="2">
        <v>7500</v>
      </c>
      <c r="Z1562" s="2">
        <v>0</v>
      </c>
      <c r="AA1562" s="2">
        <v>7500</v>
      </c>
    </row>
    <row r="1563" spans="1:27" x14ac:dyDescent="0.3">
      <c r="A1563" s="3">
        <v>21</v>
      </c>
      <c r="B1563" s="2" t="str">
        <f>"09206040800"</f>
        <v>09206040800</v>
      </c>
      <c r="C1563" s="2" t="s">
        <v>5775</v>
      </c>
      <c r="D1563" t="s">
        <v>29</v>
      </c>
      <c r="E1563" s="2" t="s">
        <v>30</v>
      </c>
      <c r="F1563" s="2">
        <v>37209</v>
      </c>
      <c r="G1563" s="2" t="s">
        <v>64</v>
      </c>
      <c r="H1563" t="s">
        <v>99</v>
      </c>
      <c r="I1563" s="6">
        <v>28145</v>
      </c>
      <c r="J1563" s="2" t="s">
        <v>5776</v>
      </c>
      <c r="K1563" s="2">
        <v>304</v>
      </c>
      <c r="L1563" t="s">
        <v>35</v>
      </c>
      <c r="M1563" t="s">
        <v>29</v>
      </c>
      <c r="N1563" t="s">
        <v>30</v>
      </c>
      <c r="O1563">
        <v>37219</v>
      </c>
      <c r="P1563" t="s">
        <v>5777</v>
      </c>
      <c r="Q1563" s="2">
        <v>0.03</v>
      </c>
      <c r="R1563" s="2">
        <v>32</v>
      </c>
      <c r="S1563" s="2">
        <v>52</v>
      </c>
      <c r="T1563" t="s">
        <v>5778</v>
      </c>
      <c r="U1563" s="6">
        <v>16637</v>
      </c>
      <c r="V1563" s="2">
        <v>47037013601</v>
      </c>
      <c r="W1563" s="2" t="s">
        <v>68</v>
      </c>
      <c r="X1563" s="1">
        <v>45658</v>
      </c>
      <c r="Y1563" s="2">
        <v>100</v>
      </c>
      <c r="Z1563" s="2">
        <v>0</v>
      </c>
      <c r="AA1563" s="2">
        <v>100</v>
      </c>
    </row>
    <row r="1564" spans="1:27" x14ac:dyDescent="0.3">
      <c r="A1564" s="3">
        <v>21</v>
      </c>
      <c r="B1564" s="2" t="str">
        <f>"08111027100"</f>
        <v>08111027100</v>
      </c>
      <c r="C1564" s="2" t="s">
        <v>5779</v>
      </c>
      <c r="D1564" t="s">
        <v>29</v>
      </c>
      <c r="E1564" s="2" t="s">
        <v>30</v>
      </c>
      <c r="F1564" s="2">
        <v>37208</v>
      </c>
      <c r="G1564" s="2" t="s">
        <v>64</v>
      </c>
      <c r="H1564" t="s">
        <v>99</v>
      </c>
      <c r="I1564" s="6">
        <v>26885</v>
      </c>
      <c r="J1564" s="2" t="s">
        <v>5780</v>
      </c>
      <c r="K1564" s="2">
        <v>165</v>
      </c>
      <c r="L1564" t="s">
        <v>35</v>
      </c>
      <c r="M1564" t="s">
        <v>29</v>
      </c>
      <c r="N1564" t="s">
        <v>30</v>
      </c>
      <c r="O1564">
        <v>37219</v>
      </c>
      <c r="P1564" t="s">
        <v>5781</v>
      </c>
      <c r="Q1564" s="2">
        <v>0.01</v>
      </c>
      <c r="R1564" s="2">
        <v>5</v>
      </c>
      <c r="S1564" s="2">
        <v>170</v>
      </c>
      <c r="T1564" t="s">
        <v>5782</v>
      </c>
      <c r="U1564" s="6">
        <v>19998</v>
      </c>
      <c r="V1564" s="2">
        <v>47037013900</v>
      </c>
      <c r="W1564" s="2" t="s">
        <v>68</v>
      </c>
      <c r="X1564" s="1">
        <v>45658</v>
      </c>
      <c r="Y1564" s="2">
        <v>200</v>
      </c>
      <c r="Z1564" s="2">
        <v>0</v>
      </c>
      <c r="AA1564" s="2">
        <v>200</v>
      </c>
    </row>
    <row r="1565" spans="1:27" x14ac:dyDescent="0.3">
      <c r="A1565" s="3">
        <v>21</v>
      </c>
      <c r="B1565" s="2" t="str">
        <f>"08115039800"</f>
        <v>08115039800</v>
      </c>
      <c r="C1565" s="2" t="s">
        <v>5783</v>
      </c>
      <c r="D1565" t="s">
        <v>29</v>
      </c>
      <c r="E1565" s="2" t="s">
        <v>30</v>
      </c>
      <c r="F1565" s="2">
        <v>37208</v>
      </c>
      <c r="G1565" s="2" t="s">
        <v>64</v>
      </c>
      <c r="H1565" t="s">
        <v>99</v>
      </c>
      <c r="I1565" s="6">
        <v>28110</v>
      </c>
      <c r="J1565" s="2" t="s">
        <v>5784</v>
      </c>
      <c r="K1565" s="2">
        <v>368</v>
      </c>
      <c r="L1565" t="s">
        <v>35</v>
      </c>
      <c r="M1565" t="s">
        <v>29</v>
      </c>
      <c r="N1565" t="s">
        <v>30</v>
      </c>
      <c r="O1565">
        <v>37219</v>
      </c>
      <c r="P1565" t="s">
        <v>5785</v>
      </c>
      <c r="Q1565" s="2">
        <v>0.05</v>
      </c>
      <c r="R1565" s="2">
        <v>30</v>
      </c>
      <c r="S1565" s="2">
        <v>90</v>
      </c>
      <c r="T1565" t="s">
        <v>5786</v>
      </c>
      <c r="U1565" s="6">
        <v>13995</v>
      </c>
      <c r="V1565" s="2">
        <v>47037013900</v>
      </c>
      <c r="W1565" s="2" t="s">
        <v>68</v>
      </c>
      <c r="X1565" s="1">
        <v>45658</v>
      </c>
      <c r="Y1565" s="2">
        <v>1500</v>
      </c>
      <c r="Z1565" s="2">
        <v>0</v>
      </c>
      <c r="AA1565" s="2">
        <v>1500</v>
      </c>
    </row>
    <row r="1566" spans="1:27" x14ac:dyDescent="0.3">
      <c r="A1566" s="3">
        <v>21</v>
      </c>
      <c r="B1566" s="2" t="str">
        <f>"09202025700"</f>
        <v>09202025700</v>
      </c>
      <c r="C1566" s="2" t="s">
        <v>5787</v>
      </c>
      <c r="D1566" t="s">
        <v>29</v>
      </c>
      <c r="E1566" s="2" t="s">
        <v>30</v>
      </c>
      <c r="F1566" s="2">
        <v>37208</v>
      </c>
      <c r="G1566" s="2" t="s">
        <v>64</v>
      </c>
      <c r="H1566" t="s">
        <v>99</v>
      </c>
      <c r="I1566" s="6">
        <v>36825</v>
      </c>
      <c r="J1566" s="2" t="s">
        <v>5788</v>
      </c>
      <c r="K1566" s="2">
        <v>0</v>
      </c>
      <c r="L1566" t="s">
        <v>35</v>
      </c>
      <c r="M1566" t="s">
        <v>29</v>
      </c>
      <c r="N1566" t="s">
        <v>30</v>
      </c>
      <c r="O1566">
        <v>37210</v>
      </c>
      <c r="P1566" t="s">
        <v>5789</v>
      </c>
      <c r="Q1566" s="2">
        <v>0.04</v>
      </c>
      <c r="R1566" s="2">
        <v>50</v>
      </c>
      <c r="S1566" s="2">
        <v>70</v>
      </c>
      <c r="T1566" t="s">
        <v>5790</v>
      </c>
      <c r="U1566" s="6">
        <v>14733</v>
      </c>
      <c r="V1566" s="2">
        <v>47037014300</v>
      </c>
      <c r="W1566" s="2" t="s">
        <v>68</v>
      </c>
      <c r="X1566" s="1">
        <v>45658</v>
      </c>
      <c r="Y1566" s="2">
        <v>10000</v>
      </c>
      <c r="Z1566" s="2">
        <v>0</v>
      </c>
      <c r="AA1566" s="2">
        <v>10000</v>
      </c>
    </row>
    <row r="1567" spans="1:27" x14ac:dyDescent="0.3">
      <c r="A1567" s="3">
        <v>21</v>
      </c>
      <c r="B1567" s="2" t="str">
        <f>"09206005700"</f>
        <v>09206005700</v>
      </c>
      <c r="C1567" s="2" t="s">
        <v>5791</v>
      </c>
      <c r="D1567" t="s">
        <v>29</v>
      </c>
      <c r="E1567" s="2" t="s">
        <v>30</v>
      </c>
      <c r="F1567" s="2">
        <v>37208</v>
      </c>
      <c r="G1567" s="2" t="s">
        <v>64</v>
      </c>
      <c r="H1567" t="s">
        <v>99</v>
      </c>
      <c r="I1567" s="6">
        <v>28670</v>
      </c>
      <c r="J1567" s="2" t="s">
        <v>5792</v>
      </c>
      <c r="K1567" s="2">
        <v>321</v>
      </c>
      <c r="L1567" t="s">
        <v>35</v>
      </c>
      <c r="M1567" t="s">
        <v>29</v>
      </c>
      <c r="N1567" t="s">
        <v>30</v>
      </c>
      <c r="O1567">
        <v>37219</v>
      </c>
      <c r="P1567" t="s">
        <v>5793</v>
      </c>
      <c r="Q1567" s="2">
        <v>0.09</v>
      </c>
      <c r="R1567" s="2">
        <v>130</v>
      </c>
      <c r="S1567" s="2">
        <v>117</v>
      </c>
      <c r="T1567" t="s">
        <v>5794</v>
      </c>
      <c r="U1567" s="6">
        <v>30425</v>
      </c>
      <c r="V1567" s="2">
        <v>47037014300</v>
      </c>
      <c r="W1567" s="2" t="s">
        <v>68</v>
      </c>
      <c r="X1567" s="1">
        <v>45658</v>
      </c>
      <c r="Y1567" s="2">
        <v>90000</v>
      </c>
      <c r="Z1567" s="2">
        <v>0</v>
      </c>
      <c r="AA1567" s="2">
        <v>90000</v>
      </c>
    </row>
    <row r="1568" spans="1:27" x14ac:dyDescent="0.3">
      <c r="A1568" s="3">
        <v>21</v>
      </c>
      <c r="B1568" s="2" t="str">
        <f>"09206012200"</f>
        <v>09206012200</v>
      </c>
      <c r="C1568" s="2" t="s">
        <v>5795</v>
      </c>
      <c r="D1568" t="s">
        <v>29</v>
      </c>
      <c r="E1568" s="2" t="s">
        <v>30</v>
      </c>
      <c r="F1568" s="2">
        <v>37208</v>
      </c>
      <c r="G1568" s="2" t="s">
        <v>64</v>
      </c>
      <c r="H1568" t="s">
        <v>99</v>
      </c>
      <c r="I1568" s="6">
        <v>28145</v>
      </c>
      <c r="J1568" s="2" t="s">
        <v>5796</v>
      </c>
      <c r="K1568" s="2">
        <v>308</v>
      </c>
      <c r="L1568" t="s">
        <v>35</v>
      </c>
      <c r="M1568" t="s">
        <v>29</v>
      </c>
      <c r="N1568" t="s">
        <v>30</v>
      </c>
      <c r="O1568">
        <v>37219</v>
      </c>
      <c r="P1568" t="s">
        <v>5797</v>
      </c>
      <c r="Q1568" s="2">
        <v>0.01</v>
      </c>
      <c r="R1568" s="2">
        <v>2</v>
      </c>
      <c r="S1568" s="2">
        <v>199</v>
      </c>
      <c r="T1568" t="s">
        <v>5798</v>
      </c>
      <c r="U1568" s="6">
        <v>22678</v>
      </c>
      <c r="V1568" s="2">
        <v>47037014300</v>
      </c>
      <c r="W1568" s="2" t="s">
        <v>68</v>
      </c>
      <c r="X1568" s="1">
        <v>45658</v>
      </c>
      <c r="Y1568" s="2">
        <v>50000</v>
      </c>
      <c r="Z1568" s="2">
        <v>0</v>
      </c>
      <c r="AA1568" s="2">
        <v>50000</v>
      </c>
    </row>
    <row r="1569" spans="1:27" x14ac:dyDescent="0.3">
      <c r="A1569" s="3">
        <v>21</v>
      </c>
      <c r="B1569" s="2" t="str">
        <f>"09206017300"</f>
        <v>09206017300</v>
      </c>
      <c r="C1569" s="2" t="s">
        <v>5799</v>
      </c>
      <c r="D1569" t="s">
        <v>29</v>
      </c>
      <c r="E1569" s="2" t="s">
        <v>30</v>
      </c>
      <c r="F1569" s="2">
        <v>37209</v>
      </c>
      <c r="G1569" s="2" t="s">
        <v>64</v>
      </c>
      <c r="H1569" t="s">
        <v>99</v>
      </c>
      <c r="I1569" s="6">
        <v>41198</v>
      </c>
      <c r="J1569" s="2" t="s">
        <v>5800</v>
      </c>
      <c r="K1569" s="2">
        <v>860</v>
      </c>
      <c r="L1569" t="s">
        <v>35</v>
      </c>
      <c r="M1569" t="s">
        <v>29</v>
      </c>
      <c r="N1569" t="s">
        <v>30</v>
      </c>
      <c r="O1569">
        <v>37219</v>
      </c>
      <c r="P1569" t="s">
        <v>5801</v>
      </c>
      <c r="Q1569" s="2">
        <v>0.04</v>
      </c>
      <c r="R1569" s="2">
        <v>41</v>
      </c>
      <c r="S1569" s="2">
        <v>85</v>
      </c>
      <c r="T1569" t="s">
        <v>5802</v>
      </c>
      <c r="U1569" s="6">
        <v>23015</v>
      </c>
      <c r="V1569" s="2">
        <v>47037013601</v>
      </c>
      <c r="W1569" s="2" t="s">
        <v>68</v>
      </c>
      <c r="X1569" s="1">
        <v>45658</v>
      </c>
      <c r="Y1569" s="2">
        <v>100</v>
      </c>
      <c r="Z1569" s="2">
        <v>0</v>
      </c>
      <c r="AA1569" s="2">
        <v>100</v>
      </c>
    </row>
    <row r="1570" spans="1:27" x14ac:dyDescent="0.3">
      <c r="A1570" s="3">
        <v>21</v>
      </c>
      <c r="B1570" s="2" t="str">
        <f>"09206062500"</f>
        <v>09206062500</v>
      </c>
      <c r="C1570" s="2" t="s">
        <v>5803</v>
      </c>
      <c r="D1570" t="s">
        <v>29</v>
      </c>
      <c r="E1570" s="2" t="s">
        <v>30</v>
      </c>
      <c r="F1570" s="2">
        <v>37208</v>
      </c>
      <c r="G1570" s="2" t="s">
        <v>64</v>
      </c>
      <c r="H1570" t="s">
        <v>99</v>
      </c>
      <c r="I1570" s="6">
        <v>27493</v>
      </c>
      <c r="J1570" s="2" t="s">
        <v>5804</v>
      </c>
      <c r="K1570" s="2">
        <v>0</v>
      </c>
      <c r="L1570" t="s">
        <v>35</v>
      </c>
      <c r="M1570" t="s">
        <v>29</v>
      </c>
      <c r="N1570" t="s">
        <v>30</v>
      </c>
      <c r="O1570">
        <v>37219</v>
      </c>
      <c r="P1570" t="s">
        <v>5805</v>
      </c>
      <c r="Q1570" s="2">
        <v>0.04</v>
      </c>
      <c r="R1570" s="2">
        <v>10</v>
      </c>
      <c r="S1570" s="2">
        <v>153</v>
      </c>
      <c r="T1570" t="s">
        <v>5806</v>
      </c>
      <c r="U1570" s="6">
        <v>21923</v>
      </c>
      <c r="V1570" s="2">
        <v>47037014300</v>
      </c>
      <c r="W1570" s="2" t="s">
        <v>68</v>
      </c>
      <c r="X1570" s="1">
        <v>45658</v>
      </c>
      <c r="Y1570" s="2">
        <v>50000</v>
      </c>
      <c r="Z1570" s="2">
        <v>0</v>
      </c>
      <c r="AA1570" s="2">
        <v>50000</v>
      </c>
    </row>
    <row r="1571" spans="1:27" x14ac:dyDescent="0.3">
      <c r="A1571" s="3">
        <v>21</v>
      </c>
      <c r="B1571" s="2" t="str">
        <f>"09206029300"</f>
        <v>09206029300</v>
      </c>
      <c r="C1571" s="2" t="s">
        <v>5807</v>
      </c>
      <c r="D1571" t="s">
        <v>29</v>
      </c>
      <c r="E1571" s="2" t="s">
        <v>30</v>
      </c>
      <c r="F1571" s="2">
        <v>37209</v>
      </c>
      <c r="G1571" s="2" t="s">
        <v>64</v>
      </c>
      <c r="H1571" t="s">
        <v>99</v>
      </c>
      <c r="I1571" s="6">
        <v>28145</v>
      </c>
      <c r="J1571" s="2" t="s">
        <v>5808</v>
      </c>
      <c r="K1571" s="2">
        <v>300</v>
      </c>
      <c r="L1571" t="s">
        <v>35</v>
      </c>
      <c r="M1571" t="s">
        <v>29</v>
      </c>
      <c r="N1571" t="s">
        <v>30</v>
      </c>
      <c r="O1571">
        <v>37219</v>
      </c>
      <c r="P1571" t="s">
        <v>5809</v>
      </c>
      <c r="Q1571" s="2">
        <v>0.02</v>
      </c>
      <c r="R1571" s="2">
        <v>47</v>
      </c>
      <c r="S1571" s="2">
        <v>25</v>
      </c>
      <c r="T1571" t="s">
        <v>5810</v>
      </c>
      <c r="U1571" s="6">
        <v>3789</v>
      </c>
      <c r="V1571" s="2">
        <v>47037013601</v>
      </c>
      <c r="W1571" s="2" t="s">
        <v>68</v>
      </c>
      <c r="X1571" s="1">
        <v>45658</v>
      </c>
      <c r="Y1571" s="2">
        <v>100</v>
      </c>
      <c r="Z1571" s="2">
        <v>0</v>
      </c>
      <c r="AA1571" s="2">
        <v>100</v>
      </c>
    </row>
    <row r="1572" spans="1:27" x14ac:dyDescent="0.3">
      <c r="A1572" s="3">
        <v>21</v>
      </c>
      <c r="B1572" s="2" t="str">
        <f>"09209015800"</f>
        <v>09209015800</v>
      </c>
      <c r="C1572" s="2" t="s">
        <v>5811</v>
      </c>
      <c r="D1572" t="s">
        <v>29</v>
      </c>
      <c r="E1572" s="2" t="s">
        <v>30</v>
      </c>
      <c r="F1572" s="2">
        <v>37209</v>
      </c>
      <c r="G1572" s="2" t="s">
        <v>64</v>
      </c>
      <c r="H1572" t="s">
        <v>99</v>
      </c>
      <c r="I1572" s="6">
        <v>28110</v>
      </c>
      <c r="J1572" s="2" t="s">
        <v>5812</v>
      </c>
      <c r="K1572" s="2">
        <v>316</v>
      </c>
      <c r="L1572" t="s">
        <v>35</v>
      </c>
      <c r="M1572" t="s">
        <v>29</v>
      </c>
      <c r="N1572" t="s">
        <v>30</v>
      </c>
      <c r="O1572">
        <v>37219</v>
      </c>
      <c r="P1572" t="s">
        <v>5813</v>
      </c>
      <c r="Q1572" s="2">
        <v>0.02</v>
      </c>
      <c r="R1572" s="2">
        <v>26</v>
      </c>
      <c r="S1572" s="2">
        <v>67</v>
      </c>
      <c r="T1572" t="s">
        <v>5814</v>
      </c>
      <c r="U1572" s="6">
        <v>23348</v>
      </c>
      <c r="V1572" s="2">
        <v>47037013601</v>
      </c>
      <c r="W1572" s="2" t="s">
        <v>68</v>
      </c>
      <c r="X1572" s="1">
        <v>45658</v>
      </c>
      <c r="Y1572" s="2">
        <v>100</v>
      </c>
      <c r="Z1572" s="2">
        <v>0</v>
      </c>
      <c r="AA1572" s="2">
        <v>100</v>
      </c>
    </row>
    <row r="1573" spans="1:27" x14ac:dyDescent="0.3">
      <c r="A1573" s="3">
        <v>21</v>
      </c>
      <c r="B1573" s="2" t="str">
        <f>"091040A00200CO"</f>
        <v>091040A00200CO</v>
      </c>
      <c r="C1573" s="2" t="s">
        <v>5815</v>
      </c>
      <c r="D1573" t="s">
        <v>29</v>
      </c>
      <c r="E1573" s="2" t="s">
        <v>30</v>
      </c>
      <c r="F1573" s="2">
        <v>37209</v>
      </c>
      <c r="G1573" s="2" t="s">
        <v>64</v>
      </c>
      <c r="H1573" t="s">
        <v>99</v>
      </c>
      <c r="I1573" s="6">
        <v>40891</v>
      </c>
      <c r="J1573" s="2" t="s">
        <v>5816</v>
      </c>
      <c r="K1573" s="2">
        <v>1008</v>
      </c>
      <c r="L1573" t="s">
        <v>35</v>
      </c>
      <c r="M1573" t="s">
        <v>29</v>
      </c>
      <c r="N1573" t="s">
        <v>30</v>
      </c>
      <c r="O1573">
        <v>37219</v>
      </c>
      <c r="P1573" t="s">
        <v>5817</v>
      </c>
      <c r="Q1573" s="2">
        <v>0</v>
      </c>
      <c r="R1573" s="2">
        <v>0</v>
      </c>
      <c r="S1573" s="2">
        <v>0</v>
      </c>
      <c r="T1573" t="s">
        <v>5818</v>
      </c>
      <c r="U1573" s="6">
        <v>38944</v>
      </c>
      <c r="V1573" s="2">
        <v>47037013601</v>
      </c>
      <c r="W1573" s="2" t="s">
        <v>68</v>
      </c>
      <c r="X1573" s="1">
        <v>45658</v>
      </c>
      <c r="Y1573" s="2">
        <v>120000</v>
      </c>
      <c r="Z1573" s="2">
        <v>0</v>
      </c>
      <c r="AA1573" s="2">
        <v>120000</v>
      </c>
    </row>
    <row r="1574" spans="1:27" x14ac:dyDescent="0.3">
      <c r="A1574" s="3">
        <v>21</v>
      </c>
      <c r="B1574" s="2" t="str">
        <f>"09202021800"</f>
        <v>09202021800</v>
      </c>
      <c r="C1574" s="2" t="s">
        <v>5819</v>
      </c>
      <c r="D1574" t="s">
        <v>29</v>
      </c>
      <c r="E1574" s="2" t="s">
        <v>30</v>
      </c>
      <c r="F1574" s="2">
        <v>37208</v>
      </c>
      <c r="G1574" s="2" t="s">
        <v>64</v>
      </c>
      <c r="H1574" t="s">
        <v>99</v>
      </c>
      <c r="I1574" s="6">
        <v>28306</v>
      </c>
      <c r="J1574" s="2" t="s">
        <v>5820</v>
      </c>
      <c r="K1574" s="2">
        <v>155</v>
      </c>
      <c r="L1574" t="s">
        <v>35</v>
      </c>
      <c r="M1574" t="s">
        <v>29</v>
      </c>
      <c r="N1574" t="s">
        <v>30</v>
      </c>
      <c r="O1574">
        <v>37210</v>
      </c>
      <c r="P1574" t="s">
        <v>5821</v>
      </c>
      <c r="Q1574" s="2">
        <v>0.02</v>
      </c>
      <c r="R1574" s="2">
        <v>44</v>
      </c>
      <c r="S1574" s="2">
        <v>37</v>
      </c>
      <c r="T1574" t="s">
        <v>5822</v>
      </c>
      <c r="U1574" s="6">
        <v>23594</v>
      </c>
      <c r="V1574" s="2">
        <v>47037014300</v>
      </c>
      <c r="W1574" s="2" t="s">
        <v>68</v>
      </c>
      <c r="X1574" s="1">
        <v>45658</v>
      </c>
      <c r="Y1574" s="2">
        <v>7500</v>
      </c>
      <c r="Z1574" s="2">
        <v>0</v>
      </c>
      <c r="AA1574" s="2">
        <v>7500</v>
      </c>
    </row>
    <row r="1575" spans="1:27" x14ac:dyDescent="0.3">
      <c r="A1575" s="3">
        <v>21</v>
      </c>
      <c r="B1575" s="2" t="str">
        <f>"08116001900"</f>
        <v>08116001900</v>
      </c>
      <c r="C1575" s="2" t="s">
        <v>5823</v>
      </c>
      <c r="D1575" t="s">
        <v>29</v>
      </c>
      <c r="E1575" s="2" t="s">
        <v>30</v>
      </c>
      <c r="F1575" s="2">
        <v>37208</v>
      </c>
      <c r="G1575" s="2" t="s">
        <v>64</v>
      </c>
      <c r="H1575" t="s">
        <v>99</v>
      </c>
      <c r="I1575" s="6">
        <v>30238</v>
      </c>
      <c r="J1575" s="2" t="s">
        <v>5824</v>
      </c>
      <c r="K1575" s="2">
        <v>118</v>
      </c>
      <c r="L1575" t="s">
        <v>35</v>
      </c>
      <c r="M1575" t="s">
        <v>29</v>
      </c>
      <c r="N1575" t="s">
        <v>30</v>
      </c>
      <c r="O1575">
        <v>37219</v>
      </c>
      <c r="P1575" t="s">
        <v>5825</v>
      </c>
      <c r="Q1575" s="2">
        <v>0.06</v>
      </c>
      <c r="R1575" s="2">
        <v>6</v>
      </c>
      <c r="S1575" s="2">
        <v>170</v>
      </c>
      <c r="T1575" t="s">
        <v>5826</v>
      </c>
      <c r="U1575" s="6">
        <v>26225</v>
      </c>
      <c r="V1575" s="2">
        <v>47037013900</v>
      </c>
      <c r="W1575" s="2" t="s">
        <v>68</v>
      </c>
      <c r="X1575" s="1">
        <v>45658</v>
      </c>
      <c r="Y1575" s="2">
        <v>1500</v>
      </c>
      <c r="Z1575" s="2">
        <v>0</v>
      </c>
      <c r="AA1575" s="2">
        <v>1500</v>
      </c>
    </row>
    <row r="1576" spans="1:27" x14ac:dyDescent="0.3">
      <c r="A1576" s="3">
        <v>21</v>
      </c>
      <c r="B1576" s="2" t="str">
        <f>"09210016400"</f>
        <v>09210016400</v>
      </c>
      <c r="C1576" s="2" t="s">
        <v>5827</v>
      </c>
      <c r="D1576" t="s">
        <v>29</v>
      </c>
      <c r="E1576" s="2" t="s">
        <v>30</v>
      </c>
      <c r="F1576" s="2">
        <v>37209</v>
      </c>
      <c r="G1576" s="2" t="s">
        <v>64</v>
      </c>
      <c r="H1576" t="s">
        <v>99</v>
      </c>
      <c r="I1576" s="6">
        <v>38385</v>
      </c>
      <c r="J1576" s="2" t="s">
        <v>5828</v>
      </c>
      <c r="K1576" s="2">
        <v>1671</v>
      </c>
      <c r="L1576" t="s">
        <v>35</v>
      </c>
      <c r="M1576" t="s">
        <v>29</v>
      </c>
      <c r="N1576" t="s">
        <v>30</v>
      </c>
      <c r="O1576">
        <v>37219</v>
      </c>
      <c r="P1576" t="s">
        <v>5829</v>
      </c>
      <c r="Q1576" s="2">
        <v>0.21</v>
      </c>
      <c r="R1576" s="2">
        <v>89</v>
      </c>
      <c r="S1576" s="2">
        <v>201</v>
      </c>
      <c r="T1576" t="s">
        <v>5830</v>
      </c>
      <c r="U1576" s="6">
        <v>21541</v>
      </c>
      <c r="V1576" s="2">
        <v>47037014300</v>
      </c>
      <c r="W1576" s="2" t="s">
        <v>68</v>
      </c>
      <c r="X1576" s="1">
        <v>45658</v>
      </c>
      <c r="Y1576" s="2">
        <v>200000</v>
      </c>
      <c r="Z1576" s="2">
        <v>0</v>
      </c>
      <c r="AA1576" s="2">
        <v>200000</v>
      </c>
    </row>
    <row r="1577" spans="1:27" x14ac:dyDescent="0.3">
      <c r="A1577" s="3">
        <v>21</v>
      </c>
      <c r="B1577" s="2" t="str">
        <f>"09210043200"</f>
        <v>09210043200</v>
      </c>
      <c r="C1577" s="2" t="s">
        <v>5831</v>
      </c>
      <c r="D1577" t="s">
        <v>29</v>
      </c>
      <c r="E1577" s="2" t="s">
        <v>30</v>
      </c>
      <c r="F1577" s="2">
        <v>37209</v>
      </c>
      <c r="G1577" s="2" t="s">
        <v>64</v>
      </c>
      <c r="H1577" t="s">
        <v>99</v>
      </c>
      <c r="I1577" s="6">
        <v>41198</v>
      </c>
      <c r="J1577" s="2" t="s">
        <v>5832</v>
      </c>
      <c r="K1577" s="2">
        <v>769</v>
      </c>
      <c r="L1577" t="s">
        <v>35</v>
      </c>
      <c r="M1577" t="s">
        <v>29</v>
      </c>
      <c r="N1577" t="s">
        <v>30</v>
      </c>
      <c r="O1577">
        <v>37219</v>
      </c>
      <c r="P1577" t="s">
        <v>5833</v>
      </c>
      <c r="Q1577" s="2">
        <v>0.05</v>
      </c>
      <c r="R1577" s="2">
        <v>20</v>
      </c>
      <c r="S1577" s="2">
        <v>125</v>
      </c>
      <c r="T1577" t="s">
        <v>5834</v>
      </c>
      <c r="U1577" s="6">
        <v>32737</v>
      </c>
      <c r="V1577" s="2">
        <v>47037014300</v>
      </c>
      <c r="W1577" s="2" t="s">
        <v>68</v>
      </c>
      <c r="X1577" s="1">
        <v>45658</v>
      </c>
      <c r="Y1577" s="2">
        <v>100000</v>
      </c>
      <c r="Z1577" s="2">
        <v>0</v>
      </c>
      <c r="AA1577" s="2">
        <v>100000</v>
      </c>
    </row>
    <row r="1578" spans="1:27" x14ac:dyDescent="0.3">
      <c r="A1578" s="3">
        <v>21</v>
      </c>
      <c r="B1578" s="2" t="str">
        <f>"09202035400"</f>
        <v>09202035400</v>
      </c>
      <c r="C1578" s="2" t="s">
        <v>5835</v>
      </c>
      <c r="D1578" t="s">
        <v>29</v>
      </c>
      <c r="E1578" s="2" t="s">
        <v>30</v>
      </c>
      <c r="F1578" s="2">
        <v>37208</v>
      </c>
      <c r="G1578" s="2" t="s">
        <v>64</v>
      </c>
      <c r="H1578" t="s">
        <v>99</v>
      </c>
      <c r="I1578" s="6">
        <v>29195</v>
      </c>
      <c r="J1578" s="2" t="s">
        <v>5836</v>
      </c>
      <c r="K1578" s="2">
        <v>242</v>
      </c>
      <c r="L1578" t="s">
        <v>35</v>
      </c>
      <c r="M1578" t="s">
        <v>29</v>
      </c>
      <c r="N1578" t="s">
        <v>30</v>
      </c>
      <c r="O1578">
        <v>37219</v>
      </c>
      <c r="P1578" t="s">
        <v>5837</v>
      </c>
      <c r="Q1578" s="2">
        <v>0.03</v>
      </c>
      <c r="R1578" s="2">
        <v>80</v>
      </c>
      <c r="S1578" s="2">
        <v>85</v>
      </c>
      <c r="T1578" t="s">
        <v>5838</v>
      </c>
      <c r="U1578" s="6">
        <v>23219</v>
      </c>
      <c r="V1578" s="2">
        <v>47037014300</v>
      </c>
      <c r="W1578" s="2" t="s">
        <v>68</v>
      </c>
      <c r="X1578" s="1">
        <v>45658</v>
      </c>
      <c r="Y1578" s="2">
        <v>7500</v>
      </c>
      <c r="Z1578" s="2">
        <v>0</v>
      </c>
      <c r="AA1578" s="2">
        <v>7500</v>
      </c>
    </row>
    <row r="1579" spans="1:27" x14ac:dyDescent="0.3">
      <c r="A1579" s="3">
        <v>21</v>
      </c>
      <c r="B1579" s="2" t="str">
        <f>"09206031600"</f>
        <v>09206031600</v>
      </c>
      <c r="C1579" s="2" t="s">
        <v>5839</v>
      </c>
      <c r="D1579" t="s">
        <v>29</v>
      </c>
      <c r="E1579" s="2" t="s">
        <v>30</v>
      </c>
      <c r="F1579" s="2">
        <v>37209</v>
      </c>
      <c r="G1579" s="2" t="s">
        <v>64</v>
      </c>
      <c r="H1579" t="s">
        <v>99</v>
      </c>
      <c r="I1579" s="6">
        <v>28068</v>
      </c>
      <c r="J1579" s="2" t="s">
        <v>5840</v>
      </c>
      <c r="K1579" s="2">
        <v>212</v>
      </c>
      <c r="L1579" t="s">
        <v>35</v>
      </c>
      <c r="M1579" t="s">
        <v>29</v>
      </c>
      <c r="N1579" t="s">
        <v>30</v>
      </c>
      <c r="O1579">
        <v>37219</v>
      </c>
      <c r="P1579" t="s">
        <v>5841</v>
      </c>
      <c r="Q1579" s="2">
        <v>0.02</v>
      </c>
      <c r="R1579" s="2">
        <v>40</v>
      </c>
      <c r="S1579" s="2">
        <v>39</v>
      </c>
      <c r="T1579" t="s">
        <v>5842</v>
      </c>
      <c r="U1579" s="6">
        <v>18749</v>
      </c>
      <c r="V1579" s="2">
        <v>47037014300</v>
      </c>
      <c r="W1579" s="2" t="s">
        <v>68</v>
      </c>
      <c r="X1579" s="1">
        <v>45658</v>
      </c>
      <c r="Y1579" s="2">
        <v>10000</v>
      </c>
      <c r="Z1579" s="2">
        <v>0</v>
      </c>
      <c r="AA1579" s="2">
        <v>10000</v>
      </c>
    </row>
    <row r="1580" spans="1:27" x14ac:dyDescent="0.3">
      <c r="A1580" s="3">
        <v>21</v>
      </c>
      <c r="B1580" s="2" t="str">
        <f>"09206031100"</f>
        <v>09206031100</v>
      </c>
      <c r="C1580" s="2" t="s">
        <v>5843</v>
      </c>
      <c r="D1580" t="s">
        <v>29</v>
      </c>
      <c r="E1580" s="2" t="s">
        <v>30</v>
      </c>
      <c r="F1580" s="2">
        <v>37209</v>
      </c>
      <c r="G1580" s="2" t="s">
        <v>64</v>
      </c>
      <c r="H1580" t="s">
        <v>99</v>
      </c>
      <c r="I1580" s="6">
        <v>28145</v>
      </c>
      <c r="J1580" s="2" t="s">
        <v>5844</v>
      </c>
      <c r="K1580" s="2">
        <v>344</v>
      </c>
      <c r="L1580" t="s">
        <v>35</v>
      </c>
      <c r="M1580" t="s">
        <v>29</v>
      </c>
      <c r="N1580" t="s">
        <v>30</v>
      </c>
      <c r="O1580">
        <v>37219</v>
      </c>
      <c r="P1580" t="s">
        <v>5845</v>
      </c>
      <c r="Q1580" s="2">
        <v>0.09</v>
      </c>
      <c r="R1580" s="2">
        <v>66</v>
      </c>
      <c r="S1580" s="2">
        <v>84</v>
      </c>
      <c r="T1580" t="s">
        <v>5846</v>
      </c>
      <c r="U1580" s="6">
        <v>11344</v>
      </c>
      <c r="V1580" s="2">
        <v>47037013601</v>
      </c>
      <c r="W1580" s="2" t="s">
        <v>68</v>
      </c>
      <c r="X1580" s="1">
        <v>45658</v>
      </c>
      <c r="Y1580" s="2">
        <v>1500</v>
      </c>
      <c r="Z1580" s="2">
        <v>0</v>
      </c>
      <c r="AA1580" s="2">
        <v>1500</v>
      </c>
    </row>
    <row r="1581" spans="1:27" x14ac:dyDescent="0.3">
      <c r="A1581" s="3">
        <v>21</v>
      </c>
      <c r="B1581" s="2" t="str">
        <f>"08112004200"</f>
        <v>08112004200</v>
      </c>
      <c r="C1581" s="2" t="s">
        <v>5847</v>
      </c>
      <c r="D1581" t="s">
        <v>29</v>
      </c>
      <c r="E1581" s="2" t="s">
        <v>30</v>
      </c>
      <c r="F1581" s="2">
        <v>37208</v>
      </c>
      <c r="G1581" s="2" t="s">
        <v>64</v>
      </c>
      <c r="H1581" t="s">
        <v>99</v>
      </c>
      <c r="I1581" s="6">
        <v>35977</v>
      </c>
      <c r="J1581" s="2" t="s">
        <v>5848</v>
      </c>
      <c r="K1581" s="2">
        <v>325</v>
      </c>
      <c r="L1581" t="s">
        <v>35</v>
      </c>
      <c r="M1581" t="s">
        <v>29</v>
      </c>
      <c r="N1581" t="s">
        <v>30</v>
      </c>
      <c r="O1581">
        <v>37219</v>
      </c>
      <c r="P1581" t="s">
        <v>5849</v>
      </c>
      <c r="Q1581" s="2">
        <v>0.01</v>
      </c>
      <c r="R1581" s="2">
        <v>35</v>
      </c>
      <c r="S1581" s="2">
        <v>14</v>
      </c>
      <c r="T1581" t="s">
        <v>5850</v>
      </c>
      <c r="U1581" s="6">
        <v>15336</v>
      </c>
      <c r="V1581" s="2">
        <v>47037013900</v>
      </c>
      <c r="W1581" s="2" t="s">
        <v>68</v>
      </c>
      <c r="X1581" s="1">
        <v>45658</v>
      </c>
      <c r="Y1581" s="2">
        <v>200</v>
      </c>
      <c r="Z1581" s="2">
        <v>0</v>
      </c>
      <c r="AA1581" s="2">
        <v>200</v>
      </c>
    </row>
    <row r="1582" spans="1:27" x14ac:dyDescent="0.3">
      <c r="A1582" s="3">
        <v>21</v>
      </c>
      <c r="B1582" s="2" t="str">
        <f>"08112004100"</f>
        <v>08112004100</v>
      </c>
      <c r="C1582" s="2" t="s">
        <v>5851</v>
      </c>
      <c r="D1582" t="s">
        <v>29</v>
      </c>
      <c r="E1582" s="2" t="s">
        <v>30</v>
      </c>
      <c r="F1582" s="2">
        <v>37208</v>
      </c>
      <c r="G1582" s="2" t="s">
        <v>64</v>
      </c>
      <c r="H1582" t="s">
        <v>99</v>
      </c>
      <c r="I1582" s="6">
        <v>28383</v>
      </c>
      <c r="J1582" s="2" t="s">
        <v>5852</v>
      </c>
      <c r="K1582" s="2">
        <v>190</v>
      </c>
      <c r="L1582" t="s">
        <v>35</v>
      </c>
      <c r="M1582" t="s">
        <v>29</v>
      </c>
      <c r="N1582" t="s">
        <v>30</v>
      </c>
      <c r="O1582">
        <v>37219</v>
      </c>
      <c r="P1582" t="s">
        <v>5853</v>
      </c>
      <c r="Q1582" s="2">
        <v>0.01</v>
      </c>
      <c r="R1582" s="2">
        <v>50</v>
      </c>
      <c r="S1582" s="2">
        <v>29</v>
      </c>
      <c r="T1582" t="s">
        <v>5854</v>
      </c>
      <c r="U1582" s="6">
        <v>21119</v>
      </c>
      <c r="V1582" s="2">
        <v>47037013900</v>
      </c>
      <c r="W1582" s="2" t="s">
        <v>68</v>
      </c>
      <c r="X1582" s="1">
        <v>45658</v>
      </c>
      <c r="Y1582" s="2">
        <v>200</v>
      </c>
      <c r="Z1582" s="2">
        <v>0</v>
      </c>
      <c r="AA1582" s="2">
        <v>200</v>
      </c>
    </row>
    <row r="1583" spans="1:27" x14ac:dyDescent="0.3">
      <c r="A1583" s="3">
        <v>21</v>
      </c>
      <c r="B1583" s="2" t="str">
        <f>"08112004000"</f>
        <v>08112004000</v>
      </c>
      <c r="C1583" s="2" t="s">
        <v>5855</v>
      </c>
      <c r="D1583" t="s">
        <v>29</v>
      </c>
      <c r="E1583" s="2" t="s">
        <v>30</v>
      </c>
      <c r="F1583" s="2">
        <v>37208</v>
      </c>
      <c r="G1583" s="2" t="s">
        <v>64</v>
      </c>
      <c r="H1583" t="s">
        <v>99</v>
      </c>
      <c r="I1583" s="6">
        <v>28236</v>
      </c>
      <c r="J1583" s="2" t="s">
        <v>5856</v>
      </c>
      <c r="K1583" s="2">
        <v>205</v>
      </c>
      <c r="L1583" t="s">
        <v>35</v>
      </c>
      <c r="M1583" t="s">
        <v>29</v>
      </c>
      <c r="N1583" t="s">
        <v>30</v>
      </c>
      <c r="O1583">
        <v>37219</v>
      </c>
      <c r="P1583" t="s">
        <v>5857</v>
      </c>
      <c r="Q1583" s="2">
        <v>0.01</v>
      </c>
      <c r="R1583" s="2">
        <v>13</v>
      </c>
      <c r="S1583" s="2">
        <v>29</v>
      </c>
      <c r="T1583" t="s">
        <v>5858</v>
      </c>
      <c r="U1583" s="6">
        <v>21059</v>
      </c>
      <c r="V1583" s="2">
        <v>47037013900</v>
      </c>
      <c r="W1583" s="2" t="s">
        <v>68</v>
      </c>
      <c r="X1583" s="1">
        <v>45658</v>
      </c>
      <c r="Y1583" s="2">
        <v>200</v>
      </c>
      <c r="Z1583" s="2">
        <v>0</v>
      </c>
      <c r="AA1583" s="2">
        <v>200</v>
      </c>
    </row>
    <row r="1584" spans="1:27" x14ac:dyDescent="0.3">
      <c r="A1584" s="3">
        <v>21</v>
      </c>
      <c r="B1584" s="2" t="str">
        <f>"08115051400"</f>
        <v>08115051400</v>
      </c>
      <c r="C1584" s="2" t="s">
        <v>5859</v>
      </c>
      <c r="D1584" t="s">
        <v>29</v>
      </c>
      <c r="E1584" s="2" t="s">
        <v>30</v>
      </c>
      <c r="F1584" s="2">
        <v>37208</v>
      </c>
      <c r="G1584" s="2" t="s">
        <v>64</v>
      </c>
      <c r="H1584" t="s">
        <v>99</v>
      </c>
      <c r="I1584" s="6">
        <v>30077</v>
      </c>
      <c r="J1584" s="2" t="s">
        <v>5860</v>
      </c>
      <c r="K1584" s="2">
        <v>205</v>
      </c>
      <c r="L1584" t="s">
        <v>35</v>
      </c>
      <c r="M1584" t="s">
        <v>29</v>
      </c>
      <c r="N1584" t="s">
        <v>30</v>
      </c>
      <c r="O1584">
        <v>37219</v>
      </c>
      <c r="P1584" t="s">
        <v>5861</v>
      </c>
      <c r="Q1584" s="2">
        <v>0.02</v>
      </c>
      <c r="R1584" s="2">
        <v>43</v>
      </c>
      <c r="S1584" s="2">
        <v>32</v>
      </c>
      <c r="T1584" t="s">
        <v>5862</v>
      </c>
      <c r="U1584" s="6">
        <v>26077</v>
      </c>
      <c r="V1584" s="2">
        <v>47037014200</v>
      </c>
      <c r="W1584" s="2" t="s">
        <v>68</v>
      </c>
      <c r="X1584" s="1">
        <v>45658</v>
      </c>
      <c r="Y1584" s="2">
        <v>7600</v>
      </c>
      <c r="Z1584" s="2">
        <v>0</v>
      </c>
      <c r="AA1584" s="2">
        <v>7600</v>
      </c>
    </row>
    <row r="1585" spans="1:27" x14ac:dyDescent="0.3">
      <c r="A1585" s="3">
        <v>21</v>
      </c>
      <c r="B1585" s="2" t="str">
        <f>"08115051500"</f>
        <v>08115051500</v>
      </c>
      <c r="C1585" s="2" t="s">
        <v>5863</v>
      </c>
      <c r="D1585" t="s">
        <v>29</v>
      </c>
      <c r="E1585" s="2" t="s">
        <v>30</v>
      </c>
      <c r="F1585" s="2">
        <v>37208</v>
      </c>
      <c r="G1585" s="2" t="s">
        <v>64</v>
      </c>
      <c r="H1585" t="s">
        <v>99</v>
      </c>
      <c r="I1585" s="6">
        <v>28110</v>
      </c>
      <c r="J1585" s="2" t="s">
        <v>5864</v>
      </c>
      <c r="K1585" s="2">
        <v>205</v>
      </c>
      <c r="L1585" t="s">
        <v>35</v>
      </c>
      <c r="M1585" t="s">
        <v>29</v>
      </c>
      <c r="N1585" t="s">
        <v>30</v>
      </c>
      <c r="O1585">
        <v>37219</v>
      </c>
      <c r="P1585" t="s">
        <v>5865</v>
      </c>
      <c r="Q1585" s="2">
        <v>0.01</v>
      </c>
      <c r="R1585" s="2">
        <v>42</v>
      </c>
      <c r="S1585" s="2">
        <v>39</v>
      </c>
      <c r="T1585" t="s">
        <v>5866</v>
      </c>
      <c r="U1585" s="6">
        <v>16825</v>
      </c>
      <c r="V1585" s="2">
        <v>47037014200</v>
      </c>
      <c r="W1585" s="2" t="s">
        <v>68</v>
      </c>
      <c r="X1585" s="1">
        <v>45658</v>
      </c>
      <c r="Y1585" s="2">
        <v>7600</v>
      </c>
      <c r="Z1585" s="2">
        <v>0</v>
      </c>
      <c r="AA1585" s="2">
        <v>7600</v>
      </c>
    </row>
    <row r="1586" spans="1:27" x14ac:dyDescent="0.3">
      <c r="A1586" s="3">
        <v>21</v>
      </c>
      <c r="B1586" s="2" t="str">
        <f>"08112019100"</f>
        <v>08112019100</v>
      </c>
      <c r="C1586" s="2" t="s">
        <v>5867</v>
      </c>
      <c r="D1586" t="s">
        <v>29</v>
      </c>
      <c r="E1586" s="2" t="s">
        <v>30</v>
      </c>
      <c r="F1586" s="2">
        <v>37208</v>
      </c>
      <c r="G1586" s="2" t="s">
        <v>64</v>
      </c>
      <c r="H1586" t="s">
        <v>99</v>
      </c>
      <c r="I1586" s="6">
        <v>35655</v>
      </c>
      <c r="J1586" s="2" t="s">
        <v>5868</v>
      </c>
      <c r="K1586" s="2">
        <v>331</v>
      </c>
      <c r="L1586" t="s">
        <v>35</v>
      </c>
      <c r="M1586" t="s">
        <v>29</v>
      </c>
      <c r="N1586" t="s">
        <v>30</v>
      </c>
      <c r="O1586">
        <v>37219</v>
      </c>
      <c r="P1586" t="s">
        <v>5869</v>
      </c>
      <c r="Q1586" s="2">
        <v>0.04</v>
      </c>
      <c r="R1586" s="2">
        <v>25</v>
      </c>
      <c r="S1586" s="2">
        <v>86</v>
      </c>
      <c r="T1586" t="s">
        <v>5870</v>
      </c>
      <c r="U1586" s="6">
        <v>24870</v>
      </c>
      <c r="V1586" s="2">
        <v>47037013900</v>
      </c>
      <c r="W1586" s="2" t="s">
        <v>68</v>
      </c>
      <c r="X1586" s="1">
        <v>45658</v>
      </c>
      <c r="Y1586" s="2">
        <v>1500</v>
      </c>
      <c r="Z1586" s="2">
        <v>0</v>
      </c>
      <c r="AA1586" s="2">
        <v>1500</v>
      </c>
    </row>
    <row r="1587" spans="1:27" x14ac:dyDescent="0.3">
      <c r="A1587" s="3">
        <v>21</v>
      </c>
      <c r="B1587" s="2" t="str">
        <f>"09206032800"</f>
        <v>09206032800</v>
      </c>
      <c r="C1587" s="2" t="s">
        <v>5871</v>
      </c>
      <c r="D1587" t="s">
        <v>29</v>
      </c>
      <c r="E1587" s="2" t="s">
        <v>30</v>
      </c>
      <c r="F1587" s="2">
        <v>37209</v>
      </c>
      <c r="G1587" s="2" t="s">
        <v>64</v>
      </c>
      <c r="H1587" t="s">
        <v>99</v>
      </c>
      <c r="I1587" s="6">
        <v>39617</v>
      </c>
      <c r="J1587" s="2" t="s">
        <v>5872</v>
      </c>
      <c r="K1587" s="2" t="s">
        <v>34</v>
      </c>
      <c r="L1587" t="s">
        <v>35</v>
      </c>
      <c r="M1587" t="s">
        <v>29</v>
      </c>
      <c r="N1587" t="s">
        <v>30</v>
      </c>
      <c r="O1587">
        <v>37219</v>
      </c>
      <c r="P1587" t="s">
        <v>5873</v>
      </c>
      <c r="Q1587" s="2">
        <v>0.16</v>
      </c>
      <c r="R1587" s="2">
        <v>42</v>
      </c>
      <c r="S1587" s="2">
        <v>198</v>
      </c>
      <c r="T1587" t="s">
        <v>5874</v>
      </c>
      <c r="U1587" s="6">
        <v>20181</v>
      </c>
      <c r="V1587" s="2">
        <v>47037014300</v>
      </c>
      <c r="W1587" s="2" t="s">
        <v>68</v>
      </c>
      <c r="X1587" s="1">
        <v>45658</v>
      </c>
      <c r="Y1587" s="2">
        <v>10000</v>
      </c>
      <c r="Z1587" s="2">
        <v>0</v>
      </c>
      <c r="AA1587" s="2">
        <v>10000</v>
      </c>
    </row>
    <row r="1588" spans="1:27" x14ac:dyDescent="0.3">
      <c r="A1588" s="3">
        <v>21</v>
      </c>
      <c r="B1588" s="2" t="str">
        <f>"08107024700"</f>
        <v>08107024700</v>
      </c>
      <c r="C1588" s="2" t="s">
        <v>5875</v>
      </c>
      <c r="D1588" t="s">
        <v>29</v>
      </c>
      <c r="E1588" s="2" t="s">
        <v>30</v>
      </c>
      <c r="F1588" s="2">
        <v>37208</v>
      </c>
      <c r="G1588" s="2" t="s">
        <v>64</v>
      </c>
      <c r="H1588" t="s">
        <v>99</v>
      </c>
      <c r="I1588" s="6">
        <v>39430</v>
      </c>
      <c r="J1588" s="2" t="s">
        <v>5876</v>
      </c>
      <c r="K1588" s="2">
        <v>4961</v>
      </c>
      <c r="L1588" t="s">
        <v>35</v>
      </c>
      <c r="M1588" t="s">
        <v>29</v>
      </c>
      <c r="N1588" t="s">
        <v>30</v>
      </c>
      <c r="O1588">
        <v>37219</v>
      </c>
      <c r="P1588" t="s">
        <v>5877</v>
      </c>
      <c r="Q1588" s="2">
        <v>0.04</v>
      </c>
      <c r="R1588" s="2">
        <v>42</v>
      </c>
      <c r="S1588" s="2">
        <v>50</v>
      </c>
      <c r="T1588" t="s">
        <v>5878</v>
      </c>
      <c r="U1588" s="6">
        <v>26239</v>
      </c>
      <c r="V1588" s="2">
        <v>47037013700</v>
      </c>
      <c r="W1588" s="2" t="s">
        <v>68</v>
      </c>
      <c r="X1588" s="1">
        <v>45658</v>
      </c>
      <c r="Y1588" s="2">
        <v>139500</v>
      </c>
      <c r="Z1588" s="2">
        <v>0</v>
      </c>
      <c r="AA1588" s="2">
        <v>139500</v>
      </c>
    </row>
    <row r="1589" spans="1:27" x14ac:dyDescent="0.3">
      <c r="A1589" s="3">
        <v>21</v>
      </c>
      <c r="B1589" s="2" t="str">
        <f>"09104010000"</f>
        <v>09104010000</v>
      </c>
      <c r="C1589" s="2" t="s">
        <v>5879</v>
      </c>
      <c r="D1589" t="s">
        <v>29</v>
      </c>
      <c r="E1589" s="2" t="s">
        <v>30</v>
      </c>
      <c r="F1589" s="2">
        <v>37209</v>
      </c>
      <c r="G1589" s="2" t="s">
        <v>41</v>
      </c>
      <c r="H1589" t="s">
        <v>99</v>
      </c>
      <c r="I1589" s="6">
        <v>41234</v>
      </c>
      <c r="J1589" s="2" t="s">
        <v>5880</v>
      </c>
      <c r="K1589" s="2">
        <v>1348</v>
      </c>
      <c r="L1589" t="s">
        <v>35</v>
      </c>
      <c r="M1589" t="s">
        <v>29</v>
      </c>
      <c r="N1589" t="s">
        <v>30</v>
      </c>
      <c r="O1589">
        <v>37219</v>
      </c>
      <c r="P1589" t="s">
        <v>5881</v>
      </c>
      <c r="Q1589" s="2">
        <v>0.01</v>
      </c>
      <c r="R1589" s="2">
        <v>7</v>
      </c>
      <c r="S1589" s="2">
        <v>13</v>
      </c>
      <c r="T1589" t="s">
        <v>5882</v>
      </c>
      <c r="U1589" s="6">
        <v>34605</v>
      </c>
      <c r="V1589" s="2">
        <v>47037013602</v>
      </c>
      <c r="W1589" s="2" t="s">
        <v>68</v>
      </c>
      <c r="X1589" s="1">
        <v>45658</v>
      </c>
      <c r="Y1589" s="2">
        <v>4200</v>
      </c>
      <c r="Z1589" s="2">
        <v>0</v>
      </c>
      <c r="AA1589" s="2">
        <v>4200</v>
      </c>
    </row>
    <row r="1590" spans="1:27" x14ac:dyDescent="0.3">
      <c r="A1590" s="3">
        <v>21</v>
      </c>
      <c r="B1590" s="2" t="str">
        <f>"08111007700"</f>
        <v>08111007700</v>
      </c>
      <c r="C1590" s="2" t="s">
        <v>5883</v>
      </c>
      <c r="D1590" t="s">
        <v>29</v>
      </c>
      <c r="E1590" s="2" t="s">
        <v>30</v>
      </c>
      <c r="F1590" s="2">
        <v>37208</v>
      </c>
      <c r="G1590" s="2" t="s">
        <v>147</v>
      </c>
      <c r="H1590" t="s">
        <v>5884</v>
      </c>
      <c r="I1590" s="6">
        <v>23792</v>
      </c>
      <c r="J1590" s="2" t="s">
        <v>5885</v>
      </c>
      <c r="K1590" s="2" t="s">
        <v>34</v>
      </c>
      <c r="L1590" t="s">
        <v>35</v>
      </c>
      <c r="M1590" t="s">
        <v>29</v>
      </c>
      <c r="N1590" t="s">
        <v>30</v>
      </c>
      <c r="O1590">
        <v>37219</v>
      </c>
      <c r="P1590" t="s">
        <v>5886</v>
      </c>
      <c r="Q1590" s="2">
        <v>0.64</v>
      </c>
      <c r="R1590" s="2">
        <v>121</v>
      </c>
      <c r="S1590" s="2">
        <v>210</v>
      </c>
      <c r="T1590" t="s">
        <v>4954</v>
      </c>
      <c r="U1590" s="6">
        <v>29986</v>
      </c>
      <c r="V1590" s="2">
        <v>47037013900</v>
      </c>
      <c r="W1590" s="2" t="s">
        <v>68</v>
      </c>
      <c r="X1590" s="1">
        <v>45658</v>
      </c>
      <c r="Y1590" s="2">
        <v>210000</v>
      </c>
      <c r="Z1590" s="2">
        <v>0</v>
      </c>
      <c r="AA1590" s="2">
        <v>210000</v>
      </c>
    </row>
    <row r="1591" spans="1:27" x14ac:dyDescent="0.3">
      <c r="A1591" s="3">
        <v>21</v>
      </c>
      <c r="B1591" s="2" t="str">
        <f>"09202002800"</f>
        <v>09202002800</v>
      </c>
      <c r="C1591" s="2" t="s">
        <v>5887</v>
      </c>
      <c r="D1591" t="s">
        <v>29</v>
      </c>
      <c r="E1591" s="2" t="s">
        <v>30</v>
      </c>
      <c r="F1591" s="2">
        <v>37208</v>
      </c>
      <c r="G1591" s="2" t="s">
        <v>901</v>
      </c>
      <c r="H1591" t="s">
        <v>5888</v>
      </c>
      <c r="I1591" s="6">
        <v>27395</v>
      </c>
      <c r="J1591" s="2" t="s">
        <v>5889</v>
      </c>
      <c r="K1591" s="2" t="s">
        <v>34</v>
      </c>
      <c r="L1591" t="s">
        <v>35</v>
      </c>
      <c r="M1591" t="s">
        <v>29</v>
      </c>
      <c r="N1591" t="s">
        <v>30</v>
      </c>
      <c r="O1591">
        <v>37210</v>
      </c>
      <c r="P1591" t="s">
        <v>5890</v>
      </c>
      <c r="Q1591" s="2">
        <v>0.5</v>
      </c>
      <c r="R1591" s="2">
        <v>150</v>
      </c>
      <c r="S1591" s="2">
        <v>150</v>
      </c>
      <c r="T1591" t="s">
        <v>5891</v>
      </c>
      <c r="U1591" s="6">
        <v>4517</v>
      </c>
      <c r="V1591" s="2">
        <v>47037013602</v>
      </c>
      <c r="W1591" s="2" t="s">
        <v>68</v>
      </c>
      <c r="X1591" s="1">
        <v>45658</v>
      </c>
      <c r="Y1591" s="2">
        <v>240000</v>
      </c>
      <c r="Z1591" s="2">
        <v>0</v>
      </c>
      <c r="AA1591" s="2">
        <v>240000</v>
      </c>
    </row>
    <row r="1592" spans="1:27" x14ac:dyDescent="0.3">
      <c r="A1592" s="3">
        <v>21</v>
      </c>
      <c r="B1592" s="2" t="str">
        <f>"08116032500"</f>
        <v>08116032500</v>
      </c>
      <c r="C1592" s="2" t="s">
        <v>5892</v>
      </c>
      <c r="D1592" t="s">
        <v>29</v>
      </c>
      <c r="E1592" s="2" t="s">
        <v>30</v>
      </c>
      <c r="F1592" s="2">
        <v>37208</v>
      </c>
      <c r="G1592" s="2" t="s">
        <v>64</v>
      </c>
      <c r="H1592" t="s">
        <v>5893</v>
      </c>
      <c r="I1592" s="6">
        <v>41444</v>
      </c>
      <c r="J1592" s="2" t="s">
        <v>5894</v>
      </c>
      <c r="K1592" s="2">
        <v>470</v>
      </c>
      <c r="L1592" t="s">
        <v>35</v>
      </c>
      <c r="M1592" t="s">
        <v>29</v>
      </c>
      <c r="N1592" t="s">
        <v>30</v>
      </c>
      <c r="O1592">
        <v>37219</v>
      </c>
      <c r="P1592" t="s">
        <v>5895</v>
      </c>
      <c r="Q1592" s="2">
        <v>0.06</v>
      </c>
      <c r="R1592" s="2">
        <v>25</v>
      </c>
      <c r="S1592" s="2">
        <v>101</v>
      </c>
      <c r="T1592" t="s">
        <v>5896</v>
      </c>
      <c r="U1592" s="6">
        <v>17330</v>
      </c>
      <c r="V1592" s="2">
        <v>47037014200</v>
      </c>
      <c r="W1592" s="2" t="s">
        <v>68</v>
      </c>
      <c r="X1592" s="1">
        <v>45658</v>
      </c>
      <c r="Y1592" s="2">
        <v>45600</v>
      </c>
      <c r="Z1592" s="2">
        <v>0</v>
      </c>
      <c r="AA1592" s="2">
        <v>45600</v>
      </c>
    </row>
    <row r="1593" spans="1:27" x14ac:dyDescent="0.3">
      <c r="A1593" s="3">
        <v>21</v>
      </c>
      <c r="B1593" s="2" t="str">
        <f>"09203002100"</f>
        <v>09203002100</v>
      </c>
      <c r="C1593" s="2" t="s">
        <v>5897</v>
      </c>
      <c r="D1593" t="s">
        <v>29</v>
      </c>
      <c r="E1593" s="2" t="s">
        <v>30</v>
      </c>
      <c r="F1593" s="2">
        <v>37208</v>
      </c>
      <c r="G1593" s="2" t="s">
        <v>41</v>
      </c>
      <c r="H1593" t="s">
        <v>911</v>
      </c>
      <c r="I1593" s="6">
        <v>27310</v>
      </c>
      <c r="J1593" s="2" t="s">
        <v>5898</v>
      </c>
      <c r="K1593" s="2">
        <v>36000</v>
      </c>
      <c r="L1593" t="s">
        <v>35</v>
      </c>
      <c r="M1593" t="s">
        <v>29</v>
      </c>
      <c r="N1593" t="s">
        <v>30</v>
      </c>
      <c r="O1593">
        <v>37219</v>
      </c>
      <c r="P1593" t="s">
        <v>5899</v>
      </c>
      <c r="Q1593" s="2">
        <v>0.17</v>
      </c>
      <c r="R1593" s="2">
        <v>67</v>
      </c>
      <c r="S1593" s="2">
        <v>127</v>
      </c>
      <c r="T1593" t="s">
        <v>5898</v>
      </c>
      <c r="U1593" s="6">
        <v>27310</v>
      </c>
      <c r="V1593" s="2">
        <v>47037014200</v>
      </c>
      <c r="W1593" s="2" t="s">
        <v>68</v>
      </c>
      <c r="X1593" s="1">
        <v>45658</v>
      </c>
      <c r="Y1593" s="2">
        <v>444300</v>
      </c>
      <c r="Z1593" s="2">
        <v>0</v>
      </c>
      <c r="AA1593" s="2">
        <v>444300</v>
      </c>
    </row>
    <row r="1594" spans="1:27" x14ac:dyDescent="0.3">
      <c r="A1594" s="3">
        <v>21</v>
      </c>
      <c r="B1594" s="2" t="str">
        <f>"08100002002"</f>
        <v>08100002002</v>
      </c>
      <c r="C1594" s="2" t="s">
        <v>5900</v>
      </c>
      <c r="D1594" t="s">
        <v>29</v>
      </c>
      <c r="E1594" s="2" t="s">
        <v>30</v>
      </c>
      <c r="F1594" s="2">
        <v>37208</v>
      </c>
      <c r="G1594" s="2" t="s">
        <v>152</v>
      </c>
      <c r="H1594" t="s">
        <v>176</v>
      </c>
      <c r="I1594" s="6">
        <v>22014</v>
      </c>
      <c r="J1594" s="2" t="s">
        <v>5901</v>
      </c>
      <c r="K1594" s="2" t="s">
        <v>34</v>
      </c>
      <c r="L1594" t="s">
        <v>178</v>
      </c>
      <c r="M1594" t="s">
        <v>29</v>
      </c>
      <c r="N1594" t="s">
        <v>30</v>
      </c>
      <c r="O1594">
        <v>37246</v>
      </c>
      <c r="P1594" t="s">
        <v>5902</v>
      </c>
      <c r="Q1594" s="2">
        <v>0.21</v>
      </c>
      <c r="R1594" s="2">
        <v>65</v>
      </c>
      <c r="S1594" s="2">
        <v>124</v>
      </c>
      <c r="T1594" t="s">
        <v>5901</v>
      </c>
      <c r="U1594" s="6">
        <v>22014</v>
      </c>
      <c r="V1594" s="2">
        <v>47037013700</v>
      </c>
      <c r="W1594" s="2" t="s">
        <v>68</v>
      </c>
      <c r="X1594" s="1">
        <v>45658</v>
      </c>
      <c r="Y1594" s="2">
        <v>185000</v>
      </c>
      <c r="Z1594" s="2">
        <v>0</v>
      </c>
      <c r="AA1594" s="2">
        <v>185000</v>
      </c>
    </row>
    <row r="1595" spans="1:27" x14ac:dyDescent="0.3">
      <c r="A1595" s="3">
        <v>21</v>
      </c>
      <c r="B1595" s="2" t="str">
        <f>"09208001100"</f>
        <v>09208001100</v>
      </c>
      <c r="C1595" s="2" t="s">
        <v>5903</v>
      </c>
      <c r="D1595" t="s">
        <v>29</v>
      </c>
      <c r="E1595" s="2" t="s">
        <v>30</v>
      </c>
      <c r="F1595" s="2">
        <v>37203</v>
      </c>
      <c r="G1595" s="2" t="s">
        <v>152</v>
      </c>
      <c r="H1595" t="s">
        <v>176</v>
      </c>
      <c r="I1595" s="6">
        <v>17828</v>
      </c>
      <c r="J1595" s="2" t="s">
        <v>5904</v>
      </c>
      <c r="K1595" s="2" t="s">
        <v>34</v>
      </c>
      <c r="L1595" t="s">
        <v>178</v>
      </c>
      <c r="M1595" t="s">
        <v>29</v>
      </c>
      <c r="N1595" t="s">
        <v>30</v>
      </c>
      <c r="O1595">
        <v>37246</v>
      </c>
      <c r="P1595" t="s">
        <v>5905</v>
      </c>
      <c r="Q1595" s="2">
        <v>1.81</v>
      </c>
      <c r="R1595" s="2">
        <v>182</v>
      </c>
      <c r="S1595" s="2">
        <v>382</v>
      </c>
      <c r="T1595" t="s">
        <v>5906</v>
      </c>
      <c r="U1595" s="6">
        <v>30001</v>
      </c>
      <c r="V1595" s="2">
        <v>47037014400</v>
      </c>
      <c r="W1595" s="2" t="s">
        <v>68</v>
      </c>
      <c r="X1595" s="1">
        <v>45658</v>
      </c>
      <c r="Y1595" s="2">
        <v>7096000</v>
      </c>
      <c r="Z1595" s="2">
        <v>0</v>
      </c>
      <c r="AA1595" s="2">
        <v>7096000</v>
      </c>
    </row>
    <row r="1596" spans="1:27" x14ac:dyDescent="0.3">
      <c r="A1596" s="3">
        <v>21</v>
      </c>
      <c r="B1596" s="2" t="str">
        <f>"09211002000"</f>
        <v>09211002000</v>
      </c>
      <c r="C1596" s="2" t="s">
        <v>5907</v>
      </c>
      <c r="D1596" t="s">
        <v>29</v>
      </c>
      <c r="E1596" s="2" t="s">
        <v>30</v>
      </c>
      <c r="F1596" s="2">
        <v>37209</v>
      </c>
      <c r="G1596" s="2" t="s">
        <v>1485</v>
      </c>
      <c r="H1596" t="s">
        <v>176</v>
      </c>
      <c r="I1596" s="6">
        <v>35198</v>
      </c>
      <c r="J1596" s="2" t="s">
        <v>5908</v>
      </c>
      <c r="K1596" s="2">
        <v>415000</v>
      </c>
      <c r="L1596" t="s">
        <v>178</v>
      </c>
      <c r="M1596" t="s">
        <v>29</v>
      </c>
      <c r="N1596" t="s">
        <v>30</v>
      </c>
      <c r="O1596">
        <v>37246</v>
      </c>
      <c r="P1596" t="s">
        <v>5909</v>
      </c>
      <c r="Q1596" s="2">
        <v>3.49</v>
      </c>
      <c r="R1596" s="2">
        <v>675</v>
      </c>
      <c r="S1596" s="2">
        <v>193</v>
      </c>
      <c r="T1596" t="s">
        <v>5910</v>
      </c>
      <c r="U1596" s="6">
        <v>35479</v>
      </c>
      <c r="V1596" s="2">
        <v>47037014400</v>
      </c>
      <c r="W1596" s="2" t="s">
        <v>68</v>
      </c>
      <c r="X1596" s="1">
        <v>45658</v>
      </c>
      <c r="Y1596" s="2">
        <v>13682300</v>
      </c>
      <c r="Z1596" s="2">
        <v>0</v>
      </c>
      <c r="AA1596" s="2">
        <v>13682300</v>
      </c>
    </row>
    <row r="1597" spans="1:27" x14ac:dyDescent="0.3">
      <c r="A1597" s="3">
        <v>21</v>
      </c>
      <c r="B1597" s="2" t="str">
        <f>"09112021900"</f>
        <v>09112021900</v>
      </c>
      <c r="C1597" s="2" t="s">
        <v>5911</v>
      </c>
      <c r="D1597" t="s">
        <v>29</v>
      </c>
      <c r="E1597" s="2" t="s">
        <v>30</v>
      </c>
      <c r="F1597" s="2">
        <v>37209</v>
      </c>
      <c r="G1597" s="2" t="s">
        <v>152</v>
      </c>
      <c r="H1597" t="s">
        <v>176</v>
      </c>
      <c r="I1597" s="6">
        <v>18122</v>
      </c>
      <c r="J1597" s="2" t="s">
        <v>5912</v>
      </c>
      <c r="K1597" s="2" t="s">
        <v>34</v>
      </c>
      <c r="L1597" t="s">
        <v>178</v>
      </c>
      <c r="M1597" t="s">
        <v>29</v>
      </c>
      <c r="N1597" t="s">
        <v>30</v>
      </c>
      <c r="O1597">
        <v>37246</v>
      </c>
      <c r="P1597" t="s">
        <v>5913</v>
      </c>
      <c r="Q1597" s="2">
        <v>0.26</v>
      </c>
      <c r="R1597" s="2">
        <v>95</v>
      </c>
      <c r="S1597" s="2">
        <v>118</v>
      </c>
      <c r="T1597" t="s">
        <v>5914</v>
      </c>
      <c r="U1597" s="6">
        <v>37069</v>
      </c>
      <c r="V1597" s="2">
        <v>47037013601</v>
      </c>
      <c r="W1597" s="2" t="s">
        <v>68</v>
      </c>
      <c r="X1597" s="1">
        <v>45658</v>
      </c>
      <c r="Y1597" s="2">
        <v>224200</v>
      </c>
      <c r="Z1597" s="2">
        <v>0</v>
      </c>
      <c r="AA1597" s="2">
        <v>224200</v>
      </c>
    </row>
    <row r="1598" spans="1:27" x14ac:dyDescent="0.3">
      <c r="A1598" s="3">
        <v>21</v>
      </c>
      <c r="B1598" s="2" t="str">
        <f>"08115030700"</f>
        <v>08115030700</v>
      </c>
      <c r="C1598" s="2" t="s">
        <v>5915</v>
      </c>
      <c r="D1598" t="s">
        <v>29</v>
      </c>
      <c r="E1598" s="2" t="s">
        <v>30</v>
      </c>
      <c r="F1598" s="2">
        <v>37208</v>
      </c>
      <c r="G1598" s="2" t="s">
        <v>152</v>
      </c>
      <c r="H1598" t="s">
        <v>176</v>
      </c>
      <c r="I1598" s="6">
        <v>14472</v>
      </c>
      <c r="J1598" s="2" t="s">
        <v>1267</v>
      </c>
      <c r="K1598" s="2" t="s">
        <v>34</v>
      </c>
      <c r="L1598" t="s">
        <v>178</v>
      </c>
      <c r="M1598" t="s">
        <v>29</v>
      </c>
      <c r="N1598" t="s">
        <v>30</v>
      </c>
      <c r="O1598">
        <v>37246</v>
      </c>
      <c r="P1598" t="s">
        <v>5916</v>
      </c>
      <c r="Q1598" s="2">
        <v>0.19</v>
      </c>
      <c r="R1598" s="2">
        <v>50</v>
      </c>
      <c r="S1598" s="2">
        <v>177</v>
      </c>
      <c r="T1598" t="s">
        <v>1267</v>
      </c>
      <c r="U1598" s="6">
        <v>14472</v>
      </c>
      <c r="V1598" s="2">
        <v>47037013900</v>
      </c>
      <c r="W1598" s="2" t="s">
        <v>68</v>
      </c>
      <c r="X1598" s="1">
        <v>45658</v>
      </c>
      <c r="Y1598" s="2">
        <v>190000</v>
      </c>
      <c r="Z1598" s="2">
        <v>0</v>
      </c>
      <c r="AA1598" s="2">
        <v>190000</v>
      </c>
    </row>
    <row r="1599" spans="1:27" x14ac:dyDescent="0.3">
      <c r="A1599" s="3">
        <v>21</v>
      </c>
      <c r="B1599" s="2" t="str">
        <f>"09108030200"</f>
        <v>09108030200</v>
      </c>
      <c r="C1599" s="2" t="s">
        <v>5917</v>
      </c>
      <c r="D1599" t="s">
        <v>29</v>
      </c>
      <c r="E1599" s="2" t="s">
        <v>30</v>
      </c>
      <c r="F1599" s="2">
        <v>37209</v>
      </c>
      <c r="G1599" s="2" t="s">
        <v>64</v>
      </c>
      <c r="H1599" t="s">
        <v>176</v>
      </c>
      <c r="I1599" s="6">
        <v>30320</v>
      </c>
      <c r="J1599" s="2" t="s">
        <v>5918</v>
      </c>
      <c r="K1599" s="2">
        <v>82500</v>
      </c>
      <c r="L1599" t="s">
        <v>178</v>
      </c>
      <c r="M1599" t="s">
        <v>29</v>
      </c>
      <c r="N1599" t="s">
        <v>30</v>
      </c>
      <c r="O1599">
        <v>37246</v>
      </c>
      <c r="P1599" t="s">
        <v>5919</v>
      </c>
      <c r="Q1599" s="2">
        <v>1.1499999999999999</v>
      </c>
      <c r="R1599" s="2">
        <v>217</v>
      </c>
      <c r="S1599" s="2">
        <v>218</v>
      </c>
      <c r="T1599" t="s">
        <v>5920</v>
      </c>
      <c r="U1599" s="6">
        <v>33455</v>
      </c>
      <c r="V1599" s="2">
        <v>47037013601</v>
      </c>
      <c r="W1599" s="2" t="s">
        <v>68</v>
      </c>
      <c r="X1599" s="1">
        <v>45658</v>
      </c>
      <c r="Y1599" s="2">
        <v>299700</v>
      </c>
      <c r="Z1599" s="2">
        <v>0</v>
      </c>
      <c r="AA1599" s="2">
        <v>299700</v>
      </c>
    </row>
    <row r="1600" spans="1:27" x14ac:dyDescent="0.3">
      <c r="A1600" s="3">
        <v>21</v>
      </c>
      <c r="B1600" s="2" t="str">
        <f>"09108030300"</f>
        <v>09108030300</v>
      </c>
      <c r="C1600" s="2" t="s">
        <v>5921</v>
      </c>
      <c r="D1600" t="s">
        <v>29</v>
      </c>
      <c r="E1600" s="2" t="s">
        <v>30</v>
      </c>
      <c r="F1600" s="2">
        <v>37209</v>
      </c>
      <c r="G1600" s="2" t="s">
        <v>64</v>
      </c>
      <c r="H1600" t="s">
        <v>176</v>
      </c>
      <c r="I1600" s="6">
        <v>30320</v>
      </c>
      <c r="J1600" s="2" t="s">
        <v>5918</v>
      </c>
      <c r="K1600" s="2">
        <v>82500</v>
      </c>
      <c r="L1600" t="s">
        <v>178</v>
      </c>
      <c r="M1600" t="s">
        <v>29</v>
      </c>
      <c r="N1600" t="s">
        <v>30</v>
      </c>
      <c r="O1600">
        <v>37246</v>
      </c>
      <c r="P1600" t="s">
        <v>5922</v>
      </c>
      <c r="Q1600" s="2">
        <v>2.19</v>
      </c>
      <c r="R1600" s="2">
        <v>0</v>
      </c>
      <c r="S1600" s="2">
        <v>0</v>
      </c>
      <c r="T1600" t="s">
        <v>5923</v>
      </c>
      <c r="U1600" s="6">
        <v>33955</v>
      </c>
      <c r="V1600" s="2">
        <v>47037013601</v>
      </c>
      <c r="W1600" s="2" t="s">
        <v>68</v>
      </c>
      <c r="X1600" s="1">
        <v>45658</v>
      </c>
      <c r="Y1600" s="2">
        <v>355900</v>
      </c>
      <c r="Z1600" s="2">
        <v>0</v>
      </c>
      <c r="AA1600" s="2">
        <v>355900</v>
      </c>
    </row>
    <row r="1601" spans="1:27" x14ac:dyDescent="0.3">
      <c r="A1601" s="3">
        <v>21</v>
      </c>
      <c r="B1601" s="2" t="str">
        <f>"09215003300"</f>
        <v>09215003300</v>
      </c>
      <c r="C1601" s="2" t="s">
        <v>5924</v>
      </c>
      <c r="D1601" t="s">
        <v>29</v>
      </c>
      <c r="E1601" s="2" t="s">
        <v>30</v>
      </c>
      <c r="F1601" s="2">
        <v>37203</v>
      </c>
      <c r="G1601" s="2" t="s">
        <v>200</v>
      </c>
      <c r="H1601" t="s">
        <v>5925</v>
      </c>
      <c r="I1601" s="6">
        <v>27484</v>
      </c>
      <c r="J1601" s="2" t="s">
        <v>5926</v>
      </c>
      <c r="K1601" s="2" t="s">
        <v>34</v>
      </c>
      <c r="L1601" t="s">
        <v>35</v>
      </c>
      <c r="M1601" t="s">
        <v>29</v>
      </c>
      <c r="N1601" t="s">
        <v>30</v>
      </c>
      <c r="O1601">
        <v>37219</v>
      </c>
      <c r="P1601" t="s">
        <v>5927</v>
      </c>
      <c r="Q1601" s="2">
        <v>17.03</v>
      </c>
      <c r="R1601" s="2">
        <v>0</v>
      </c>
      <c r="S1601" s="2">
        <v>0</v>
      </c>
      <c r="T1601" t="s">
        <v>5928</v>
      </c>
      <c r="U1601" s="6">
        <v>41688</v>
      </c>
      <c r="V1601" s="2">
        <v>47037016500</v>
      </c>
      <c r="W1601" s="2" t="s">
        <v>68</v>
      </c>
      <c r="X1601" s="1">
        <v>45658</v>
      </c>
      <c r="Y1601" s="2">
        <v>111274100</v>
      </c>
      <c r="Z1601" s="2">
        <v>0</v>
      </c>
      <c r="AA1601" s="2">
        <v>111274100</v>
      </c>
    </row>
    <row r="1602" spans="1:27" x14ac:dyDescent="0.3">
      <c r="A1602" s="3">
        <v>21</v>
      </c>
      <c r="B1602" s="2" t="str">
        <f>"09214004600"</f>
        <v>09214004600</v>
      </c>
      <c r="C1602" s="2" t="s">
        <v>5929</v>
      </c>
      <c r="D1602" t="s">
        <v>29</v>
      </c>
      <c r="E1602" s="2" t="s">
        <v>30</v>
      </c>
      <c r="F1602" s="2">
        <v>37203</v>
      </c>
      <c r="G1602" s="2" t="s">
        <v>200</v>
      </c>
      <c r="H1602" t="s">
        <v>5925</v>
      </c>
      <c r="I1602" s="6">
        <v>9966</v>
      </c>
      <c r="J1602" s="2" t="s">
        <v>5930</v>
      </c>
      <c r="K1602" s="2" t="s">
        <v>34</v>
      </c>
      <c r="L1602" t="s">
        <v>35</v>
      </c>
      <c r="M1602" t="s">
        <v>29</v>
      </c>
      <c r="N1602" t="s">
        <v>30</v>
      </c>
      <c r="O1602">
        <v>37219</v>
      </c>
      <c r="P1602" t="s">
        <v>5931</v>
      </c>
      <c r="Q1602" s="2">
        <v>0.3</v>
      </c>
      <c r="R1602" s="2">
        <v>357</v>
      </c>
      <c r="S1602" s="2">
        <v>76</v>
      </c>
      <c r="T1602" t="s">
        <v>5932</v>
      </c>
      <c r="U1602" s="6">
        <v>31153</v>
      </c>
      <c r="V1602" s="2">
        <v>47037016600</v>
      </c>
      <c r="W1602" s="2" t="s">
        <v>68</v>
      </c>
      <c r="X1602" s="1">
        <v>45658</v>
      </c>
      <c r="Y1602" s="2">
        <v>280800</v>
      </c>
      <c r="Z1602" s="2">
        <v>0</v>
      </c>
      <c r="AA1602" s="2">
        <v>280800</v>
      </c>
    </row>
    <row r="1603" spans="1:27" x14ac:dyDescent="0.3">
      <c r="A1603" s="3">
        <v>21</v>
      </c>
      <c r="B1603" s="2" t="str">
        <f>"09214009300"</f>
        <v>09214009300</v>
      </c>
      <c r="C1603" s="2" t="s">
        <v>5933</v>
      </c>
      <c r="D1603" t="s">
        <v>29</v>
      </c>
      <c r="E1603" s="2" t="s">
        <v>30</v>
      </c>
      <c r="F1603" s="2">
        <v>37203</v>
      </c>
      <c r="G1603" s="2" t="s">
        <v>200</v>
      </c>
      <c r="H1603" t="s">
        <v>5925</v>
      </c>
      <c r="I1603" s="6">
        <v>26364</v>
      </c>
      <c r="J1603" s="2" t="s">
        <v>5934</v>
      </c>
      <c r="K1603" s="2" t="s">
        <v>34</v>
      </c>
      <c r="L1603" t="s">
        <v>35</v>
      </c>
      <c r="M1603" t="s">
        <v>29</v>
      </c>
      <c r="N1603" t="s">
        <v>30</v>
      </c>
      <c r="O1603">
        <v>37219</v>
      </c>
      <c r="P1603" t="s">
        <v>5935</v>
      </c>
      <c r="Q1603" s="2">
        <v>10.1</v>
      </c>
      <c r="R1603" s="2">
        <v>0</v>
      </c>
      <c r="S1603" s="2">
        <v>0</v>
      </c>
      <c r="T1603" t="s">
        <v>278</v>
      </c>
      <c r="U1603" s="6">
        <v>31414</v>
      </c>
      <c r="V1603" s="2">
        <v>47037016600</v>
      </c>
      <c r="W1603" s="2" t="s">
        <v>68</v>
      </c>
      <c r="X1603" s="1">
        <v>45658</v>
      </c>
      <c r="Y1603" s="2">
        <v>1030000</v>
      </c>
      <c r="Z1603" s="2">
        <v>0</v>
      </c>
      <c r="AA1603" s="2">
        <v>1030000</v>
      </c>
    </row>
    <row r="1604" spans="1:27" x14ac:dyDescent="0.3">
      <c r="A1604" s="3">
        <v>21</v>
      </c>
      <c r="B1604" s="2" t="str">
        <f>"09214007600"</f>
        <v>09214007600</v>
      </c>
      <c r="C1604" s="2" t="s">
        <v>5936</v>
      </c>
      <c r="D1604" t="s">
        <v>29</v>
      </c>
      <c r="E1604" s="2" t="s">
        <v>30</v>
      </c>
      <c r="F1604" s="2">
        <v>37203</v>
      </c>
      <c r="G1604" s="2" t="s">
        <v>200</v>
      </c>
      <c r="H1604" t="s">
        <v>5925</v>
      </c>
      <c r="I1604" s="6">
        <v>26364</v>
      </c>
      <c r="J1604" s="2" t="s">
        <v>5934</v>
      </c>
      <c r="K1604" s="2" t="s">
        <v>34</v>
      </c>
      <c r="L1604" t="s">
        <v>35</v>
      </c>
      <c r="M1604" t="s">
        <v>29</v>
      </c>
      <c r="N1604" t="s">
        <v>30</v>
      </c>
      <c r="O1604">
        <v>37219</v>
      </c>
      <c r="P1604" t="s">
        <v>5937</v>
      </c>
      <c r="Q1604" s="2">
        <v>91.28</v>
      </c>
      <c r="R1604" s="2">
        <v>0</v>
      </c>
      <c r="S1604" s="2">
        <v>0</v>
      </c>
      <c r="T1604" t="s">
        <v>278</v>
      </c>
      <c r="U1604" s="6">
        <v>31414</v>
      </c>
      <c r="V1604" s="2">
        <v>47037016600</v>
      </c>
      <c r="W1604" s="2" t="s">
        <v>68</v>
      </c>
      <c r="X1604" s="1">
        <v>45658</v>
      </c>
      <c r="Y1604" s="2">
        <v>1039000</v>
      </c>
      <c r="Z1604" s="2">
        <v>0</v>
      </c>
      <c r="AA1604" s="2">
        <v>1039000</v>
      </c>
    </row>
    <row r="1605" spans="1:27" x14ac:dyDescent="0.3">
      <c r="A1605" s="3">
        <v>21</v>
      </c>
      <c r="B1605" s="2" t="str">
        <f>"08111050300"</f>
        <v>08111050300</v>
      </c>
      <c r="C1605" s="2" t="s">
        <v>5938</v>
      </c>
      <c r="D1605" t="s">
        <v>29</v>
      </c>
      <c r="E1605" s="2" t="s">
        <v>30</v>
      </c>
      <c r="F1605" s="2">
        <v>37208</v>
      </c>
      <c r="G1605" s="2" t="s">
        <v>200</v>
      </c>
      <c r="H1605" t="s">
        <v>5939</v>
      </c>
      <c r="I1605" s="6">
        <v>43790</v>
      </c>
      <c r="J1605" s="2" t="s">
        <v>5940</v>
      </c>
      <c r="K1605" s="2">
        <v>0</v>
      </c>
      <c r="L1605" t="s">
        <v>35</v>
      </c>
      <c r="M1605" t="s">
        <v>29</v>
      </c>
      <c r="N1605" t="s">
        <v>30</v>
      </c>
      <c r="O1605">
        <v>37219</v>
      </c>
      <c r="P1605" t="s">
        <v>5941</v>
      </c>
      <c r="Q1605" s="2">
        <v>1.53</v>
      </c>
      <c r="R1605" s="2">
        <v>725</v>
      </c>
      <c r="S1605" s="2">
        <v>748</v>
      </c>
      <c r="T1605" t="s">
        <v>5940</v>
      </c>
      <c r="U1605" s="6">
        <v>1</v>
      </c>
      <c r="V1605" s="2">
        <v>47037013900</v>
      </c>
      <c r="W1605" s="2" t="s">
        <v>68</v>
      </c>
      <c r="X1605" s="1">
        <v>45658</v>
      </c>
      <c r="Y1605" s="2">
        <v>223800</v>
      </c>
      <c r="Z1605" s="2">
        <v>0</v>
      </c>
      <c r="AA1605" s="2">
        <v>223800</v>
      </c>
    </row>
    <row r="1606" spans="1:27" x14ac:dyDescent="0.3">
      <c r="A1606" s="3">
        <v>21</v>
      </c>
      <c r="B1606" s="2" t="str">
        <f>"09202001500"</f>
        <v>09202001500</v>
      </c>
      <c r="C1606" s="2" t="s">
        <v>5942</v>
      </c>
      <c r="D1606" t="s">
        <v>29</v>
      </c>
      <c r="E1606" s="2" t="s">
        <v>30</v>
      </c>
      <c r="F1606" s="2">
        <v>37208</v>
      </c>
      <c r="G1606" s="2" t="s">
        <v>200</v>
      </c>
      <c r="H1606" t="s">
        <v>5943</v>
      </c>
      <c r="I1606" s="6">
        <v>4542</v>
      </c>
      <c r="J1606" s="2" t="s">
        <v>5944</v>
      </c>
      <c r="K1606" s="2" t="s">
        <v>34</v>
      </c>
      <c r="L1606" t="s">
        <v>35</v>
      </c>
      <c r="M1606" t="s">
        <v>29</v>
      </c>
      <c r="N1606" t="s">
        <v>30</v>
      </c>
      <c r="O1606">
        <v>37210</v>
      </c>
      <c r="P1606" t="s">
        <v>5945</v>
      </c>
      <c r="Q1606" s="2">
        <v>33.950000000000003</v>
      </c>
      <c r="R1606" s="2">
        <v>0</v>
      </c>
      <c r="S1606" s="2">
        <v>0</v>
      </c>
      <c r="T1606" t="s">
        <v>5946</v>
      </c>
      <c r="U1606" s="6">
        <v>30026</v>
      </c>
      <c r="V1606" s="2">
        <v>47037013602</v>
      </c>
      <c r="W1606" s="2" t="s">
        <v>68</v>
      </c>
      <c r="X1606" s="1">
        <v>45658</v>
      </c>
      <c r="Y1606" s="2">
        <v>734300</v>
      </c>
      <c r="Z1606" s="2">
        <v>0</v>
      </c>
      <c r="AA1606" s="2">
        <v>734300</v>
      </c>
    </row>
    <row r="1607" spans="1:27" x14ac:dyDescent="0.3">
      <c r="A1607" s="3">
        <v>21</v>
      </c>
      <c r="B1607" s="2" t="str">
        <f>"09210022700"</f>
        <v>09210022700</v>
      </c>
      <c r="C1607" s="2" t="s">
        <v>5947</v>
      </c>
      <c r="D1607" t="s">
        <v>29</v>
      </c>
      <c r="E1607" s="2" t="s">
        <v>30</v>
      </c>
      <c r="F1607" s="2">
        <v>37209</v>
      </c>
      <c r="G1607" s="2" t="s">
        <v>200</v>
      </c>
      <c r="H1607" t="s">
        <v>5948</v>
      </c>
      <c r="I1607" s="6">
        <v>29490</v>
      </c>
      <c r="J1607" s="2" t="s">
        <v>5949</v>
      </c>
      <c r="K1607" s="2">
        <v>3500</v>
      </c>
      <c r="L1607" t="s">
        <v>35</v>
      </c>
      <c r="M1607" t="s">
        <v>29</v>
      </c>
      <c r="N1607" t="s">
        <v>30</v>
      </c>
      <c r="O1607">
        <v>37219</v>
      </c>
      <c r="P1607" t="s">
        <v>5950</v>
      </c>
      <c r="Q1607" s="2">
        <v>0.32</v>
      </c>
      <c r="R1607" s="2">
        <v>67</v>
      </c>
      <c r="S1607" s="2">
        <v>200</v>
      </c>
      <c r="T1607" t="s">
        <v>5951</v>
      </c>
      <c r="U1607" s="6">
        <v>17139</v>
      </c>
      <c r="V1607" s="2">
        <v>47037014300</v>
      </c>
      <c r="W1607" s="2" t="s">
        <v>68</v>
      </c>
      <c r="X1607" s="1">
        <v>45658</v>
      </c>
      <c r="Y1607" s="2">
        <v>280000</v>
      </c>
      <c r="Z1607" s="2">
        <v>0</v>
      </c>
      <c r="AA1607" s="2">
        <v>280000</v>
      </c>
    </row>
    <row r="1608" spans="1:27" x14ac:dyDescent="0.3">
      <c r="A1608" s="3">
        <v>21</v>
      </c>
      <c r="B1608" s="2" t="str">
        <f>"09210022600"</f>
        <v>09210022600</v>
      </c>
      <c r="C1608" s="2" t="s">
        <v>5952</v>
      </c>
      <c r="D1608" t="s">
        <v>29</v>
      </c>
      <c r="E1608" s="2" t="s">
        <v>30</v>
      </c>
      <c r="F1608" s="2">
        <v>37209</v>
      </c>
      <c r="G1608" s="2" t="s">
        <v>200</v>
      </c>
      <c r="H1608" t="s">
        <v>5948</v>
      </c>
      <c r="I1608" s="6">
        <v>12414</v>
      </c>
      <c r="J1608" s="2" t="s">
        <v>5953</v>
      </c>
      <c r="K1608" s="2" t="s">
        <v>34</v>
      </c>
      <c r="L1608" t="s">
        <v>35</v>
      </c>
      <c r="M1608" t="s">
        <v>29</v>
      </c>
      <c r="N1608" t="s">
        <v>30</v>
      </c>
      <c r="O1608">
        <v>37219</v>
      </c>
      <c r="P1608" t="s">
        <v>5954</v>
      </c>
      <c r="Q1608" s="2">
        <v>0.89</v>
      </c>
      <c r="R1608" s="2">
        <v>200</v>
      </c>
      <c r="S1608" s="2">
        <v>190</v>
      </c>
      <c r="T1608" t="s">
        <v>5953</v>
      </c>
      <c r="U1608" s="6">
        <v>12414</v>
      </c>
      <c r="V1608" s="2">
        <v>47037014300</v>
      </c>
      <c r="W1608" s="2" t="s">
        <v>68</v>
      </c>
      <c r="X1608" s="1">
        <v>45658</v>
      </c>
      <c r="Y1608" s="2">
        <v>322000</v>
      </c>
      <c r="Z1608" s="2">
        <v>0</v>
      </c>
      <c r="AA1608" s="2">
        <v>322000</v>
      </c>
    </row>
    <row r="1609" spans="1:27" x14ac:dyDescent="0.3">
      <c r="A1609" s="3">
        <v>21</v>
      </c>
      <c r="B1609" s="2" t="str">
        <f>"08110029600"</f>
        <v>08110029600</v>
      </c>
      <c r="C1609" s="2" t="s">
        <v>5955</v>
      </c>
      <c r="D1609" t="s">
        <v>29</v>
      </c>
      <c r="E1609" s="2" t="s">
        <v>30</v>
      </c>
      <c r="F1609" s="2">
        <v>37208</v>
      </c>
      <c r="G1609" s="2" t="s">
        <v>64</v>
      </c>
      <c r="H1609" t="s">
        <v>5956</v>
      </c>
      <c r="I1609" s="6">
        <v>28285</v>
      </c>
      <c r="J1609" s="2" t="s">
        <v>5957</v>
      </c>
      <c r="K1609" s="2" t="s">
        <v>34</v>
      </c>
      <c r="L1609" t="s">
        <v>35</v>
      </c>
      <c r="M1609" t="s">
        <v>29</v>
      </c>
      <c r="N1609" t="s">
        <v>30</v>
      </c>
      <c r="O1609">
        <v>37219</v>
      </c>
      <c r="P1609" t="s">
        <v>5958</v>
      </c>
      <c r="Q1609" s="2">
        <v>2.21</v>
      </c>
      <c r="R1609" s="2">
        <v>159</v>
      </c>
      <c r="S1609" s="2">
        <v>400</v>
      </c>
      <c r="T1609" t="s">
        <v>278</v>
      </c>
      <c r="U1609" s="6">
        <v>36578</v>
      </c>
      <c r="V1609" s="2">
        <v>47037013800</v>
      </c>
      <c r="W1609" s="2" t="s">
        <v>68</v>
      </c>
      <c r="X1609" s="1">
        <v>45658</v>
      </c>
      <c r="Y1609" s="2">
        <v>300800</v>
      </c>
      <c r="Z1609" s="2">
        <v>0</v>
      </c>
      <c r="AA1609" s="2">
        <v>300800</v>
      </c>
    </row>
    <row r="1610" spans="1:27" x14ac:dyDescent="0.3">
      <c r="A1610" s="3">
        <v>21</v>
      </c>
      <c r="B1610" s="2" t="str">
        <f>"08114006000"</f>
        <v>08114006000</v>
      </c>
      <c r="C1610" s="2" t="s">
        <v>5959</v>
      </c>
      <c r="D1610" t="s">
        <v>29</v>
      </c>
      <c r="E1610" s="2" t="s">
        <v>30</v>
      </c>
      <c r="F1610" s="2">
        <v>37208</v>
      </c>
      <c r="G1610" s="2" t="s">
        <v>64</v>
      </c>
      <c r="H1610" t="s">
        <v>5960</v>
      </c>
      <c r="I1610" s="6">
        <v>28278</v>
      </c>
      <c r="J1610" s="2" t="s">
        <v>5961</v>
      </c>
      <c r="K1610" s="2">
        <v>50000</v>
      </c>
      <c r="L1610" t="s">
        <v>35</v>
      </c>
      <c r="M1610" t="s">
        <v>29</v>
      </c>
      <c r="N1610" t="s">
        <v>30</v>
      </c>
      <c r="O1610">
        <v>37219</v>
      </c>
      <c r="P1610" t="s">
        <v>5962</v>
      </c>
      <c r="Q1610" s="2">
        <v>5.1100000000000003</v>
      </c>
      <c r="R1610" s="2">
        <v>0</v>
      </c>
      <c r="S1610" s="2">
        <v>0</v>
      </c>
      <c r="T1610" t="s">
        <v>278</v>
      </c>
      <c r="U1610" s="6">
        <v>36578</v>
      </c>
      <c r="V1610" s="2">
        <v>47037013800</v>
      </c>
      <c r="W1610" s="2" t="s">
        <v>68</v>
      </c>
      <c r="X1610" s="1">
        <v>45658</v>
      </c>
      <c r="Y1610" s="2">
        <v>487400</v>
      </c>
      <c r="Z1610" s="2">
        <v>0</v>
      </c>
      <c r="AA1610" s="2">
        <v>487400</v>
      </c>
    </row>
    <row r="1611" spans="1:27" x14ac:dyDescent="0.3">
      <c r="A1611" s="3">
        <v>21</v>
      </c>
      <c r="B1611" s="2" t="str">
        <f>"09214004400"</f>
        <v>09214004400</v>
      </c>
      <c r="C1611" s="2" t="s">
        <v>5963</v>
      </c>
      <c r="D1611" t="s">
        <v>29</v>
      </c>
      <c r="E1611" s="2" t="s">
        <v>30</v>
      </c>
      <c r="F1611" s="2">
        <v>37203</v>
      </c>
      <c r="G1611" s="2" t="s">
        <v>3569</v>
      </c>
      <c r="H1611" t="s">
        <v>206</v>
      </c>
      <c r="I1611" s="6">
        <v>31958</v>
      </c>
      <c r="J1611" s="2" t="s">
        <v>5964</v>
      </c>
      <c r="K1611" s="2">
        <v>4974129</v>
      </c>
      <c r="L1611" t="s">
        <v>35</v>
      </c>
      <c r="M1611" t="s">
        <v>29</v>
      </c>
      <c r="N1611" t="s">
        <v>30</v>
      </c>
      <c r="O1611">
        <v>37219</v>
      </c>
      <c r="P1611" t="s">
        <v>5965</v>
      </c>
      <c r="Q1611" s="2">
        <v>2.34</v>
      </c>
      <c r="R1611" s="2">
        <v>0</v>
      </c>
      <c r="S1611" s="2">
        <v>0</v>
      </c>
      <c r="T1611" t="s">
        <v>5932</v>
      </c>
      <c r="U1611" s="6">
        <v>31153</v>
      </c>
      <c r="V1611" s="2">
        <v>47037016600</v>
      </c>
      <c r="W1611" s="2" t="s">
        <v>68</v>
      </c>
      <c r="X1611" s="1">
        <v>45658</v>
      </c>
      <c r="Y1611" s="2">
        <v>7208400</v>
      </c>
      <c r="Z1611" s="2">
        <v>710400</v>
      </c>
      <c r="AA1611" s="2">
        <v>6498000</v>
      </c>
    </row>
    <row r="1612" spans="1:27" x14ac:dyDescent="0.3">
      <c r="A1612" s="3">
        <v>21</v>
      </c>
      <c r="B1612" s="2" t="str">
        <f>"09214004800"</f>
        <v>09214004800</v>
      </c>
      <c r="C1612" s="2" t="s">
        <v>5966</v>
      </c>
      <c r="D1612" t="s">
        <v>29</v>
      </c>
      <c r="E1612" s="2" t="s">
        <v>30</v>
      </c>
      <c r="F1612" s="2">
        <v>37203</v>
      </c>
      <c r="G1612" s="2" t="s">
        <v>2495</v>
      </c>
      <c r="H1612" t="s">
        <v>206</v>
      </c>
      <c r="I1612" s="6">
        <v>31958</v>
      </c>
      <c r="J1612" s="2" t="s">
        <v>5964</v>
      </c>
      <c r="K1612" s="2">
        <v>4974129</v>
      </c>
      <c r="L1612" t="s">
        <v>35</v>
      </c>
      <c r="M1612" t="s">
        <v>29</v>
      </c>
      <c r="N1612" t="s">
        <v>30</v>
      </c>
      <c r="O1612">
        <v>37219</v>
      </c>
      <c r="P1612" t="s">
        <v>5967</v>
      </c>
      <c r="Q1612" s="2">
        <v>0.85</v>
      </c>
      <c r="R1612" s="2">
        <v>308</v>
      </c>
      <c r="S1612" s="2">
        <v>138</v>
      </c>
      <c r="T1612" t="s">
        <v>5932</v>
      </c>
      <c r="U1612" s="6">
        <v>31153</v>
      </c>
      <c r="V1612" s="2">
        <v>47037016600</v>
      </c>
      <c r="W1612" s="2" t="s">
        <v>68</v>
      </c>
      <c r="X1612" s="1">
        <v>45658</v>
      </c>
      <c r="Y1612" s="2">
        <v>2804000</v>
      </c>
      <c r="Z1612" s="2">
        <v>27000</v>
      </c>
      <c r="AA1612" s="2">
        <v>2777000</v>
      </c>
    </row>
    <row r="1613" spans="1:27" x14ac:dyDescent="0.3">
      <c r="A1613" s="3">
        <v>21</v>
      </c>
      <c r="B1613" s="2" t="str">
        <f>"09214005100"</f>
        <v>09214005100</v>
      </c>
      <c r="C1613" s="2" t="s">
        <v>5968</v>
      </c>
      <c r="D1613" t="s">
        <v>29</v>
      </c>
      <c r="E1613" s="2" t="s">
        <v>30</v>
      </c>
      <c r="F1613" s="2">
        <v>37203</v>
      </c>
      <c r="G1613" s="2" t="s">
        <v>1485</v>
      </c>
      <c r="H1613" t="s">
        <v>206</v>
      </c>
      <c r="I1613" s="6">
        <v>31958</v>
      </c>
      <c r="J1613" s="2" t="s">
        <v>5964</v>
      </c>
      <c r="K1613" s="2" t="s">
        <v>34</v>
      </c>
      <c r="L1613" t="s">
        <v>35</v>
      </c>
      <c r="M1613" t="s">
        <v>29</v>
      </c>
      <c r="N1613" t="s">
        <v>30</v>
      </c>
      <c r="O1613">
        <v>37219</v>
      </c>
      <c r="P1613" t="s">
        <v>5969</v>
      </c>
      <c r="Q1613" s="2">
        <v>0.15</v>
      </c>
      <c r="R1613" s="2">
        <v>53</v>
      </c>
      <c r="S1613" s="2">
        <v>135</v>
      </c>
      <c r="T1613" t="s">
        <v>5970</v>
      </c>
      <c r="U1613" s="6">
        <v>13464</v>
      </c>
      <c r="V1613" s="2">
        <v>47037016600</v>
      </c>
      <c r="W1613" s="2" t="s">
        <v>68</v>
      </c>
      <c r="X1613" s="1">
        <v>45658</v>
      </c>
      <c r="Y1613" s="2">
        <v>536600</v>
      </c>
      <c r="Z1613" s="2">
        <v>0</v>
      </c>
      <c r="AA1613" s="2">
        <v>536600</v>
      </c>
    </row>
    <row r="1614" spans="1:27" x14ac:dyDescent="0.3">
      <c r="A1614" s="3">
        <v>21</v>
      </c>
      <c r="B1614" s="2" t="str">
        <f>"09214005000"</f>
        <v>09214005000</v>
      </c>
      <c r="C1614" s="2" t="s">
        <v>5971</v>
      </c>
      <c r="D1614" t="s">
        <v>29</v>
      </c>
      <c r="E1614" s="2" t="s">
        <v>30</v>
      </c>
      <c r="F1614" s="2">
        <v>37203</v>
      </c>
      <c r="G1614" s="2" t="s">
        <v>1485</v>
      </c>
      <c r="H1614" t="s">
        <v>206</v>
      </c>
      <c r="I1614" s="6">
        <v>31958</v>
      </c>
      <c r="J1614" s="2" t="s">
        <v>5964</v>
      </c>
      <c r="K1614" s="2" t="s">
        <v>34</v>
      </c>
      <c r="L1614" t="s">
        <v>35</v>
      </c>
      <c r="M1614" t="s">
        <v>29</v>
      </c>
      <c r="N1614" t="s">
        <v>30</v>
      </c>
      <c r="O1614">
        <v>37219</v>
      </c>
      <c r="P1614" t="s">
        <v>5972</v>
      </c>
      <c r="Q1614" s="2">
        <v>0.15</v>
      </c>
      <c r="R1614" s="2">
        <v>50</v>
      </c>
      <c r="S1614" s="2">
        <v>135</v>
      </c>
      <c r="T1614" t="s">
        <v>5973</v>
      </c>
      <c r="U1614" s="6">
        <v>9217</v>
      </c>
      <c r="V1614" s="2">
        <v>47037016600</v>
      </c>
      <c r="W1614" s="2" t="s">
        <v>68</v>
      </c>
      <c r="X1614" s="1">
        <v>45658</v>
      </c>
      <c r="Y1614" s="2">
        <v>506300</v>
      </c>
      <c r="Z1614" s="2">
        <v>0</v>
      </c>
      <c r="AA1614" s="2">
        <v>506300</v>
      </c>
    </row>
    <row r="1615" spans="1:27" x14ac:dyDescent="0.3">
      <c r="A1615" s="3">
        <v>21</v>
      </c>
      <c r="B1615" s="2" t="str">
        <f>"09214004900"</f>
        <v>09214004900</v>
      </c>
      <c r="C1615" s="2" t="s">
        <v>5974</v>
      </c>
      <c r="D1615" t="s">
        <v>29</v>
      </c>
      <c r="E1615" s="2" t="s">
        <v>30</v>
      </c>
      <c r="F1615" s="2">
        <v>37203</v>
      </c>
      <c r="G1615" s="2" t="s">
        <v>1485</v>
      </c>
      <c r="H1615" t="s">
        <v>206</v>
      </c>
      <c r="I1615" s="6">
        <v>31958</v>
      </c>
      <c r="J1615" s="2" t="s">
        <v>5964</v>
      </c>
      <c r="K1615" s="2" t="s">
        <v>34</v>
      </c>
      <c r="L1615" t="s">
        <v>35</v>
      </c>
      <c r="M1615" t="s">
        <v>29</v>
      </c>
      <c r="N1615" t="s">
        <v>30</v>
      </c>
      <c r="O1615">
        <v>37219</v>
      </c>
      <c r="P1615" t="s">
        <v>5975</v>
      </c>
      <c r="Q1615" s="2">
        <v>0.15</v>
      </c>
      <c r="R1615" s="2">
        <v>50</v>
      </c>
      <c r="S1615" s="2">
        <v>135</v>
      </c>
      <c r="T1615" t="s">
        <v>5976</v>
      </c>
      <c r="U1615" s="6">
        <v>11212</v>
      </c>
      <c r="V1615" s="2">
        <v>47037016600</v>
      </c>
      <c r="W1615" s="2" t="s">
        <v>68</v>
      </c>
      <c r="X1615" s="1">
        <v>45658</v>
      </c>
      <c r="Y1615" s="2">
        <v>506300</v>
      </c>
      <c r="Z1615" s="2">
        <v>0</v>
      </c>
      <c r="AA1615" s="2">
        <v>506300</v>
      </c>
    </row>
    <row r="1616" spans="1:27" x14ac:dyDescent="0.3">
      <c r="A1616" s="3">
        <v>21</v>
      </c>
      <c r="B1616" s="2" t="str">
        <f>"10402003900"</f>
        <v>10402003900</v>
      </c>
      <c r="C1616" s="2" t="s">
        <v>5977</v>
      </c>
      <c r="D1616" t="s">
        <v>29</v>
      </c>
      <c r="E1616" s="2" t="s">
        <v>30</v>
      </c>
      <c r="F1616" s="2">
        <v>37203</v>
      </c>
      <c r="G1616" s="2" t="s">
        <v>41</v>
      </c>
      <c r="H1616" t="s">
        <v>206</v>
      </c>
      <c r="I1616" s="6">
        <v>31958</v>
      </c>
      <c r="J1616" s="2" t="s">
        <v>5964</v>
      </c>
      <c r="K1616" s="2" t="s">
        <v>34</v>
      </c>
      <c r="L1616" t="s">
        <v>35</v>
      </c>
      <c r="M1616" t="s">
        <v>29</v>
      </c>
      <c r="N1616" t="s">
        <v>30</v>
      </c>
      <c r="O1616">
        <v>37219</v>
      </c>
      <c r="P1616" t="s">
        <v>5978</v>
      </c>
      <c r="Q1616" s="2">
        <v>0.16</v>
      </c>
      <c r="R1616" s="2">
        <v>50</v>
      </c>
      <c r="S1616" s="2">
        <v>135</v>
      </c>
      <c r="T1616" t="s">
        <v>5979</v>
      </c>
      <c r="U1616" s="6">
        <v>27047</v>
      </c>
      <c r="V1616" s="2">
        <v>47037016600</v>
      </c>
      <c r="W1616" s="2" t="s">
        <v>68</v>
      </c>
      <c r="X1616" s="1">
        <v>45658</v>
      </c>
      <c r="Y1616" s="2">
        <v>506300</v>
      </c>
      <c r="Z1616" s="2">
        <v>0</v>
      </c>
      <c r="AA1616" s="2">
        <v>506300</v>
      </c>
    </row>
    <row r="1617" spans="1:27" x14ac:dyDescent="0.3">
      <c r="A1617" s="3">
        <v>21</v>
      </c>
      <c r="B1617" s="2" t="str">
        <f>"10402003800"</f>
        <v>10402003800</v>
      </c>
      <c r="C1617" s="2" t="s">
        <v>5980</v>
      </c>
      <c r="D1617" t="s">
        <v>29</v>
      </c>
      <c r="E1617" s="2" t="s">
        <v>30</v>
      </c>
      <c r="F1617" s="2">
        <v>37203</v>
      </c>
      <c r="G1617" s="2" t="s">
        <v>1485</v>
      </c>
      <c r="H1617" t="s">
        <v>206</v>
      </c>
      <c r="I1617" s="6">
        <v>31958</v>
      </c>
      <c r="J1617" s="2" t="s">
        <v>5964</v>
      </c>
      <c r="K1617" s="2" t="s">
        <v>34</v>
      </c>
      <c r="L1617" t="s">
        <v>35</v>
      </c>
      <c r="M1617" t="s">
        <v>29</v>
      </c>
      <c r="N1617" t="s">
        <v>30</v>
      </c>
      <c r="O1617">
        <v>37219</v>
      </c>
      <c r="P1617" t="s">
        <v>5981</v>
      </c>
      <c r="Q1617" s="2">
        <v>0.32</v>
      </c>
      <c r="R1617" s="2">
        <v>135</v>
      </c>
      <c r="S1617" s="2">
        <v>100</v>
      </c>
      <c r="T1617" t="s">
        <v>5982</v>
      </c>
      <c r="U1617" s="6">
        <v>11130</v>
      </c>
      <c r="V1617" s="2">
        <v>47037016600</v>
      </c>
      <c r="W1617" s="2" t="s">
        <v>68</v>
      </c>
      <c r="X1617" s="1">
        <v>45658</v>
      </c>
      <c r="Y1617" s="2">
        <v>1045400</v>
      </c>
      <c r="Z1617" s="2">
        <v>0</v>
      </c>
      <c r="AA1617" s="2">
        <v>1045400</v>
      </c>
    </row>
    <row r="1618" spans="1:27" x14ac:dyDescent="0.3">
      <c r="A1618" s="3">
        <v>21</v>
      </c>
      <c r="B1618" s="2" t="str">
        <f>"10402004200"</f>
        <v>10402004200</v>
      </c>
      <c r="C1618" s="2" t="s">
        <v>5983</v>
      </c>
      <c r="D1618" t="s">
        <v>29</v>
      </c>
      <c r="E1618" s="2" t="s">
        <v>30</v>
      </c>
      <c r="F1618" s="2">
        <v>37203</v>
      </c>
      <c r="G1618" s="2" t="s">
        <v>64</v>
      </c>
      <c r="H1618" t="s">
        <v>206</v>
      </c>
      <c r="I1618" s="6">
        <v>31958</v>
      </c>
      <c r="J1618" s="2" t="s">
        <v>5964</v>
      </c>
      <c r="K1618" s="2" t="s">
        <v>34</v>
      </c>
      <c r="L1618" t="s">
        <v>35</v>
      </c>
      <c r="M1618" t="s">
        <v>29</v>
      </c>
      <c r="N1618" t="s">
        <v>30</v>
      </c>
      <c r="O1618">
        <v>37219</v>
      </c>
      <c r="P1618" t="s">
        <v>5984</v>
      </c>
      <c r="Q1618" s="2">
        <v>0.17</v>
      </c>
      <c r="R1618" s="2">
        <v>50</v>
      </c>
      <c r="S1618" s="2">
        <v>148</v>
      </c>
      <c r="T1618" t="s">
        <v>5985</v>
      </c>
      <c r="U1618" s="6">
        <v>45161</v>
      </c>
      <c r="V1618" s="2">
        <v>47037016600</v>
      </c>
      <c r="W1618" s="2" t="s">
        <v>68</v>
      </c>
      <c r="X1618" s="1">
        <v>45658</v>
      </c>
      <c r="Y1618" s="2">
        <v>468000</v>
      </c>
      <c r="Z1618" s="2">
        <v>0</v>
      </c>
      <c r="AA1618" s="2">
        <v>468000</v>
      </c>
    </row>
    <row r="1619" spans="1:27" x14ac:dyDescent="0.3">
      <c r="A1619" s="3">
        <v>21</v>
      </c>
      <c r="B1619" s="2" t="str">
        <f>"10402004300"</f>
        <v>10402004300</v>
      </c>
      <c r="C1619" s="2" t="s">
        <v>5986</v>
      </c>
      <c r="D1619" t="s">
        <v>29</v>
      </c>
      <c r="E1619" s="2" t="s">
        <v>30</v>
      </c>
      <c r="F1619" s="2">
        <v>37203</v>
      </c>
      <c r="G1619" s="2" t="s">
        <v>64</v>
      </c>
      <c r="H1619" t="s">
        <v>206</v>
      </c>
      <c r="I1619" s="6">
        <v>31958</v>
      </c>
      <c r="J1619" s="2" t="s">
        <v>5964</v>
      </c>
      <c r="K1619" s="2" t="s">
        <v>34</v>
      </c>
      <c r="L1619" t="s">
        <v>35</v>
      </c>
      <c r="M1619" t="s">
        <v>29</v>
      </c>
      <c r="N1619" t="s">
        <v>30</v>
      </c>
      <c r="O1619">
        <v>37219</v>
      </c>
      <c r="P1619" t="s">
        <v>5987</v>
      </c>
      <c r="Q1619" s="2">
        <v>0.25</v>
      </c>
      <c r="R1619" s="2">
        <v>75</v>
      </c>
      <c r="S1619" s="2">
        <v>148</v>
      </c>
      <c r="T1619" t="s">
        <v>5985</v>
      </c>
      <c r="U1619" s="6">
        <v>45161</v>
      </c>
      <c r="V1619" s="2">
        <v>47037016600</v>
      </c>
      <c r="W1619" s="2" t="s">
        <v>68</v>
      </c>
      <c r="X1619" s="1">
        <v>45658</v>
      </c>
      <c r="Y1619" s="2">
        <v>780000</v>
      </c>
      <c r="Z1619" s="2">
        <v>0</v>
      </c>
      <c r="AA1619" s="2">
        <v>780000</v>
      </c>
    </row>
    <row r="1620" spans="1:27" x14ac:dyDescent="0.3">
      <c r="A1620" s="3">
        <v>21</v>
      </c>
      <c r="B1620" s="2" t="str">
        <f>"10402004500"</f>
        <v>10402004500</v>
      </c>
      <c r="C1620" s="2" t="s">
        <v>5988</v>
      </c>
      <c r="D1620" t="s">
        <v>29</v>
      </c>
      <c r="E1620" s="2" t="s">
        <v>30</v>
      </c>
      <c r="F1620" s="2">
        <v>37203</v>
      </c>
      <c r="G1620" s="2" t="s">
        <v>64</v>
      </c>
      <c r="H1620" t="s">
        <v>206</v>
      </c>
      <c r="I1620" s="6">
        <v>31958</v>
      </c>
      <c r="J1620" s="2" t="s">
        <v>5964</v>
      </c>
      <c r="K1620" s="2" t="s">
        <v>34</v>
      </c>
      <c r="L1620" t="s">
        <v>35</v>
      </c>
      <c r="M1620" t="s">
        <v>29</v>
      </c>
      <c r="N1620" t="s">
        <v>30</v>
      </c>
      <c r="O1620">
        <v>37219</v>
      </c>
      <c r="P1620" t="s">
        <v>5989</v>
      </c>
      <c r="Q1620" s="2">
        <v>0.18</v>
      </c>
      <c r="R1620" s="2">
        <v>53</v>
      </c>
      <c r="S1620" s="2">
        <v>150</v>
      </c>
      <c r="T1620" t="s">
        <v>5990</v>
      </c>
      <c r="U1620" s="6">
        <v>23305</v>
      </c>
      <c r="V1620" s="2">
        <v>47037016600</v>
      </c>
      <c r="W1620" s="2" t="s">
        <v>68</v>
      </c>
      <c r="X1620" s="1">
        <v>45658</v>
      </c>
      <c r="Y1620" s="2">
        <v>624000</v>
      </c>
      <c r="Z1620" s="2">
        <v>0</v>
      </c>
      <c r="AA1620" s="2">
        <v>624000</v>
      </c>
    </row>
    <row r="1621" spans="1:27" x14ac:dyDescent="0.3">
      <c r="A1621" s="3">
        <v>21</v>
      </c>
      <c r="B1621" s="2" t="str">
        <f>"10402004600"</f>
        <v>10402004600</v>
      </c>
      <c r="C1621" s="2" t="s">
        <v>5991</v>
      </c>
      <c r="D1621" t="s">
        <v>29</v>
      </c>
      <c r="E1621" s="2" t="s">
        <v>30</v>
      </c>
      <c r="F1621" s="2">
        <v>37203</v>
      </c>
      <c r="G1621" s="2" t="s">
        <v>3569</v>
      </c>
      <c r="H1621" t="s">
        <v>206</v>
      </c>
      <c r="I1621" s="6">
        <v>31958</v>
      </c>
      <c r="J1621" s="2" t="s">
        <v>5964</v>
      </c>
      <c r="K1621" s="2">
        <v>4974129</v>
      </c>
      <c r="L1621" t="s">
        <v>35</v>
      </c>
      <c r="M1621" t="s">
        <v>29</v>
      </c>
      <c r="N1621" t="s">
        <v>30</v>
      </c>
      <c r="O1621">
        <v>37219</v>
      </c>
      <c r="P1621" t="s">
        <v>5992</v>
      </c>
      <c r="Q1621" s="2">
        <v>5.03</v>
      </c>
      <c r="R1621" s="2">
        <v>0</v>
      </c>
      <c r="S1621" s="2">
        <v>0</v>
      </c>
      <c r="T1621" t="s">
        <v>5993</v>
      </c>
      <c r="U1621" s="6">
        <v>37711</v>
      </c>
      <c r="V1621" s="2">
        <v>47037016600</v>
      </c>
      <c r="W1621" s="2" t="s">
        <v>68</v>
      </c>
      <c r="X1621" s="1">
        <v>45658</v>
      </c>
      <c r="Y1621" s="2">
        <v>22470300</v>
      </c>
      <c r="Z1621" s="2">
        <v>6037300</v>
      </c>
      <c r="AA1621" s="2">
        <v>16433000</v>
      </c>
    </row>
    <row r="1622" spans="1:27" x14ac:dyDescent="0.3">
      <c r="A1622" s="3">
        <v>21</v>
      </c>
      <c r="B1622" s="2" t="str">
        <f>"08100002400"</f>
        <v>08100002400</v>
      </c>
      <c r="C1622" s="2" t="s">
        <v>5994</v>
      </c>
      <c r="D1622" t="s">
        <v>29</v>
      </c>
      <c r="E1622" s="2" t="s">
        <v>30</v>
      </c>
      <c r="F1622" s="2">
        <v>37208</v>
      </c>
      <c r="G1622" s="2" t="s">
        <v>64</v>
      </c>
      <c r="H1622" t="s">
        <v>206</v>
      </c>
      <c r="I1622" s="6">
        <v>33352</v>
      </c>
      <c r="J1622" s="2" t="s">
        <v>5995</v>
      </c>
      <c r="K1622" s="2">
        <v>1000000</v>
      </c>
      <c r="L1622" t="s">
        <v>35</v>
      </c>
      <c r="M1622" t="s">
        <v>29</v>
      </c>
      <c r="N1622" t="s">
        <v>30</v>
      </c>
      <c r="O1622">
        <v>37219</v>
      </c>
      <c r="P1622" t="s">
        <v>5996</v>
      </c>
      <c r="Q1622" s="2">
        <v>102.68</v>
      </c>
      <c r="R1622" s="2">
        <v>0</v>
      </c>
      <c r="S1622" s="2">
        <v>0</v>
      </c>
      <c r="T1622" t="s">
        <v>278</v>
      </c>
      <c r="U1622" s="6">
        <v>36579</v>
      </c>
      <c r="V1622" s="2">
        <v>47037013700</v>
      </c>
      <c r="W1622" s="2" t="s">
        <v>68</v>
      </c>
      <c r="X1622" s="1">
        <v>45658</v>
      </c>
      <c r="Y1622" s="2">
        <v>4838100</v>
      </c>
      <c r="Z1622" s="2">
        <v>0</v>
      </c>
      <c r="AA1622" s="2">
        <v>4838100</v>
      </c>
    </row>
    <row r="1623" spans="1:27" x14ac:dyDescent="0.3">
      <c r="A1623" s="3">
        <v>21</v>
      </c>
      <c r="B1623" s="2" t="str">
        <f>"09214004700"</f>
        <v>09214004700</v>
      </c>
      <c r="C1623" s="2" t="s">
        <v>5929</v>
      </c>
      <c r="D1623" t="s">
        <v>29</v>
      </c>
      <c r="E1623" s="2" t="s">
        <v>30</v>
      </c>
      <c r="F1623" s="2">
        <v>37203</v>
      </c>
      <c r="G1623" s="2" t="s">
        <v>200</v>
      </c>
      <c r="H1623" t="s">
        <v>206</v>
      </c>
      <c r="I1623" s="6">
        <v>31958</v>
      </c>
      <c r="J1623" s="2" t="s">
        <v>5964</v>
      </c>
      <c r="K1623" s="2" t="s">
        <v>34</v>
      </c>
      <c r="L1623" t="s">
        <v>35</v>
      </c>
      <c r="M1623" t="s">
        <v>29</v>
      </c>
      <c r="N1623" t="s">
        <v>30</v>
      </c>
      <c r="O1623">
        <v>37219</v>
      </c>
      <c r="P1623" t="s">
        <v>5997</v>
      </c>
      <c r="Q1623" s="2">
        <v>0.53</v>
      </c>
      <c r="R1623" s="2">
        <v>289</v>
      </c>
      <c r="S1623" s="2">
        <v>200</v>
      </c>
      <c r="T1623" t="s">
        <v>5932</v>
      </c>
      <c r="U1623" s="6">
        <v>31153</v>
      </c>
      <c r="V1623" s="2">
        <v>47037016600</v>
      </c>
      <c r="W1623" s="2" t="s">
        <v>68</v>
      </c>
      <c r="X1623" s="1">
        <v>45658</v>
      </c>
      <c r="Y1623" s="2">
        <v>1716000</v>
      </c>
      <c r="Z1623" s="2">
        <v>0</v>
      </c>
      <c r="AA1623" s="2">
        <v>1716000</v>
      </c>
    </row>
    <row r="1624" spans="1:27" x14ac:dyDescent="0.3">
      <c r="A1624" s="3">
        <v>21</v>
      </c>
      <c r="B1624" s="2" t="str">
        <f>"09202014600"</f>
        <v>09202014600</v>
      </c>
      <c r="C1624" s="2" t="s">
        <v>5998</v>
      </c>
      <c r="D1624" t="s">
        <v>29</v>
      </c>
      <c r="E1624" s="2" t="s">
        <v>30</v>
      </c>
      <c r="F1624" s="2">
        <v>37208</v>
      </c>
      <c r="G1624" s="2" t="s">
        <v>64</v>
      </c>
      <c r="H1624" t="s">
        <v>211</v>
      </c>
      <c r="I1624" s="6">
        <v>28145</v>
      </c>
      <c r="J1624" s="2" t="s">
        <v>5999</v>
      </c>
      <c r="K1624" s="2">
        <v>299</v>
      </c>
      <c r="L1624" t="s">
        <v>35</v>
      </c>
      <c r="M1624" t="s">
        <v>29</v>
      </c>
      <c r="N1624" t="s">
        <v>30</v>
      </c>
      <c r="O1624">
        <v>37219</v>
      </c>
      <c r="P1624" t="s">
        <v>6000</v>
      </c>
      <c r="Q1624" s="2">
        <v>0.02</v>
      </c>
      <c r="R1624" s="2">
        <v>64</v>
      </c>
      <c r="S1624" s="2">
        <v>50</v>
      </c>
      <c r="T1624" t="s">
        <v>6001</v>
      </c>
      <c r="U1624" s="6">
        <v>8185</v>
      </c>
      <c r="V1624" s="2">
        <v>47037013601</v>
      </c>
      <c r="W1624" s="2" t="s">
        <v>68</v>
      </c>
      <c r="X1624" s="1">
        <v>45658</v>
      </c>
      <c r="Y1624" s="2">
        <v>100</v>
      </c>
      <c r="Z1624" s="2">
        <v>0</v>
      </c>
      <c r="AA1624" s="2">
        <v>100</v>
      </c>
    </row>
    <row r="1625" spans="1:27" x14ac:dyDescent="0.3">
      <c r="A1625" s="3">
        <v>21</v>
      </c>
      <c r="B1625" s="2" t="str">
        <f>"09202014500"</f>
        <v>09202014500</v>
      </c>
      <c r="C1625" s="2" t="s">
        <v>6002</v>
      </c>
      <c r="D1625" t="s">
        <v>29</v>
      </c>
      <c r="E1625" s="2" t="s">
        <v>30</v>
      </c>
      <c r="F1625" s="2">
        <v>37208</v>
      </c>
      <c r="G1625" s="2" t="s">
        <v>64</v>
      </c>
      <c r="H1625" t="s">
        <v>211</v>
      </c>
      <c r="I1625" s="6">
        <v>28145</v>
      </c>
      <c r="J1625" s="2" t="s">
        <v>6003</v>
      </c>
      <c r="K1625" s="2">
        <v>312</v>
      </c>
      <c r="L1625" t="s">
        <v>35</v>
      </c>
      <c r="M1625" t="s">
        <v>29</v>
      </c>
      <c r="N1625" t="s">
        <v>30</v>
      </c>
      <c r="O1625">
        <v>37219</v>
      </c>
      <c r="P1625" t="s">
        <v>6004</v>
      </c>
      <c r="Q1625" s="2">
        <v>7.0000000000000007E-2</v>
      </c>
      <c r="R1625" s="2">
        <v>64</v>
      </c>
      <c r="S1625" s="2">
        <v>80</v>
      </c>
      <c r="T1625" t="s">
        <v>6005</v>
      </c>
      <c r="U1625" s="6">
        <v>13176</v>
      </c>
      <c r="V1625" s="2">
        <v>47037013601</v>
      </c>
      <c r="W1625" s="2" t="s">
        <v>68</v>
      </c>
      <c r="X1625" s="1">
        <v>45658</v>
      </c>
      <c r="Y1625" s="2">
        <v>100</v>
      </c>
      <c r="Z1625" s="2">
        <v>0</v>
      </c>
      <c r="AA1625" s="2">
        <v>100</v>
      </c>
    </row>
    <row r="1626" spans="1:27" x14ac:dyDescent="0.3">
      <c r="A1626" s="3">
        <v>21</v>
      </c>
      <c r="B1626" s="2" t="str">
        <f>"09206017900"</f>
        <v>09206017900</v>
      </c>
      <c r="C1626" s="2" t="s">
        <v>6006</v>
      </c>
      <c r="D1626" t="s">
        <v>29</v>
      </c>
      <c r="E1626" s="2" t="s">
        <v>30</v>
      </c>
      <c r="F1626" s="2">
        <v>37209</v>
      </c>
      <c r="G1626" s="2" t="s">
        <v>64</v>
      </c>
      <c r="H1626" t="s">
        <v>211</v>
      </c>
      <c r="I1626" s="6">
        <v>28880</v>
      </c>
      <c r="J1626" s="2" t="s">
        <v>6007</v>
      </c>
      <c r="K1626" s="2">
        <v>216</v>
      </c>
      <c r="L1626" t="s">
        <v>35</v>
      </c>
      <c r="M1626" t="s">
        <v>29</v>
      </c>
      <c r="N1626" t="s">
        <v>30</v>
      </c>
      <c r="O1626">
        <v>37219</v>
      </c>
      <c r="P1626" t="s">
        <v>6008</v>
      </c>
      <c r="Q1626" s="2">
        <v>0.09</v>
      </c>
      <c r="R1626" s="2">
        <v>42</v>
      </c>
      <c r="S1626" s="2">
        <v>177</v>
      </c>
      <c r="T1626" t="s">
        <v>6009</v>
      </c>
      <c r="U1626" s="6">
        <v>281</v>
      </c>
      <c r="V1626" s="2">
        <v>47037014300</v>
      </c>
      <c r="W1626" s="2" t="s">
        <v>68</v>
      </c>
      <c r="X1626" s="1">
        <v>45658</v>
      </c>
      <c r="Y1626" s="2">
        <v>100000</v>
      </c>
      <c r="Z1626" s="2">
        <v>0</v>
      </c>
      <c r="AA1626" s="2">
        <v>100000</v>
      </c>
    </row>
    <row r="1627" spans="1:27" x14ac:dyDescent="0.3">
      <c r="A1627" s="3">
        <v>21</v>
      </c>
      <c r="B1627" s="2" t="str">
        <f>"09206017800"</f>
        <v>09206017800</v>
      </c>
      <c r="C1627" s="2" t="s">
        <v>6006</v>
      </c>
      <c r="D1627" t="s">
        <v>29</v>
      </c>
      <c r="E1627" s="2" t="s">
        <v>30</v>
      </c>
      <c r="F1627" s="2">
        <v>37209</v>
      </c>
      <c r="G1627" s="2" t="s">
        <v>64</v>
      </c>
      <c r="H1627" t="s">
        <v>211</v>
      </c>
      <c r="I1627" s="6">
        <v>28145</v>
      </c>
      <c r="J1627" s="2" t="s">
        <v>6010</v>
      </c>
      <c r="K1627" s="2">
        <v>410</v>
      </c>
      <c r="L1627" t="s">
        <v>35</v>
      </c>
      <c r="M1627" t="s">
        <v>29</v>
      </c>
      <c r="N1627" t="s">
        <v>30</v>
      </c>
      <c r="O1627">
        <v>37219</v>
      </c>
      <c r="P1627" t="s">
        <v>6011</v>
      </c>
      <c r="Q1627" s="2">
        <v>0.13</v>
      </c>
      <c r="R1627" s="2">
        <v>85</v>
      </c>
      <c r="S1627" s="2">
        <v>142</v>
      </c>
      <c r="T1627" t="s">
        <v>6012</v>
      </c>
      <c r="U1627" s="6">
        <v>139</v>
      </c>
      <c r="V1627" s="2">
        <v>47037014300</v>
      </c>
      <c r="W1627" s="2" t="s">
        <v>68</v>
      </c>
      <c r="X1627" s="1">
        <v>45658</v>
      </c>
      <c r="Y1627" s="2">
        <v>200000</v>
      </c>
      <c r="Z1627" s="2">
        <v>0</v>
      </c>
      <c r="AA1627" s="2">
        <v>200000</v>
      </c>
    </row>
    <row r="1628" spans="1:27" x14ac:dyDescent="0.3">
      <c r="A1628" s="3">
        <v>21</v>
      </c>
      <c r="B1628" s="2" t="str">
        <f>"08115059900"</f>
        <v>08115059900</v>
      </c>
      <c r="C1628" s="2" t="s">
        <v>6013</v>
      </c>
      <c r="D1628" t="s">
        <v>29</v>
      </c>
      <c r="E1628" s="2" t="s">
        <v>30</v>
      </c>
      <c r="F1628" s="2">
        <v>37208</v>
      </c>
      <c r="G1628" s="2" t="s">
        <v>41</v>
      </c>
      <c r="H1628" t="s">
        <v>211</v>
      </c>
      <c r="I1628" s="6">
        <v>42037</v>
      </c>
      <c r="J1628" s="2" t="s">
        <v>6014</v>
      </c>
      <c r="K1628" s="2">
        <v>0</v>
      </c>
      <c r="L1628" t="s">
        <v>35</v>
      </c>
      <c r="M1628" t="s">
        <v>29</v>
      </c>
      <c r="N1628" t="s">
        <v>30</v>
      </c>
      <c r="O1628">
        <v>37219</v>
      </c>
      <c r="P1628" t="s">
        <v>6015</v>
      </c>
      <c r="Q1628" s="2">
        <v>0.34</v>
      </c>
      <c r="R1628" s="2">
        <v>104</v>
      </c>
      <c r="S1628" s="2">
        <v>150</v>
      </c>
      <c r="T1628" t="s">
        <v>198</v>
      </c>
      <c r="U1628" s="6">
        <v>37307</v>
      </c>
      <c r="V1628" s="2">
        <v>47037014200</v>
      </c>
      <c r="W1628" s="2" t="s">
        <v>68</v>
      </c>
      <c r="X1628" s="1">
        <v>45658</v>
      </c>
      <c r="Y1628" s="2">
        <v>1033700</v>
      </c>
      <c r="Z1628" s="2">
        <v>8900</v>
      </c>
      <c r="AA1628" s="2">
        <v>1024800</v>
      </c>
    </row>
    <row r="1629" spans="1:27" x14ac:dyDescent="0.3">
      <c r="A1629" s="3">
        <v>21</v>
      </c>
      <c r="B1629" s="2" t="str">
        <f>"09202033400"</f>
        <v>09202033400</v>
      </c>
      <c r="C1629" s="2" t="s">
        <v>6016</v>
      </c>
      <c r="D1629" t="s">
        <v>29</v>
      </c>
      <c r="E1629" s="2" t="s">
        <v>30</v>
      </c>
      <c r="F1629" s="2">
        <v>37208</v>
      </c>
      <c r="G1629" s="2" t="s">
        <v>41</v>
      </c>
      <c r="H1629" t="s">
        <v>211</v>
      </c>
      <c r="I1629" s="6">
        <v>28110</v>
      </c>
      <c r="J1629" s="2" t="s">
        <v>6017</v>
      </c>
      <c r="K1629" s="2">
        <v>218</v>
      </c>
      <c r="L1629" t="s">
        <v>35</v>
      </c>
      <c r="M1629" t="s">
        <v>29</v>
      </c>
      <c r="N1629" t="s">
        <v>30</v>
      </c>
      <c r="O1629">
        <v>37219</v>
      </c>
      <c r="P1629" t="s">
        <v>6018</v>
      </c>
      <c r="Q1629" s="2">
        <v>0.01</v>
      </c>
      <c r="R1629" s="2">
        <v>15</v>
      </c>
      <c r="S1629" s="2">
        <v>9</v>
      </c>
      <c r="T1629" t="s">
        <v>6019</v>
      </c>
      <c r="U1629" s="6">
        <v>16873</v>
      </c>
      <c r="V1629" s="2">
        <v>47037014300</v>
      </c>
      <c r="W1629" s="2" t="s">
        <v>68</v>
      </c>
      <c r="X1629" s="1">
        <v>45658</v>
      </c>
      <c r="Y1629" s="2">
        <v>10900</v>
      </c>
      <c r="Z1629" s="2">
        <v>0</v>
      </c>
      <c r="AA1629" s="2">
        <v>10900</v>
      </c>
    </row>
    <row r="1630" spans="1:27" x14ac:dyDescent="0.3">
      <c r="A1630" s="3">
        <v>21</v>
      </c>
      <c r="B1630" s="2" t="str">
        <f>"09202029700"</f>
        <v>09202029700</v>
      </c>
      <c r="C1630" s="2" t="s">
        <v>6020</v>
      </c>
      <c r="D1630" t="s">
        <v>29</v>
      </c>
      <c r="E1630" s="2" t="s">
        <v>30</v>
      </c>
      <c r="F1630" s="2">
        <v>37208</v>
      </c>
      <c r="G1630" s="2" t="s">
        <v>41</v>
      </c>
      <c r="H1630" t="s">
        <v>211</v>
      </c>
      <c r="I1630" s="6">
        <v>28110</v>
      </c>
      <c r="J1630" s="2" t="s">
        <v>6021</v>
      </c>
      <c r="K1630" s="2">
        <v>300</v>
      </c>
      <c r="L1630" t="s">
        <v>35</v>
      </c>
      <c r="M1630" t="s">
        <v>29</v>
      </c>
      <c r="N1630" t="s">
        <v>30</v>
      </c>
      <c r="O1630">
        <v>37219</v>
      </c>
      <c r="P1630" t="s">
        <v>6022</v>
      </c>
      <c r="Q1630" s="2">
        <v>0.01</v>
      </c>
      <c r="R1630" s="2">
        <v>29</v>
      </c>
      <c r="S1630" s="2">
        <v>28</v>
      </c>
      <c r="T1630" t="s">
        <v>6023</v>
      </c>
      <c r="U1630" s="6">
        <v>15593</v>
      </c>
      <c r="V1630" s="2">
        <v>47037013601</v>
      </c>
      <c r="W1630" s="2" t="s">
        <v>68</v>
      </c>
      <c r="X1630" s="1">
        <v>45658</v>
      </c>
      <c r="Y1630" s="2">
        <v>200</v>
      </c>
      <c r="Z1630" s="2">
        <v>0</v>
      </c>
      <c r="AA1630" s="2">
        <v>200</v>
      </c>
    </row>
    <row r="1631" spans="1:27" x14ac:dyDescent="0.3">
      <c r="A1631" s="3">
        <v>21</v>
      </c>
      <c r="B1631" s="2" t="str">
        <f>"09202029800"</f>
        <v>09202029800</v>
      </c>
      <c r="C1631" s="2" t="s">
        <v>6024</v>
      </c>
      <c r="D1631" t="s">
        <v>29</v>
      </c>
      <c r="E1631" s="2" t="s">
        <v>30</v>
      </c>
      <c r="F1631" s="2">
        <v>37208</v>
      </c>
      <c r="G1631" s="2" t="s">
        <v>41</v>
      </c>
      <c r="H1631" t="s">
        <v>211</v>
      </c>
      <c r="I1631" s="6">
        <v>28110</v>
      </c>
      <c r="J1631" s="2" t="s">
        <v>6025</v>
      </c>
      <c r="K1631" s="2">
        <v>275</v>
      </c>
      <c r="L1631" t="s">
        <v>35</v>
      </c>
      <c r="M1631" t="s">
        <v>29</v>
      </c>
      <c r="N1631" t="s">
        <v>30</v>
      </c>
      <c r="O1631">
        <v>37219</v>
      </c>
      <c r="P1631" t="s">
        <v>6026</v>
      </c>
      <c r="Q1631" s="2">
        <v>0.01</v>
      </c>
      <c r="R1631" s="2">
        <v>64</v>
      </c>
      <c r="S1631" s="2">
        <v>29</v>
      </c>
      <c r="T1631" t="s">
        <v>6027</v>
      </c>
      <c r="U1631" s="6">
        <v>13640</v>
      </c>
      <c r="V1631" s="2">
        <v>47037013601</v>
      </c>
      <c r="W1631" s="2" t="s">
        <v>68</v>
      </c>
      <c r="X1631" s="1">
        <v>45658</v>
      </c>
      <c r="Y1631" s="2">
        <v>2700</v>
      </c>
      <c r="Z1631" s="2">
        <v>0</v>
      </c>
      <c r="AA1631" s="2">
        <v>2700</v>
      </c>
    </row>
    <row r="1632" spans="1:27" x14ac:dyDescent="0.3">
      <c r="A1632" s="3">
        <v>21</v>
      </c>
      <c r="B1632" s="2" t="str">
        <f>"08115032800"</f>
        <v>08115032800</v>
      </c>
      <c r="C1632" s="2" t="s">
        <v>6028</v>
      </c>
      <c r="D1632" t="s">
        <v>29</v>
      </c>
      <c r="E1632" s="2" t="s">
        <v>30</v>
      </c>
      <c r="F1632" s="2">
        <v>37208</v>
      </c>
      <c r="G1632" s="2" t="s">
        <v>64</v>
      </c>
      <c r="H1632" t="s">
        <v>211</v>
      </c>
      <c r="I1632" s="6">
        <v>28711</v>
      </c>
      <c r="J1632" s="2" t="s">
        <v>6029</v>
      </c>
      <c r="K1632" s="2">
        <v>165</v>
      </c>
      <c r="L1632" t="s">
        <v>35</v>
      </c>
      <c r="M1632" t="s">
        <v>29</v>
      </c>
      <c r="N1632" t="s">
        <v>30</v>
      </c>
      <c r="O1632">
        <v>37219</v>
      </c>
      <c r="P1632" t="s">
        <v>6030</v>
      </c>
      <c r="Q1632" s="2">
        <v>0.03</v>
      </c>
      <c r="R1632" s="2">
        <v>10</v>
      </c>
      <c r="S1632" s="2">
        <v>140</v>
      </c>
      <c r="T1632" t="s">
        <v>6031</v>
      </c>
      <c r="U1632" s="6">
        <v>22229</v>
      </c>
      <c r="V1632" s="2">
        <v>47037013900</v>
      </c>
      <c r="W1632" s="2" t="s">
        <v>68</v>
      </c>
      <c r="X1632" s="1">
        <v>45658</v>
      </c>
      <c r="Y1632" s="2">
        <v>200</v>
      </c>
      <c r="Z1632" s="2">
        <v>0</v>
      </c>
      <c r="AA1632" s="2">
        <v>200</v>
      </c>
    </row>
    <row r="1633" spans="1:27" x14ac:dyDescent="0.3">
      <c r="A1633" s="3">
        <v>21</v>
      </c>
      <c r="B1633" s="2" t="str">
        <f>"09205003300"</f>
        <v>09205003300</v>
      </c>
      <c r="C1633" s="2" t="s">
        <v>6032</v>
      </c>
      <c r="D1633" t="s">
        <v>29</v>
      </c>
      <c r="E1633" s="2" t="s">
        <v>30</v>
      </c>
      <c r="F1633" s="2">
        <v>37209</v>
      </c>
      <c r="G1633" s="2" t="s">
        <v>200</v>
      </c>
      <c r="H1633" t="s">
        <v>6033</v>
      </c>
      <c r="I1633" s="6">
        <v>27259</v>
      </c>
      <c r="J1633" s="2" t="s">
        <v>6034</v>
      </c>
      <c r="K1633" s="2" t="s">
        <v>34</v>
      </c>
      <c r="L1633" t="s">
        <v>35</v>
      </c>
      <c r="M1633" t="s">
        <v>29</v>
      </c>
      <c r="N1633" t="s">
        <v>30</v>
      </c>
      <c r="O1633">
        <v>37219</v>
      </c>
      <c r="P1633" t="s">
        <v>6035</v>
      </c>
      <c r="Q1633" s="2">
        <v>11.04</v>
      </c>
      <c r="R1633" s="2">
        <v>0</v>
      </c>
      <c r="S1633" s="2">
        <v>0</v>
      </c>
      <c r="T1633" t="s">
        <v>6036</v>
      </c>
      <c r="U1633" s="6">
        <v>37169</v>
      </c>
      <c r="V1633" s="2">
        <v>47037013601</v>
      </c>
      <c r="W1633" s="2" t="s">
        <v>68</v>
      </c>
      <c r="X1633" s="1">
        <v>45658</v>
      </c>
      <c r="Y1633" s="2">
        <v>528800</v>
      </c>
      <c r="Z1633" s="2">
        <v>0</v>
      </c>
      <c r="AA1633" s="2">
        <v>528800</v>
      </c>
    </row>
    <row r="1634" spans="1:27" x14ac:dyDescent="0.3">
      <c r="A1634" s="3">
        <v>21</v>
      </c>
      <c r="B1634" s="2" t="str">
        <f>"08102021000"</f>
        <v>08102021000</v>
      </c>
      <c r="C1634" s="2" t="s">
        <v>6037</v>
      </c>
      <c r="D1634" t="s">
        <v>29</v>
      </c>
      <c r="E1634" s="2" t="s">
        <v>30</v>
      </c>
      <c r="F1634" s="2">
        <v>37208</v>
      </c>
      <c r="G1634" s="2" t="s">
        <v>64</v>
      </c>
      <c r="H1634" t="s">
        <v>1332</v>
      </c>
      <c r="I1634" s="6">
        <v>32428</v>
      </c>
      <c r="J1634" s="2" t="s">
        <v>6038</v>
      </c>
      <c r="K1634" s="2">
        <v>64625</v>
      </c>
      <c r="L1634" t="s">
        <v>35</v>
      </c>
      <c r="M1634" t="s">
        <v>29</v>
      </c>
      <c r="N1634" t="s">
        <v>30</v>
      </c>
      <c r="O1634">
        <v>37219</v>
      </c>
      <c r="P1634" t="s">
        <v>6039</v>
      </c>
      <c r="Q1634" s="2">
        <v>0.39</v>
      </c>
      <c r="R1634" s="2">
        <v>211</v>
      </c>
      <c r="S1634" s="2">
        <v>360</v>
      </c>
      <c r="T1634" t="s">
        <v>6038</v>
      </c>
      <c r="U1634" s="6">
        <v>32428</v>
      </c>
      <c r="V1634" s="2">
        <v>47037013700</v>
      </c>
      <c r="W1634" s="2" t="s">
        <v>68</v>
      </c>
      <c r="X1634" s="1">
        <v>45658</v>
      </c>
      <c r="Y1634" s="2">
        <v>2000</v>
      </c>
      <c r="Z1634" s="2">
        <v>0</v>
      </c>
      <c r="AA1634" s="2">
        <v>2000</v>
      </c>
    </row>
    <row r="1635" spans="1:27" x14ac:dyDescent="0.3">
      <c r="A1635" s="3">
        <v>21</v>
      </c>
      <c r="B1635" s="2" t="str">
        <f>"09104005600"</f>
        <v>09104005600</v>
      </c>
      <c r="C1635" s="2" t="s">
        <v>6040</v>
      </c>
      <c r="D1635" t="s">
        <v>29</v>
      </c>
      <c r="E1635" s="2" t="s">
        <v>30</v>
      </c>
      <c r="F1635" s="2">
        <v>37209</v>
      </c>
      <c r="G1635" s="2" t="s">
        <v>64</v>
      </c>
      <c r="H1635" t="s">
        <v>6041</v>
      </c>
      <c r="I1635" s="6">
        <v>34603</v>
      </c>
      <c r="J1635" s="2" t="s">
        <v>6042</v>
      </c>
      <c r="K1635" s="2">
        <v>7500</v>
      </c>
      <c r="L1635" t="s">
        <v>35</v>
      </c>
      <c r="M1635" t="s">
        <v>29</v>
      </c>
      <c r="N1635" t="s">
        <v>30</v>
      </c>
      <c r="O1635">
        <v>37219</v>
      </c>
      <c r="P1635" t="s">
        <v>6043</v>
      </c>
      <c r="Q1635" s="2">
        <v>0.64</v>
      </c>
      <c r="R1635" s="2">
        <v>108</v>
      </c>
      <c r="S1635" s="2">
        <v>286</v>
      </c>
      <c r="T1635" t="s">
        <v>5946</v>
      </c>
      <c r="U1635" s="6">
        <v>30026</v>
      </c>
      <c r="V1635" s="2">
        <v>47037013601</v>
      </c>
      <c r="W1635" s="2" t="s">
        <v>68</v>
      </c>
      <c r="X1635" s="1">
        <v>45658</v>
      </c>
      <c r="Y1635" s="2">
        <v>126000</v>
      </c>
      <c r="Z1635" s="2">
        <v>0</v>
      </c>
      <c r="AA1635" s="2">
        <v>126000</v>
      </c>
    </row>
    <row r="1636" spans="1:27" x14ac:dyDescent="0.3">
      <c r="A1636" s="3">
        <v>21</v>
      </c>
      <c r="B1636" s="2" t="str">
        <f>"09206031700"</f>
        <v>09206031700</v>
      </c>
      <c r="C1636" s="2" t="s">
        <v>6044</v>
      </c>
      <c r="D1636" t="s">
        <v>29</v>
      </c>
      <c r="E1636" s="2" t="s">
        <v>30</v>
      </c>
      <c r="F1636" s="2">
        <v>37209</v>
      </c>
      <c r="G1636" s="2" t="s">
        <v>64</v>
      </c>
      <c r="H1636" t="s">
        <v>249</v>
      </c>
      <c r="I1636" s="6">
        <v>39105</v>
      </c>
      <c r="J1636" s="2" t="s">
        <v>6045</v>
      </c>
      <c r="K1636" s="2">
        <v>0</v>
      </c>
      <c r="L1636" t="s">
        <v>6046</v>
      </c>
      <c r="M1636" t="s">
        <v>29</v>
      </c>
      <c r="N1636" t="s">
        <v>30</v>
      </c>
      <c r="O1636">
        <v>37201</v>
      </c>
      <c r="P1636" t="s">
        <v>6047</v>
      </c>
      <c r="Q1636" s="2">
        <v>0.05</v>
      </c>
      <c r="R1636" s="2">
        <v>40</v>
      </c>
      <c r="S1636" s="2">
        <v>64</v>
      </c>
      <c r="T1636" t="s">
        <v>6048</v>
      </c>
      <c r="U1636" s="6">
        <v>14742</v>
      </c>
      <c r="V1636" s="2">
        <v>47037014300</v>
      </c>
      <c r="W1636" s="2" t="s">
        <v>68</v>
      </c>
      <c r="X1636" s="1">
        <v>45658</v>
      </c>
      <c r="Y1636" s="2">
        <v>100000</v>
      </c>
      <c r="Z1636" s="2">
        <v>0</v>
      </c>
      <c r="AA1636" s="2">
        <v>100000</v>
      </c>
    </row>
    <row r="1637" spans="1:27" x14ac:dyDescent="0.3">
      <c r="A1637" s="3">
        <v>21</v>
      </c>
      <c r="B1637" s="2" t="str">
        <f>"08111015600"</f>
        <v>08111015600</v>
      </c>
      <c r="C1637" s="2" t="s">
        <v>6049</v>
      </c>
      <c r="D1637" t="s">
        <v>29</v>
      </c>
      <c r="E1637" s="2" t="s">
        <v>30</v>
      </c>
      <c r="F1637" s="2">
        <v>37208</v>
      </c>
      <c r="G1637" s="2" t="s">
        <v>253</v>
      </c>
      <c r="H1637" t="s">
        <v>6050</v>
      </c>
      <c r="I1637" s="6">
        <v>21039</v>
      </c>
      <c r="J1637" s="2" t="s">
        <v>6051</v>
      </c>
      <c r="K1637" s="2">
        <v>0</v>
      </c>
      <c r="L1637" t="s">
        <v>35</v>
      </c>
      <c r="M1637" t="s">
        <v>29</v>
      </c>
      <c r="N1637" t="s">
        <v>30</v>
      </c>
      <c r="O1637">
        <v>37219</v>
      </c>
      <c r="P1637" t="s">
        <v>6052</v>
      </c>
      <c r="Q1637" s="2">
        <v>7.42</v>
      </c>
      <c r="R1637" s="2">
        <v>724</v>
      </c>
      <c r="S1637" s="2">
        <v>492</v>
      </c>
      <c r="T1637" t="s">
        <v>4954</v>
      </c>
      <c r="U1637" s="6">
        <v>29986</v>
      </c>
      <c r="V1637" s="2">
        <v>47037013900</v>
      </c>
      <c r="W1637" s="2" t="s">
        <v>68</v>
      </c>
      <c r="X1637" s="1">
        <v>45658</v>
      </c>
      <c r="Y1637" s="2">
        <v>643400</v>
      </c>
      <c r="Z1637" s="2">
        <v>0</v>
      </c>
      <c r="AA1637" s="2">
        <v>643400</v>
      </c>
    </row>
    <row r="1638" spans="1:27" x14ac:dyDescent="0.3">
      <c r="A1638" s="3">
        <v>21</v>
      </c>
      <c r="B1638" s="2" t="str">
        <f>"09207035600"</f>
        <v>09207035600</v>
      </c>
      <c r="C1638" s="2" t="s">
        <v>6053</v>
      </c>
      <c r="D1638" t="s">
        <v>29</v>
      </c>
      <c r="E1638" s="2" t="s">
        <v>30</v>
      </c>
      <c r="F1638" s="2">
        <v>37203</v>
      </c>
      <c r="G1638" s="2" t="s">
        <v>253</v>
      </c>
      <c r="H1638" t="s">
        <v>6054</v>
      </c>
      <c r="I1638" s="6">
        <v>37187</v>
      </c>
      <c r="J1638" s="2" t="s">
        <v>6055</v>
      </c>
      <c r="K1638" s="2" t="s">
        <v>34</v>
      </c>
      <c r="L1638" t="s">
        <v>35</v>
      </c>
      <c r="M1638" t="s">
        <v>29</v>
      </c>
      <c r="N1638" t="s">
        <v>30</v>
      </c>
      <c r="O1638">
        <v>37219</v>
      </c>
      <c r="P1638" t="s">
        <v>6056</v>
      </c>
      <c r="Q1638" s="2">
        <v>0.43</v>
      </c>
      <c r="R1638" s="2">
        <v>98</v>
      </c>
      <c r="S1638" s="2">
        <v>223</v>
      </c>
      <c r="T1638" t="s">
        <v>6057</v>
      </c>
      <c r="U1638" s="6">
        <v>24344</v>
      </c>
      <c r="V1638" s="2">
        <v>47037014400</v>
      </c>
      <c r="W1638" s="2" t="s">
        <v>68</v>
      </c>
      <c r="X1638" s="1">
        <v>45658</v>
      </c>
      <c r="Y1638" s="2">
        <v>1685800</v>
      </c>
      <c r="Z1638" s="2">
        <v>0</v>
      </c>
      <c r="AA1638" s="2">
        <v>1685800</v>
      </c>
    </row>
    <row r="1639" spans="1:27" x14ac:dyDescent="0.3">
      <c r="A1639" s="3">
        <v>21</v>
      </c>
      <c r="B1639" s="2" t="str">
        <f>"09207035700"</f>
        <v>09207035700</v>
      </c>
      <c r="C1639" s="2" t="s">
        <v>6058</v>
      </c>
      <c r="D1639" t="s">
        <v>29</v>
      </c>
      <c r="E1639" s="2" t="s">
        <v>30</v>
      </c>
      <c r="F1639" s="2">
        <v>37203</v>
      </c>
      <c r="G1639" s="2" t="s">
        <v>253</v>
      </c>
      <c r="H1639" t="s">
        <v>6054</v>
      </c>
      <c r="I1639" s="6">
        <v>37187</v>
      </c>
      <c r="J1639" s="2" t="s">
        <v>6059</v>
      </c>
      <c r="K1639" s="2" t="s">
        <v>34</v>
      </c>
      <c r="L1639" t="s">
        <v>35</v>
      </c>
      <c r="M1639" t="s">
        <v>29</v>
      </c>
      <c r="N1639" t="s">
        <v>30</v>
      </c>
      <c r="O1639">
        <v>37219</v>
      </c>
      <c r="P1639" t="s">
        <v>6060</v>
      </c>
      <c r="Q1639" s="2">
        <v>0.25</v>
      </c>
      <c r="R1639" s="2">
        <v>70</v>
      </c>
      <c r="S1639" s="2">
        <v>155</v>
      </c>
      <c r="T1639" t="s">
        <v>6061</v>
      </c>
      <c r="U1639" s="6">
        <v>24555</v>
      </c>
      <c r="V1639" s="2">
        <v>47037014400</v>
      </c>
      <c r="W1639" s="2" t="s">
        <v>68</v>
      </c>
      <c r="X1639" s="1">
        <v>45658</v>
      </c>
      <c r="Y1639" s="2">
        <v>980100</v>
      </c>
      <c r="Z1639" s="2">
        <v>0</v>
      </c>
      <c r="AA1639" s="2">
        <v>980100</v>
      </c>
    </row>
    <row r="1640" spans="1:27" x14ac:dyDescent="0.3">
      <c r="A1640" s="3">
        <v>21</v>
      </c>
      <c r="B1640" s="2" t="str">
        <f>"09207037500"</f>
        <v>09207037500</v>
      </c>
      <c r="C1640" s="2" t="s">
        <v>6062</v>
      </c>
      <c r="D1640" t="s">
        <v>29</v>
      </c>
      <c r="E1640" s="2" t="s">
        <v>30</v>
      </c>
      <c r="F1640" s="2">
        <v>37203</v>
      </c>
      <c r="G1640" s="2" t="s">
        <v>1485</v>
      </c>
      <c r="H1640" t="s">
        <v>6054</v>
      </c>
      <c r="I1640" s="6">
        <v>37259</v>
      </c>
      <c r="J1640" s="2" t="s">
        <v>6063</v>
      </c>
      <c r="K1640" s="2" t="s">
        <v>34</v>
      </c>
      <c r="L1640" t="s">
        <v>35</v>
      </c>
      <c r="M1640" t="s">
        <v>29</v>
      </c>
      <c r="N1640" t="s">
        <v>30</v>
      </c>
      <c r="O1640">
        <v>37219</v>
      </c>
      <c r="P1640" t="s">
        <v>6064</v>
      </c>
      <c r="Q1640" s="2">
        <v>0.13</v>
      </c>
      <c r="R1640" s="2">
        <v>27</v>
      </c>
      <c r="S1640" s="2">
        <v>175</v>
      </c>
      <c r="T1640" t="s">
        <v>6065</v>
      </c>
      <c r="U1640" s="6">
        <v>37294</v>
      </c>
      <c r="V1640" s="2">
        <v>47037014400</v>
      </c>
      <c r="W1640" s="2" t="s">
        <v>68</v>
      </c>
      <c r="X1640" s="1">
        <v>45658</v>
      </c>
      <c r="Y1640" s="2">
        <v>509700</v>
      </c>
      <c r="Z1640" s="2">
        <v>0</v>
      </c>
      <c r="AA1640" s="2">
        <v>509700</v>
      </c>
    </row>
    <row r="1641" spans="1:27" x14ac:dyDescent="0.3">
      <c r="A1641" s="3">
        <v>21</v>
      </c>
      <c r="B1641" s="2" t="str">
        <f>"09207034800"</f>
        <v>09207034800</v>
      </c>
      <c r="C1641" s="2" t="s">
        <v>6066</v>
      </c>
      <c r="D1641" t="s">
        <v>29</v>
      </c>
      <c r="E1641" s="2" t="s">
        <v>30</v>
      </c>
      <c r="F1641" s="2">
        <v>37203</v>
      </c>
      <c r="G1641" s="2" t="s">
        <v>2490</v>
      </c>
      <c r="H1641" t="s">
        <v>6054</v>
      </c>
      <c r="I1641" s="6">
        <v>36794</v>
      </c>
      <c r="J1641" s="2" t="s">
        <v>6067</v>
      </c>
      <c r="K1641" s="2">
        <v>35500</v>
      </c>
      <c r="L1641" t="s">
        <v>35</v>
      </c>
      <c r="M1641" t="s">
        <v>29</v>
      </c>
      <c r="N1641" t="s">
        <v>30</v>
      </c>
      <c r="O1641">
        <v>37219</v>
      </c>
      <c r="P1641" t="s">
        <v>6068</v>
      </c>
      <c r="Q1641" s="2">
        <v>0.39</v>
      </c>
      <c r="R1641" s="2">
        <v>213</v>
      </c>
      <c r="S1641" s="2">
        <v>65</v>
      </c>
      <c r="T1641" t="s">
        <v>6069</v>
      </c>
      <c r="U1641" s="6">
        <v>37308</v>
      </c>
      <c r="V1641" s="2">
        <v>47037014400</v>
      </c>
      <c r="W1641" s="2" t="s">
        <v>68</v>
      </c>
      <c r="X1641" s="1">
        <v>45658</v>
      </c>
      <c r="Y1641" s="2">
        <v>1555900</v>
      </c>
      <c r="Z1641" s="2">
        <v>27000</v>
      </c>
      <c r="AA1641" s="2">
        <v>1528900</v>
      </c>
    </row>
    <row r="1642" spans="1:27" x14ac:dyDescent="0.3">
      <c r="A1642" s="3">
        <v>21</v>
      </c>
      <c r="B1642" s="2" t="str">
        <f>"09207034900"</f>
        <v>09207034900</v>
      </c>
      <c r="C1642" s="2" t="s">
        <v>6070</v>
      </c>
      <c r="D1642" t="s">
        <v>29</v>
      </c>
      <c r="E1642" s="2" t="s">
        <v>30</v>
      </c>
      <c r="F1642" s="2">
        <v>37203</v>
      </c>
      <c r="G1642" s="2" t="s">
        <v>253</v>
      </c>
      <c r="H1642" t="s">
        <v>6054</v>
      </c>
      <c r="I1642" s="6">
        <v>36794</v>
      </c>
      <c r="J1642" s="2" t="s">
        <v>6067</v>
      </c>
      <c r="K1642" s="2" t="s">
        <v>34</v>
      </c>
      <c r="L1642" t="s">
        <v>35</v>
      </c>
      <c r="M1642" t="s">
        <v>29</v>
      </c>
      <c r="N1642" t="s">
        <v>30</v>
      </c>
      <c r="O1642">
        <v>37219</v>
      </c>
      <c r="P1642" t="s">
        <v>6071</v>
      </c>
      <c r="Q1642" s="2">
        <v>0.23</v>
      </c>
      <c r="R1642" s="2">
        <v>50</v>
      </c>
      <c r="S1642" s="2">
        <v>208</v>
      </c>
      <c r="T1642" t="s">
        <v>6069</v>
      </c>
      <c r="U1642" s="6">
        <v>37308</v>
      </c>
      <c r="V1642" s="2">
        <v>47037014400</v>
      </c>
      <c r="W1642" s="2" t="s">
        <v>68</v>
      </c>
      <c r="X1642" s="1">
        <v>45658</v>
      </c>
      <c r="Y1642" s="2">
        <v>936000</v>
      </c>
      <c r="Z1642" s="2">
        <v>0</v>
      </c>
      <c r="AA1642" s="2">
        <v>936000</v>
      </c>
    </row>
    <row r="1643" spans="1:27" x14ac:dyDescent="0.3">
      <c r="A1643" s="3">
        <v>21</v>
      </c>
      <c r="B1643" s="2" t="str">
        <f>"09207035000"</f>
        <v>09207035000</v>
      </c>
      <c r="C1643" s="2" t="s">
        <v>6072</v>
      </c>
      <c r="D1643" t="s">
        <v>29</v>
      </c>
      <c r="E1643" s="2" t="s">
        <v>30</v>
      </c>
      <c r="F1643" s="2">
        <v>37203</v>
      </c>
      <c r="G1643" s="2" t="s">
        <v>253</v>
      </c>
      <c r="H1643" t="s">
        <v>6054</v>
      </c>
      <c r="I1643" s="6">
        <v>35221</v>
      </c>
      <c r="J1643" s="2" t="s">
        <v>6073</v>
      </c>
      <c r="K1643" s="2">
        <v>3339</v>
      </c>
      <c r="L1643" t="s">
        <v>35</v>
      </c>
      <c r="M1643" t="s">
        <v>29</v>
      </c>
      <c r="N1643" t="s">
        <v>30</v>
      </c>
      <c r="O1643">
        <v>37219</v>
      </c>
      <c r="P1643" t="s">
        <v>6071</v>
      </c>
      <c r="Q1643" s="2">
        <v>0.12</v>
      </c>
      <c r="R1643" s="2">
        <v>30</v>
      </c>
      <c r="S1643" s="2">
        <v>208</v>
      </c>
      <c r="T1643" t="s">
        <v>6069</v>
      </c>
      <c r="U1643" s="6">
        <v>37308</v>
      </c>
      <c r="V1643" s="2">
        <v>47037014400</v>
      </c>
      <c r="W1643" s="2" t="s">
        <v>68</v>
      </c>
      <c r="X1643" s="1">
        <v>45658</v>
      </c>
      <c r="Y1643" s="2">
        <v>561600</v>
      </c>
      <c r="Z1643" s="2">
        <v>0</v>
      </c>
      <c r="AA1643" s="2">
        <v>561600</v>
      </c>
    </row>
    <row r="1644" spans="1:27" x14ac:dyDescent="0.3">
      <c r="A1644" s="3">
        <v>21</v>
      </c>
      <c r="B1644" s="2" t="str">
        <f>"09207035100"</f>
        <v>09207035100</v>
      </c>
      <c r="C1644" s="2" t="s">
        <v>6074</v>
      </c>
      <c r="D1644" t="s">
        <v>29</v>
      </c>
      <c r="E1644" s="2" t="s">
        <v>30</v>
      </c>
      <c r="F1644" s="2">
        <v>37203</v>
      </c>
      <c r="G1644" s="2" t="s">
        <v>253</v>
      </c>
      <c r="H1644" t="s">
        <v>6054</v>
      </c>
      <c r="I1644" s="6">
        <v>37187</v>
      </c>
      <c r="J1644" s="2" t="s">
        <v>6075</v>
      </c>
      <c r="K1644" s="2" t="s">
        <v>34</v>
      </c>
      <c r="L1644" t="s">
        <v>35</v>
      </c>
      <c r="M1644" t="s">
        <v>29</v>
      </c>
      <c r="N1644" t="s">
        <v>30</v>
      </c>
      <c r="O1644">
        <v>37219</v>
      </c>
      <c r="P1644" t="s">
        <v>6071</v>
      </c>
      <c r="Q1644" s="2">
        <v>0.6</v>
      </c>
      <c r="R1644" s="2">
        <v>126</v>
      </c>
      <c r="S1644" s="2">
        <v>208</v>
      </c>
      <c r="T1644" t="s">
        <v>6069</v>
      </c>
      <c r="U1644" s="6">
        <v>37308</v>
      </c>
      <c r="V1644" s="2">
        <v>47037014400</v>
      </c>
      <c r="W1644" s="2" t="s">
        <v>68</v>
      </c>
      <c r="X1644" s="1">
        <v>45658</v>
      </c>
      <c r="Y1644" s="2">
        <v>2358700</v>
      </c>
      <c r="Z1644" s="2">
        <v>0</v>
      </c>
      <c r="AA1644" s="2">
        <v>2358700</v>
      </c>
    </row>
    <row r="1645" spans="1:27" x14ac:dyDescent="0.3">
      <c r="A1645" s="3">
        <v>21</v>
      </c>
      <c r="B1645" s="2" t="str">
        <f>"09207035200"</f>
        <v>09207035200</v>
      </c>
      <c r="C1645" s="2" t="s">
        <v>6076</v>
      </c>
      <c r="D1645" t="s">
        <v>29</v>
      </c>
      <c r="E1645" s="2" t="s">
        <v>30</v>
      </c>
      <c r="F1645" s="2">
        <v>37203</v>
      </c>
      <c r="G1645" s="2" t="s">
        <v>253</v>
      </c>
      <c r="H1645" t="s">
        <v>6054</v>
      </c>
      <c r="I1645" s="6">
        <v>37187</v>
      </c>
      <c r="J1645" s="2" t="s">
        <v>6077</v>
      </c>
      <c r="K1645" s="2" t="s">
        <v>34</v>
      </c>
      <c r="L1645" t="s">
        <v>35</v>
      </c>
      <c r="M1645" t="s">
        <v>29</v>
      </c>
      <c r="N1645" t="s">
        <v>30</v>
      </c>
      <c r="O1645">
        <v>37219</v>
      </c>
      <c r="P1645" t="s">
        <v>6078</v>
      </c>
      <c r="Q1645" s="2">
        <v>0.22</v>
      </c>
      <c r="R1645" s="2">
        <v>50</v>
      </c>
      <c r="S1645" s="2">
        <v>208</v>
      </c>
      <c r="T1645" t="s">
        <v>6069</v>
      </c>
      <c r="U1645" s="6">
        <v>37308</v>
      </c>
      <c r="V1645" s="2">
        <v>47037014400</v>
      </c>
      <c r="W1645" s="2" t="s">
        <v>68</v>
      </c>
      <c r="X1645" s="1">
        <v>45658</v>
      </c>
      <c r="Y1645" s="2">
        <v>936000</v>
      </c>
      <c r="Z1645" s="2">
        <v>0</v>
      </c>
      <c r="AA1645" s="2">
        <v>936000</v>
      </c>
    </row>
    <row r="1646" spans="1:27" x14ac:dyDescent="0.3">
      <c r="A1646" s="3">
        <v>21</v>
      </c>
      <c r="B1646" s="2" t="str">
        <f>"09207035300"</f>
        <v>09207035300</v>
      </c>
      <c r="C1646" s="2" t="s">
        <v>6079</v>
      </c>
      <c r="D1646" t="s">
        <v>29</v>
      </c>
      <c r="E1646" s="2" t="s">
        <v>30</v>
      </c>
      <c r="F1646" s="2">
        <v>37203</v>
      </c>
      <c r="G1646" s="2" t="s">
        <v>253</v>
      </c>
      <c r="H1646" t="s">
        <v>6054</v>
      </c>
      <c r="I1646" s="6">
        <v>37187</v>
      </c>
      <c r="J1646" s="2" t="s">
        <v>6080</v>
      </c>
      <c r="K1646" s="2" t="s">
        <v>34</v>
      </c>
      <c r="L1646" t="s">
        <v>35</v>
      </c>
      <c r="M1646" t="s">
        <v>29</v>
      </c>
      <c r="N1646" t="s">
        <v>30</v>
      </c>
      <c r="O1646">
        <v>37219</v>
      </c>
      <c r="P1646" t="s">
        <v>6071</v>
      </c>
      <c r="Q1646" s="2">
        <v>0.15</v>
      </c>
      <c r="R1646" s="2">
        <v>31</v>
      </c>
      <c r="S1646" s="2">
        <v>208</v>
      </c>
      <c r="T1646" t="s">
        <v>6069</v>
      </c>
      <c r="U1646" s="6">
        <v>37308</v>
      </c>
      <c r="V1646" s="2">
        <v>47037014400</v>
      </c>
      <c r="W1646" s="2" t="s">
        <v>68</v>
      </c>
      <c r="X1646" s="1">
        <v>45658</v>
      </c>
      <c r="Y1646" s="2">
        <v>580300</v>
      </c>
      <c r="Z1646" s="2">
        <v>0</v>
      </c>
      <c r="AA1646" s="2">
        <v>580300</v>
      </c>
    </row>
    <row r="1647" spans="1:27" x14ac:dyDescent="0.3">
      <c r="A1647" s="3">
        <v>21</v>
      </c>
      <c r="B1647" s="2" t="str">
        <f>"09207035400"</f>
        <v>09207035400</v>
      </c>
      <c r="C1647" s="2" t="s">
        <v>6081</v>
      </c>
      <c r="D1647" t="s">
        <v>29</v>
      </c>
      <c r="E1647" s="2" t="s">
        <v>30</v>
      </c>
      <c r="F1647" s="2">
        <v>37203</v>
      </c>
      <c r="G1647" s="2" t="s">
        <v>253</v>
      </c>
      <c r="H1647" t="s">
        <v>6054</v>
      </c>
      <c r="I1647" s="6">
        <v>36766</v>
      </c>
      <c r="J1647" s="2" t="s">
        <v>6082</v>
      </c>
      <c r="K1647" s="2">
        <v>50600</v>
      </c>
      <c r="L1647" t="s">
        <v>35</v>
      </c>
      <c r="M1647" t="s">
        <v>29</v>
      </c>
      <c r="N1647" t="s">
        <v>30</v>
      </c>
      <c r="O1647">
        <v>37210</v>
      </c>
      <c r="P1647" t="s">
        <v>6078</v>
      </c>
      <c r="Q1647" s="2">
        <v>0.15</v>
      </c>
      <c r="R1647" s="2">
        <v>31</v>
      </c>
      <c r="S1647" s="2">
        <v>208</v>
      </c>
      <c r="T1647" t="s">
        <v>6069</v>
      </c>
      <c r="U1647" s="6">
        <v>37308</v>
      </c>
      <c r="V1647" s="2">
        <v>47037014400</v>
      </c>
      <c r="W1647" s="2" t="s">
        <v>68</v>
      </c>
      <c r="X1647" s="1">
        <v>45658</v>
      </c>
      <c r="Y1647" s="2">
        <v>588100</v>
      </c>
      <c r="Z1647" s="2">
        <v>0</v>
      </c>
      <c r="AA1647" s="2">
        <v>588100</v>
      </c>
    </row>
    <row r="1648" spans="1:27" x14ac:dyDescent="0.3">
      <c r="A1648" s="3">
        <v>21</v>
      </c>
      <c r="B1648" s="2" t="str">
        <f>"09207035500"</f>
        <v>09207035500</v>
      </c>
      <c r="C1648" s="2" t="s">
        <v>6083</v>
      </c>
      <c r="D1648" t="s">
        <v>29</v>
      </c>
      <c r="E1648" s="2" t="s">
        <v>30</v>
      </c>
      <c r="F1648" s="2">
        <v>37203</v>
      </c>
      <c r="G1648" s="2" t="s">
        <v>253</v>
      </c>
      <c r="H1648" t="s">
        <v>6054</v>
      </c>
      <c r="I1648" s="6">
        <v>36859</v>
      </c>
      <c r="J1648" s="2" t="s">
        <v>6084</v>
      </c>
      <c r="K1648" s="2">
        <v>84000</v>
      </c>
      <c r="L1648" t="s">
        <v>35</v>
      </c>
      <c r="M1648" t="s">
        <v>29</v>
      </c>
      <c r="N1648" t="s">
        <v>30</v>
      </c>
      <c r="O1648">
        <v>37219</v>
      </c>
      <c r="P1648" t="s">
        <v>6085</v>
      </c>
      <c r="Q1648" s="2">
        <v>0.22</v>
      </c>
      <c r="R1648" s="2">
        <v>15</v>
      </c>
      <c r="S1648" s="2">
        <v>150</v>
      </c>
      <c r="T1648" t="s">
        <v>6069</v>
      </c>
      <c r="U1648" s="6">
        <v>37308</v>
      </c>
      <c r="V1648" s="2">
        <v>47037014400</v>
      </c>
      <c r="W1648" s="2" t="s">
        <v>68</v>
      </c>
      <c r="X1648" s="1">
        <v>45658</v>
      </c>
      <c r="Y1648" s="2">
        <v>862500</v>
      </c>
      <c r="Z1648" s="2">
        <v>0</v>
      </c>
      <c r="AA1648" s="2">
        <v>862500</v>
      </c>
    </row>
    <row r="1649" spans="1:27" x14ac:dyDescent="0.3">
      <c r="A1649" s="3">
        <v>21</v>
      </c>
      <c r="B1649" s="2" t="str">
        <f>"09207036900"</f>
        <v>09207036900</v>
      </c>
      <c r="C1649" s="2" t="s">
        <v>6086</v>
      </c>
      <c r="D1649" t="s">
        <v>29</v>
      </c>
      <c r="E1649" s="2" t="s">
        <v>30</v>
      </c>
      <c r="F1649" s="2">
        <v>37203</v>
      </c>
      <c r="G1649" s="2" t="s">
        <v>253</v>
      </c>
      <c r="H1649" t="s">
        <v>6087</v>
      </c>
      <c r="I1649" s="6">
        <v>19136</v>
      </c>
      <c r="J1649" s="2" t="s">
        <v>6088</v>
      </c>
      <c r="K1649" s="2" t="s">
        <v>34</v>
      </c>
      <c r="L1649" t="s">
        <v>35</v>
      </c>
      <c r="M1649" t="s">
        <v>29</v>
      </c>
      <c r="N1649" t="s">
        <v>30</v>
      </c>
      <c r="O1649">
        <v>37219</v>
      </c>
      <c r="P1649" t="s">
        <v>6089</v>
      </c>
      <c r="Q1649" s="2">
        <v>4.3099999999999996</v>
      </c>
      <c r="R1649" s="2">
        <v>507</v>
      </c>
      <c r="S1649" s="2">
        <v>423</v>
      </c>
      <c r="T1649" t="s">
        <v>6069</v>
      </c>
      <c r="U1649" s="6">
        <v>37308</v>
      </c>
      <c r="V1649" s="2">
        <v>47037014400</v>
      </c>
      <c r="W1649" s="2" t="s">
        <v>68</v>
      </c>
      <c r="X1649" s="1">
        <v>45658</v>
      </c>
      <c r="Y1649" s="2">
        <v>3317000</v>
      </c>
      <c r="Z1649" s="2">
        <v>0</v>
      </c>
      <c r="AA1649" s="2">
        <v>3317000</v>
      </c>
    </row>
    <row r="1650" spans="1:27" x14ac:dyDescent="0.3">
      <c r="A1650" s="3">
        <v>21</v>
      </c>
      <c r="B1650" s="2" t="str">
        <f>"08106023500"</f>
        <v>08106023500</v>
      </c>
      <c r="C1650" s="2" t="s">
        <v>6090</v>
      </c>
      <c r="D1650" t="s">
        <v>29</v>
      </c>
      <c r="E1650" s="2" t="s">
        <v>30</v>
      </c>
      <c r="F1650" s="2">
        <v>37208</v>
      </c>
      <c r="G1650" s="2" t="s">
        <v>253</v>
      </c>
      <c r="H1650" t="s">
        <v>6091</v>
      </c>
      <c r="I1650" s="6">
        <v>12656</v>
      </c>
      <c r="J1650" s="2" t="s">
        <v>6092</v>
      </c>
      <c r="K1650" s="2" t="s">
        <v>34</v>
      </c>
      <c r="L1650" t="s">
        <v>35</v>
      </c>
      <c r="M1650" t="s">
        <v>29</v>
      </c>
      <c r="N1650" t="s">
        <v>30</v>
      </c>
      <c r="O1650">
        <v>37219</v>
      </c>
      <c r="P1650" t="s">
        <v>6093</v>
      </c>
      <c r="Q1650" s="2">
        <v>3.82</v>
      </c>
      <c r="R1650" s="2">
        <v>0</v>
      </c>
      <c r="S1650" s="2">
        <v>0</v>
      </c>
      <c r="T1650" t="s">
        <v>6092</v>
      </c>
      <c r="U1650" s="6">
        <v>12656</v>
      </c>
      <c r="V1650" s="2">
        <v>47037013700</v>
      </c>
      <c r="W1650" s="2" t="s">
        <v>68</v>
      </c>
      <c r="X1650" s="1">
        <v>45658</v>
      </c>
      <c r="Y1650" s="2">
        <v>421500</v>
      </c>
      <c r="Z1650" s="2">
        <v>0</v>
      </c>
      <c r="AA1650" s="2">
        <v>421500</v>
      </c>
    </row>
    <row r="1651" spans="1:27" x14ac:dyDescent="0.3">
      <c r="A1651" s="3">
        <v>21</v>
      </c>
      <c r="B1651" s="2" t="str">
        <f>"09205003400"</f>
        <v>09205003400</v>
      </c>
      <c r="C1651" s="2" t="s">
        <v>6094</v>
      </c>
      <c r="D1651" t="s">
        <v>29</v>
      </c>
      <c r="E1651" s="2" t="s">
        <v>30</v>
      </c>
      <c r="F1651" s="2">
        <v>37209</v>
      </c>
      <c r="G1651" s="2" t="s">
        <v>253</v>
      </c>
      <c r="H1651" t="s">
        <v>6095</v>
      </c>
      <c r="I1651" s="6">
        <v>19290</v>
      </c>
      <c r="J1651" s="2" t="s">
        <v>6096</v>
      </c>
      <c r="K1651" s="2" t="s">
        <v>34</v>
      </c>
      <c r="L1651" t="s">
        <v>35</v>
      </c>
      <c r="M1651" t="s">
        <v>29</v>
      </c>
      <c r="N1651" t="s">
        <v>30</v>
      </c>
      <c r="O1651">
        <v>37219</v>
      </c>
      <c r="P1651" t="s">
        <v>6097</v>
      </c>
      <c r="Q1651" s="2">
        <v>7.63</v>
      </c>
      <c r="R1651" s="2">
        <v>0</v>
      </c>
      <c r="S1651" s="2">
        <v>0</v>
      </c>
      <c r="T1651" t="s">
        <v>6098</v>
      </c>
      <c r="U1651" s="6">
        <v>36943</v>
      </c>
      <c r="V1651" s="2">
        <v>47037013601</v>
      </c>
      <c r="W1651" s="2" t="s">
        <v>68</v>
      </c>
      <c r="X1651" s="1">
        <v>45658</v>
      </c>
      <c r="Y1651" s="2">
        <v>493000</v>
      </c>
      <c r="Z1651" s="2">
        <v>0</v>
      </c>
      <c r="AA1651" s="2">
        <v>493000</v>
      </c>
    </row>
    <row r="1652" spans="1:27" x14ac:dyDescent="0.3">
      <c r="A1652" s="3">
        <v>21</v>
      </c>
      <c r="B1652" s="2" t="str">
        <f>"09207036000"</f>
        <v>09207036000</v>
      </c>
      <c r="C1652" s="2" t="s">
        <v>6099</v>
      </c>
      <c r="D1652" t="s">
        <v>29</v>
      </c>
      <c r="E1652" s="2" t="s">
        <v>30</v>
      </c>
      <c r="F1652" s="2">
        <v>37203</v>
      </c>
      <c r="G1652" s="2" t="s">
        <v>64</v>
      </c>
      <c r="H1652" t="s">
        <v>5167</v>
      </c>
      <c r="I1652" s="6">
        <v>42853</v>
      </c>
      <c r="J1652" s="2" t="s">
        <v>6100</v>
      </c>
      <c r="K1652" s="2">
        <v>0</v>
      </c>
      <c r="L1652" t="s">
        <v>35</v>
      </c>
      <c r="M1652" t="s">
        <v>29</v>
      </c>
      <c r="N1652" t="s">
        <v>30</v>
      </c>
      <c r="O1652">
        <v>37219</v>
      </c>
      <c r="P1652" t="s">
        <v>6101</v>
      </c>
      <c r="Q1652" s="2">
        <v>0.15</v>
      </c>
      <c r="R1652" s="2">
        <v>34</v>
      </c>
      <c r="S1652" s="2">
        <v>181</v>
      </c>
      <c r="T1652" t="s">
        <v>6102</v>
      </c>
      <c r="U1652" s="6">
        <v>21958</v>
      </c>
      <c r="V1652" s="2">
        <v>47037014400</v>
      </c>
      <c r="W1652" s="2" t="s">
        <v>68</v>
      </c>
      <c r="X1652" s="1">
        <v>45658</v>
      </c>
      <c r="Y1652" s="2">
        <v>165000</v>
      </c>
      <c r="Z1652" s="2">
        <v>0</v>
      </c>
      <c r="AA1652" s="2">
        <v>165000</v>
      </c>
    </row>
    <row r="1653" spans="1:27" x14ac:dyDescent="0.3">
      <c r="A1653" s="3">
        <v>21</v>
      </c>
      <c r="B1653" s="2" t="str">
        <f>"09207035800"</f>
        <v>09207035800</v>
      </c>
      <c r="C1653" s="2" t="s">
        <v>6103</v>
      </c>
      <c r="D1653" t="s">
        <v>29</v>
      </c>
      <c r="E1653" s="2" t="s">
        <v>30</v>
      </c>
      <c r="F1653" s="2">
        <v>37203</v>
      </c>
      <c r="G1653" s="2" t="s">
        <v>64</v>
      </c>
      <c r="H1653" t="s">
        <v>5167</v>
      </c>
      <c r="I1653" s="6">
        <v>42853</v>
      </c>
      <c r="J1653" s="2" t="s">
        <v>6100</v>
      </c>
      <c r="K1653" s="2">
        <v>0</v>
      </c>
      <c r="L1653" t="s">
        <v>35</v>
      </c>
      <c r="M1653" t="s">
        <v>29</v>
      </c>
      <c r="N1653" t="s">
        <v>30</v>
      </c>
      <c r="O1653">
        <v>37219</v>
      </c>
      <c r="P1653" t="s">
        <v>6104</v>
      </c>
      <c r="Q1653" s="2">
        <v>0.03</v>
      </c>
      <c r="R1653" s="2">
        <v>64</v>
      </c>
      <c r="S1653" s="2">
        <v>30</v>
      </c>
      <c r="T1653" t="s">
        <v>6105</v>
      </c>
      <c r="U1653" s="6">
        <v>21915</v>
      </c>
      <c r="V1653" s="2">
        <v>47037014400</v>
      </c>
      <c r="W1653" s="2" t="s">
        <v>68</v>
      </c>
      <c r="X1653" s="1">
        <v>45658</v>
      </c>
      <c r="Y1653" s="2">
        <v>8300</v>
      </c>
      <c r="Z1653" s="2">
        <v>0</v>
      </c>
      <c r="AA1653" s="2">
        <v>8300</v>
      </c>
    </row>
    <row r="1654" spans="1:27" x14ac:dyDescent="0.3">
      <c r="A1654" s="3">
        <v>21</v>
      </c>
      <c r="B1654" s="2" t="str">
        <f>"09207035900"</f>
        <v>09207035900</v>
      </c>
      <c r="C1654" s="2" t="s">
        <v>6106</v>
      </c>
      <c r="D1654" t="s">
        <v>29</v>
      </c>
      <c r="E1654" s="2" t="s">
        <v>30</v>
      </c>
      <c r="F1654" s="2">
        <v>37203</v>
      </c>
      <c r="G1654" s="2" t="s">
        <v>64</v>
      </c>
      <c r="H1654" t="s">
        <v>5167</v>
      </c>
      <c r="I1654" s="6">
        <v>42853</v>
      </c>
      <c r="J1654" s="2" t="s">
        <v>6100</v>
      </c>
      <c r="K1654" s="2">
        <v>0</v>
      </c>
      <c r="L1654" t="s">
        <v>35</v>
      </c>
      <c r="M1654" t="s">
        <v>29</v>
      </c>
      <c r="N1654" t="s">
        <v>30</v>
      </c>
      <c r="O1654">
        <v>37219</v>
      </c>
      <c r="P1654" t="s">
        <v>6104</v>
      </c>
      <c r="Q1654" s="2">
        <v>0.09</v>
      </c>
      <c r="R1654" s="2">
        <v>43</v>
      </c>
      <c r="S1654" s="2">
        <v>118</v>
      </c>
      <c r="T1654" t="s">
        <v>6107</v>
      </c>
      <c r="U1654" s="6">
        <v>21174</v>
      </c>
      <c r="V1654" s="2">
        <v>47037014400</v>
      </c>
      <c r="W1654" s="2" t="s">
        <v>68</v>
      </c>
      <c r="X1654" s="1">
        <v>45658</v>
      </c>
      <c r="Y1654" s="2">
        <v>41300</v>
      </c>
      <c r="Z1654" s="2">
        <v>0</v>
      </c>
      <c r="AA1654" s="2">
        <v>41300</v>
      </c>
    </row>
    <row r="1655" spans="1:27" x14ac:dyDescent="0.3">
      <c r="A1655" s="3">
        <v>21</v>
      </c>
      <c r="B1655" s="2" t="str">
        <f>"09204013900"</f>
        <v>09204013900</v>
      </c>
      <c r="C1655" s="2" t="s">
        <v>6108</v>
      </c>
      <c r="D1655" t="s">
        <v>29</v>
      </c>
      <c r="E1655" s="2" t="s">
        <v>30</v>
      </c>
      <c r="F1655" s="2">
        <v>37208</v>
      </c>
      <c r="G1655" s="2" t="s">
        <v>64</v>
      </c>
      <c r="H1655" t="s">
        <v>5179</v>
      </c>
      <c r="I1655" s="6">
        <v>337</v>
      </c>
      <c r="J1655" s="2" t="s">
        <v>6109</v>
      </c>
      <c r="K1655" s="2" t="s">
        <v>34</v>
      </c>
      <c r="L1655" t="s">
        <v>35</v>
      </c>
      <c r="M1655" t="s">
        <v>29</v>
      </c>
      <c r="N1655" t="s">
        <v>30</v>
      </c>
      <c r="O1655">
        <v>37219</v>
      </c>
      <c r="P1655" t="s">
        <v>6110</v>
      </c>
      <c r="Q1655" s="2">
        <v>0.88</v>
      </c>
      <c r="R1655" s="2">
        <v>160</v>
      </c>
      <c r="S1655" s="2">
        <v>230</v>
      </c>
      <c r="T1655" t="s">
        <v>6109</v>
      </c>
      <c r="U1655" s="6">
        <v>337</v>
      </c>
      <c r="V1655" s="2">
        <v>47037014200</v>
      </c>
      <c r="W1655" s="2" t="s">
        <v>68</v>
      </c>
      <c r="X1655" s="1">
        <v>45658</v>
      </c>
      <c r="Y1655" s="2">
        <v>1819000</v>
      </c>
      <c r="Z1655" s="2">
        <v>0</v>
      </c>
      <c r="AA1655" s="2">
        <v>1819000</v>
      </c>
    </row>
    <row r="1656" spans="1:27" x14ac:dyDescent="0.3">
      <c r="A1656" s="3">
        <v>21</v>
      </c>
      <c r="B1656" s="2" t="str">
        <f>"09202043400"</f>
        <v>09202043400</v>
      </c>
      <c r="C1656" s="2" t="s">
        <v>6111</v>
      </c>
      <c r="D1656" t="s">
        <v>29</v>
      </c>
      <c r="E1656" s="2" t="s">
        <v>30</v>
      </c>
      <c r="F1656" s="2">
        <v>37208</v>
      </c>
      <c r="G1656" s="2" t="s">
        <v>253</v>
      </c>
      <c r="H1656" t="s">
        <v>6112</v>
      </c>
      <c r="I1656" s="6">
        <v>14276</v>
      </c>
      <c r="J1656" s="2" t="s">
        <v>6113</v>
      </c>
      <c r="K1656" s="2">
        <v>0</v>
      </c>
      <c r="L1656" t="s">
        <v>35</v>
      </c>
      <c r="M1656" t="s">
        <v>29</v>
      </c>
      <c r="N1656" t="s">
        <v>30</v>
      </c>
      <c r="O1656">
        <v>37219</v>
      </c>
      <c r="P1656" t="s">
        <v>6114</v>
      </c>
      <c r="Q1656" s="2">
        <v>27.8</v>
      </c>
      <c r="R1656" s="2">
        <v>0</v>
      </c>
      <c r="S1656" s="2">
        <v>0</v>
      </c>
      <c r="T1656" t="s">
        <v>278</v>
      </c>
      <c r="U1656" s="6">
        <v>36591</v>
      </c>
      <c r="V1656" s="2">
        <v>47037014300</v>
      </c>
      <c r="W1656" s="2" t="s">
        <v>68</v>
      </c>
      <c r="X1656" s="1">
        <v>45658</v>
      </c>
      <c r="Y1656" s="2">
        <v>585200</v>
      </c>
      <c r="Z1656" s="2">
        <v>0</v>
      </c>
      <c r="AA1656" s="2">
        <v>585200</v>
      </c>
    </row>
    <row r="1657" spans="1:27" x14ac:dyDescent="0.3">
      <c r="A1657" s="3">
        <v>21</v>
      </c>
      <c r="B1657" s="2" t="str">
        <f>"08108010900"</f>
        <v>08108010900</v>
      </c>
      <c r="C1657" s="2" t="s">
        <v>6115</v>
      </c>
      <c r="D1657" t="s">
        <v>29</v>
      </c>
      <c r="E1657" s="2" t="s">
        <v>30</v>
      </c>
      <c r="F1657" s="2">
        <v>37208</v>
      </c>
      <c r="G1657" s="2" t="s">
        <v>253</v>
      </c>
      <c r="H1657" t="s">
        <v>6116</v>
      </c>
      <c r="I1657" s="6">
        <v>12835</v>
      </c>
      <c r="J1657" s="2" t="s">
        <v>6117</v>
      </c>
      <c r="K1657" s="2" t="s">
        <v>34</v>
      </c>
      <c r="L1657" t="s">
        <v>35</v>
      </c>
      <c r="M1657" t="s">
        <v>29</v>
      </c>
      <c r="N1657" t="s">
        <v>30</v>
      </c>
      <c r="O1657">
        <v>37219</v>
      </c>
      <c r="P1657" t="s">
        <v>6118</v>
      </c>
      <c r="Q1657" s="2">
        <v>3.46</v>
      </c>
      <c r="R1657" s="2">
        <v>488</v>
      </c>
      <c r="S1657" s="2">
        <v>168</v>
      </c>
      <c r="T1657" t="s">
        <v>278</v>
      </c>
      <c r="U1657" s="6">
        <v>36581</v>
      </c>
      <c r="V1657" s="2">
        <v>47037013700</v>
      </c>
      <c r="W1657" s="2" t="s">
        <v>68</v>
      </c>
      <c r="X1657" s="1">
        <v>45658</v>
      </c>
      <c r="Y1657" s="2">
        <v>255900</v>
      </c>
      <c r="Z1657" s="2">
        <v>0</v>
      </c>
      <c r="AA1657" s="2">
        <v>255900</v>
      </c>
    </row>
    <row r="1658" spans="1:27" x14ac:dyDescent="0.3">
      <c r="A1658" s="3">
        <v>21</v>
      </c>
      <c r="B1658" s="2" t="str">
        <f>"08110009200"</f>
        <v>08110009200</v>
      </c>
      <c r="C1658" s="2" t="s">
        <v>6119</v>
      </c>
      <c r="D1658" t="s">
        <v>29</v>
      </c>
      <c r="E1658" s="2" t="s">
        <v>30</v>
      </c>
      <c r="F1658" s="2">
        <v>37208</v>
      </c>
      <c r="G1658" s="2" t="s">
        <v>64</v>
      </c>
      <c r="H1658" t="s">
        <v>2485</v>
      </c>
      <c r="I1658" s="6">
        <v>38275</v>
      </c>
      <c r="J1658" s="2" t="s">
        <v>6120</v>
      </c>
      <c r="K1658" s="2">
        <v>9146</v>
      </c>
      <c r="L1658" t="s">
        <v>6121</v>
      </c>
      <c r="M1658" t="s">
        <v>29</v>
      </c>
      <c r="N1658" t="s">
        <v>30</v>
      </c>
      <c r="O1658">
        <v>37201</v>
      </c>
      <c r="P1658" t="s">
        <v>6122</v>
      </c>
      <c r="Q1658" s="2">
        <v>0.17</v>
      </c>
      <c r="R1658" s="2">
        <v>52</v>
      </c>
      <c r="S1658" s="2">
        <v>145</v>
      </c>
      <c r="T1658" t="s">
        <v>6123</v>
      </c>
      <c r="U1658" s="6">
        <v>23312</v>
      </c>
      <c r="V1658" s="2">
        <v>47037013800</v>
      </c>
      <c r="W1658" s="2" t="s">
        <v>68</v>
      </c>
      <c r="X1658" s="1">
        <v>45658</v>
      </c>
      <c r="Y1658" s="2">
        <v>200000</v>
      </c>
      <c r="Z1658" s="2">
        <v>0</v>
      </c>
      <c r="AA1658" s="2">
        <v>200000</v>
      </c>
    </row>
    <row r="1659" spans="1:27" x14ac:dyDescent="0.3">
      <c r="A1659" s="3">
        <v>21</v>
      </c>
      <c r="B1659" s="2" t="str">
        <f>"09108030400"</f>
        <v>09108030400</v>
      </c>
      <c r="C1659" s="2" t="s">
        <v>6124</v>
      </c>
      <c r="D1659" t="s">
        <v>29</v>
      </c>
      <c r="E1659" s="2" t="s">
        <v>30</v>
      </c>
      <c r="F1659" s="2">
        <v>37209</v>
      </c>
      <c r="G1659" s="2" t="s">
        <v>64</v>
      </c>
      <c r="H1659" t="s">
        <v>6125</v>
      </c>
      <c r="I1659" s="6">
        <v>37096</v>
      </c>
      <c r="J1659" s="2" t="s">
        <v>6126</v>
      </c>
      <c r="K1659" s="2">
        <v>8000</v>
      </c>
      <c r="L1659" t="s">
        <v>6127</v>
      </c>
      <c r="M1659" t="s">
        <v>29</v>
      </c>
      <c r="N1659" t="s">
        <v>30</v>
      </c>
      <c r="O1659">
        <v>37203</v>
      </c>
      <c r="P1659" t="s">
        <v>6128</v>
      </c>
      <c r="Q1659" s="2">
        <v>0.11</v>
      </c>
      <c r="R1659" s="2">
        <v>50</v>
      </c>
      <c r="S1659" s="2">
        <v>110</v>
      </c>
      <c r="T1659" t="s">
        <v>6129</v>
      </c>
      <c r="U1659" s="6">
        <v>24220</v>
      </c>
      <c r="V1659" s="2">
        <v>47037013601</v>
      </c>
      <c r="W1659" s="2" t="s">
        <v>68</v>
      </c>
      <c r="X1659" s="1">
        <v>45658</v>
      </c>
      <c r="Y1659" s="2">
        <v>54700</v>
      </c>
      <c r="Z1659" s="2">
        <v>0</v>
      </c>
      <c r="AA1659" s="2">
        <v>54700</v>
      </c>
    </row>
    <row r="1660" spans="1:27" x14ac:dyDescent="0.3">
      <c r="A1660" s="3">
        <v>21</v>
      </c>
      <c r="B1660" s="2" t="str">
        <f>"08104026400"</f>
        <v>08104026400</v>
      </c>
      <c r="C1660" s="2" t="s">
        <v>6130</v>
      </c>
      <c r="D1660" t="s">
        <v>29</v>
      </c>
      <c r="E1660" s="2" t="s">
        <v>30</v>
      </c>
      <c r="F1660" s="2">
        <v>37208</v>
      </c>
      <c r="G1660" s="2" t="s">
        <v>505</v>
      </c>
      <c r="H1660" t="s">
        <v>6131</v>
      </c>
      <c r="I1660" s="6">
        <v>43371</v>
      </c>
      <c r="J1660" s="2" t="s">
        <v>6132</v>
      </c>
      <c r="K1660" s="2">
        <v>0</v>
      </c>
      <c r="L1660" t="s">
        <v>6130</v>
      </c>
      <c r="M1660" t="s">
        <v>29</v>
      </c>
      <c r="N1660" t="s">
        <v>30</v>
      </c>
      <c r="O1660">
        <v>37208</v>
      </c>
      <c r="P1660" t="s">
        <v>6133</v>
      </c>
      <c r="Q1660" s="2">
        <v>1.55</v>
      </c>
      <c r="R1660" s="2">
        <v>298</v>
      </c>
      <c r="S1660" s="2">
        <v>194</v>
      </c>
      <c r="T1660" t="s">
        <v>6134</v>
      </c>
      <c r="U1660" s="6">
        <v>43374</v>
      </c>
      <c r="V1660" s="2">
        <v>47037013700</v>
      </c>
      <c r="W1660" s="2" t="s">
        <v>68</v>
      </c>
      <c r="X1660" s="1">
        <v>45658</v>
      </c>
      <c r="Y1660" s="2">
        <v>12343500</v>
      </c>
      <c r="Z1660" s="2">
        <v>10318000</v>
      </c>
      <c r="AA1660" s="2">
        <v>2025500</v>
      </c>
    </row>
    <row r="1661" spans="1:27" x14ac:dyDescent="0.3">
      <c r="A1661" s="3">
        <v>22</v>
      </c>
      <c r="B1661" s="2" t="str">
        <f>"14200028900"</f>
        <v>14200028900</v>
      </c>
      <c r="C1661" s="2" t="s">
        <v>6135</v>
      </c>
      <c r="D1661" t="s">
        <v>29</v>
      </c>
      <c r="E1661" s="2" t="s">
        <v>30</v>
      </c>
      <c r="F1661" s="2">
        <v>37221</v>
      </c>
      <c r="G1661" s="2" t="s">
        <v>64</v>
      </c>
      <c r="H1661" t="s">
        <v>32</v>
      </c>
      <c r="I1661" s="6">
        <v>35402</v>
      </c>
      <c r="J1661" s="2" t="s">
        <v>6136</v>
      </c>
      <c r="K1661" s="2">
        <v>1200000</v>
      </c>
      <c r="L1661" t="s">
        <v>35</v>
      </c>
      <c r="M1661" t="s">
        <v>29</v>
      </c>
      <c r="N1661" t="s">
        <v>30</v>
      </c>
      <c r="O1661">
        <v>37219</v>
      </c>
      <c r="P1661" t="s">
        <v>6137</v>
      </c>
      <c r="Q1661" s="2">
        <v>2.65</v>
      </c>
      <c r="R1661" s="2">
        <v>865</v>
      </c>
      <c r="S1661" s="2">
        <v>43</v>
      </c>
      <c r="T1661" t="s">
        <v>6138</v>
      </c>
      <c r="U1661" s="6">
        <v>33751</v>
      </c>
      <c r="V1661" s="2">
        <v>47037018404</v>
      </c>
      <c r="W1661" s="2" t="s">
        <v>38</v>
      </c>
      <c r="X1661" s="1">
        <v>45658</v>
      </c>
      <c r="Y1661" s="2">
        <v>240000</v>
      </c>
      <c r="Z1661" s="2">
        <v>0</v>
      </c>
      <c r="AA1661" s="2">
        <v>240000</v>
      </c>
    </row>
    <row r="1662" spans="1:27" x14ac:dyDescent="0.3">
      <c r="A1662" s="3">
        <v>22</v>
      </c>
      <c r="B1662" s="2" t="str">
        <f>"14200021700"</f>
        <v>14200021700</v>
      </c>
      <c r="C1662" s="2" t="s">
        <v>6139</v>
      </c>
      <c r="D1662" t="s">
        <v>29</v>
      </c>
      <c r="E1662" s="2" t="s">
        <v>30</v>
      </c>
      <c r="F1662" s="2">
        <v>37221</v>
      </c>
      <c r="G1662" s="2" t="s">
        <v>41</v>
      </c>
      <c r="H1662" t="s">
        <v>32</v>
      </c>
      <c r="I1662" s="6">
        <v>39938</v>
      </c>
      <c r="J1662" s="2" t="s">
        <v>6140</v>
      </c>
      <c r="K1662" s="2">
        <v>18000</v>
      </c>
      <c r="L1662" t="s">
        <v>35</v>
      </c>
      <c r="M1662" t="s">
        <v>29</v>
      </c>
      <c r="N1662" t="s">
        <v>30</v>
      </c>
      <c r="O1662">
        <v>37219</v>
      </c>
      <c r="P1662" t="s">
        <v>6141</v>
      </c>
      <c r="Q1662" s="2">
        <v>14.67</v>
      </c>
      <c r="R1662" s="2">
        <v>0</v>
      </c>
      <c r="S1662" s="2">
        <v>0</v>
      </c>
      <c r="T1662" t="s">
        <v>62</v>
      </c>
      <c r="U1662" s="6">
        <v>37622</v>
      </c>
      <c r="V1662" s="2">
        <v>47037018409</v>
      </c>
      <c r="W1662" s="2" t="s">
        <v>38</v>
      </c>
      <c r="X1662" s="1">
        <v>45658</v>
      </c>
      <c r="Y1662" s="2">
        <v>7361600</v>
      </c>
      <c r="Z1662" s="2">
        <v>0</v>
      </c>
      <c r="AA1662" s="2">
        <v>7361600</v>
      </c>
    </row>
    <row r="1663" spans="1:27" x14ac:dyDescent="0.3">
      <c r="A1663" s="3">
        <v>22</v>
      </c>
      <c r="B1663" s="2" t="str">
        <f>"12800019600"</f>
        <v>12800019600</v>
      </c>
      <c r="C1663" s="2" t="s">
        <v>6142</v>
      </c>
      <c r="D1663" t="s">
        <v>29</v>
      </c>
      <c r="E1663" s="2" t="s">
        <v>30</v>
      </c>
      <c r="F1663" s="2">
        <v>37221</v>
      </c>
      <c r="G1663" s="2" t="s">
        <v>41</v>
      </c>
      <c r="H1663" t="s">
        <v>32</v>
      </c>
      <c r="I1663" s="6">
        <v>42956</v>
      </c>
      <c r="J1663" s="2" t="s">
        <v>6143</v>
      </c>
      <c r="K1663" s="2">
        <v>2933000</v>
      </c>
      <c r="L1663" t="s">
        <v>35</v>
      </c>
      <c r="M1663" t="s">
        <v>29</v>
      </c>
      <c r="N1663" t="s">
        <v>30</v>
      </c>
      <c r="O1663">
        <v>37219</v>
      </c>
      <c r="P1663" t="s">
        <v>6144</v>
      </c>
      <c r="Q1663" s="2">
        <v>8.3800000000000008</v>
      </c>
      <c r="R1663" s="2">
        <v>0</v>
      </c>
      <c r="S1663" s="2">
        <v>0</v>
      </c>
      <c r="T1663" t="s">
        <v>6145</v>
      </c>
      <c r="U1663" s="6">
        <v>42940</v>
      </c>
      <c r="V1663" s="2">
        <v>47037018401</v>
      </c>
      <c r="W1663" s="2" t="s">
        <v>38</v>
      </c>
      <c r="X1663" s="1">
        <v>45658</v>
      </c>
      <c r="Y1663" s="2">
        <v>19711800</v>
      </c>
      <c r="Z1663" s="2">
        <v>0</v>
      </c>
      <c r="AA1663" s="2">
        <v>19711800</v>
      </c>
    </row>
    <row r="1664" spans="1:27" x14ac:dyDescent="0.3">
      <c r="A1664" s="3">
        <v>22</v>
      </c>
      <c r="B1664" s="2" t="str">
        <f>"12815001500"</f>
        <v>12815001500</v>
      </c>
      <c r="C1664" s="2" t="s">
        <v>6146</v>
      </c>
      <c r="D1664" t="s">
        <v>29</v>
      </c>
      <c r="E1664" s="2" t="s">
        <v>30</v>
      </c>
      <c r="F1664" s="2">
        <v>37221</v>
      </c>
      <c r="G1664" s="2" t="s">
        <v>31</v>
      </c>
      <c r="H1664" t="s">
        <v>99</v>
      </c>
      <c r="I1664" s="6">
        <v>36462</v>
      </c>
      <c r="J1664" s="2" t="s">
        <v>6147</v>
      </c>
      <c r="K1664" s="2">
        <v>252</v>
      </c>
      <c r="L1664" t="s">
        <v>35</v>
      </c>
      <c r="M1664" t="s">
        <v>29</v>
      </c>
      <c r="N1664" t="s">
        <v>30</v>
      </c>
      <c r="O1664">
        <v>37219</v>
      </c>
      <c r="P1664" t="s">
        <v>6148</v>
      </c>
      <c r="Q1664" s="2">
        <v>0.05</v>
      </c>
      <c r="R1664" s="2">
        <v>314</v>
      </c>
      <c r="S1664" s="2">
        <v>4</v>
      </c>
      <c r="T1664" t="s">
        <v>6149</v>
      </c>
      <c r="U1664" s="6">
        <v>23994</v>
      </c>
      <c r="V1664" s="2">
        <v>47037018401</v>
      </c>
      <c r="W1664" s="2" t="s">
        <v>38</v>
      </c>
      <c r="X1664" s="1">
        <v>45658</v>
      </c>
      <c r="Y1664" s="2">
        <v>300</v>
      </c>
      <c r="Z1664" s="2">
        <v>0</v>
      </c>
      <c r="AA1664" s="2">
        <v>300</v>
      </c>
    </row>
    <row r="1665" spans="1:27" x14ac:dyDescent="0.3">
      <c r="A1665" s="3">
        <v>22</v>
      </c>
      <c r="B1665" s="2" t="str">
        <f>"14211016200"</f>
        <v>14211016200</v>
      </c>
      <c r="C1665" s="2" t="s">
        <v>6150</v>
      </c>
      <c r="D1665" t="s">
        <v>29</v>
      </c>
      <c r="E1665" s="2" t="s">
        <v>30</v>
      </c>
      <c r="F1665" s="2">
        <v>37207</v>
      </c>
      <c r="G1665" s="2" t="s">
        <v>64</v>
      </c>
      <c r="H1665" t="s">
        <v>99</v>
      </c>
      <c r="I1665" s="6">
        <v>33442</v>
      </c>
      <c r="J1665" s="2" t="s">
        <v>6151</v>
      </c>
      <c r="K1665" s="2">
        <v>235</v>
      </c>
      <c r="L1665" t="s">
        <v>35</v>
      </c>
      <c r="M1665" t="s">
        <v>29</v>
      </c>
      <c r="N1665" t="s">
        <v>30</v>
      </c>
      <c r="O1665">
        <v>37219</v>
      </c>
      <c r="P1665" t="s">
        <v>6152</v>
      </c>
      <c r="Q1665" s="2">
        <v>0.01</v>
      </c>
      <c r="R1665" s="2">
        <v>234</v>
      </c>
      <c r="S1665" s="2">
        <v>2</v>
      </c>
      <c r="T1665" t="s">
        <v>6153</v>
      </c>
      <c r="U1665" s="6">
        <v>28604</v>
      </c>
      <c r="V1665" s="2">
        <v>47037018405</v>
      </c>
      <c r="W1665" s="2" t="s">
        <v>38</v>
      </c>
      <c r="X1665" s="1">
        <v>45658</v>
      </c>
      <c r="Y1665" s="2">
        <v>900</v>
      </c>
      <c r="Z1665" s="2">
        <v>0</v>
      </c>
      <c r="AA1665" s="2">
        <v>900</v>
      </c>
    </row>
    <row r="1666" spans="1:27" x14ac:dyDescent="0.3">
      <c r="A1666" s="3">
        <v>22</v>
      </c>
      <c r="B1666" s="2" t="str">
        <f>"14200011900"</f>
        <v>14200011900</v>
      </c>
      <c r="C1666" s="2" t="s">
        <v>28</v>
      </c>
      <c r="D1666" t="s">
        <v>29</v>
      </c>
      <c r="E1666" s="2" t="s">
        <v>30</v>
      </c>
      <c r="F1666" s="2">
        <v>37221</v>
      </c>
      <c r="G1666" s="2" t="s">
        <v>31</v>
      </c>
      <c r="H1666" t="s">
        <v>171</v>
      </c>
      <c r="I1666" s="6">
        <v>34326</v>
      </c>
      <c r="J1666" s="2" t="s">
        <v>6154</v>
      </c>
      <c r="K1666" s="2">
        <v>1200000</v>
      </c>
      <c r="L1666" t="s">
        <v>35</v>
      </c>
      <c r="M1666" t="s">
        <v>29</v>
      </c>
      <c r="N1666" t="s">
        <v>30</v>
      </c>
      <c r="O1666">
        <v>37219</v>
      </c>
      <c r="P1666" t="s">
        <v>6155</v>
      </c>
      <c r="Q1666" s="2">
        <v>2.95</v>
      </c>
      <c r="R1666" s="2">
        <v>252</v>
      </c>
      <c r="S1666" s="2">
        <v>292</v>
      </c>
      <c r="T1666" t="s">
        <v>6138</v>
      </c>
      <c r="U1666" s="6">
        <v>33751</v>
      </c>
      <c r="V1666" s="2">
        <v>47037018405</v>
      </c>
      <c r="W1666" s="2" t="s">
        <v>38</v>
      </c>
      <c r="X1666" s="1">
        <v>45658</v>
      </c>
      <c r="Y1666" s="2">
        <v>522000</v>
      </c>
      <c r="Z1666" s="2">
        <v>0</v>
      </c>
      <c r="AA1666" s="2">
        <v>522000</v>
      </c>
    </row>
    <row r="1667" spans="1:27" x14ac:dyDescent="0.3">
      <c r="A1667" s="3">
        <v>22</v>
      </c>
      <c r="B1667" s="2" t="str">
        <f>"14100009200"</f>
        <v>14100009200</v>
      </c>
      <c r="C1667" s="2" t="s">
        <v>6156</v>
      </c>
      <c r="D1667" t="s">
        <v>29</v>
      </c>
      <c r="E1667" s="2" t="s">
        <v>30</v>
      </c>
      <c r="F1667" s="2">
        <v>37221</v>
      </c>
      <c r="G1667" s="2" t="s">
        <v>31</v>
      </c>
      <c r="H1667" t="s">
        <v>176</v>
      </c>
      <c r="I1667" s="6">
        <v>32637</v>
      </c>
      <c r="J1667" s="2" t="s">
        <v>6157</v>
      </c>
      <c r="K1667" s="2" t="s">
        <v>34</v>
      </c>
      <c r="L1667" t="s">
        <v>178</v>
      </c>
      <c r="M1667" t="s">
        <v>29</v>
      </c>
      <c r="N1667" t="s">
        <v>30</v>
      </c>
      <c r="O1667">
        <v>37246</v>
      </c>
      <c r="P1667" t="s">
        <v>6158</v>
      </c>
      <c r="Q1667" s="2">
        <v>11.47</v>
      </c>
      <c r="R1667" s="2">
        <v>0</v>
      </c>
      <c r="S1667" s="2">
        <v>0</v>
      </c>
      <c r="T1667" t="s">
        <v>6157</v>
      </c>
      <c r="U1667" s="6">
        <v>32637</v>
      </c>
      <c r="V1667" s="2">
        <v>47037018407</v>
      </c>
      <c r="W1667" s="2" t="s">
        <v>38</v>
      </c>
      <c r="X1667" s="1">
        <v>45658</v>
      </c>
      <c r="Y1667" s="2">
        <v>303100</v>
      </c>
      <c r="Z1667" s="2">
        <v>0</v>
      </c>
      <c r="AA1667" s="2">
        <v>303100</v>
      </c>
    </row>
    <row r="1668" spans="1:27" x14ac:dyDescent="0.3">
      <c r="A1668" s="3">
        <v>22</v>
      </c>
      <c r="B1668" s="2" t="str">
        <f>"14214005600"</f>
        <v>14214005600</v>
      </c>
      <c r="C1668" s="2" t="s">
        <v>6159</v>
      </c>
      <c r="D1668" t="s">
        <v>29</v>
      </c>
      <c r="E1668" s="2" t="s">
        <v>30</v>
      </c>
      <c r="F1668" s="2">
        <v>37221</v>
      </c>
      <c r="G1668" s="2" t="s">
        <v>200</v>
      </c>
      <c r="H1668" t="s">
        <v>6160</v>
      </c>
      <c r="I1668" s="6">
        <v>24173</v>
      </c>
      <c r="J1668" s="2" t="s">
        <v>6161</v>
      </c>
      <c r="K1668" s="2" t="s">
        <v>34</v>
      </c>
      <c r="L1668" t="s">
        <v>35</v>
      </c>
      <c r="M1668" t="s">
        <v>29</v>
      </c>
      <c r="N1668" t="s">
        <v>30</v>
      </c>
      <c r="O1668">
        <v>37219</v>
      </c>
      <c r="P1668" t="s">
        <v>6162</v>
      </c>
      <c r="Q1668" s="2">
        <v>10.029999999999999</v>
      </c>
      <c r="R1668" s="2">
        <v>0</v>
      </c>
      <c r="S1668" s="2">
        <v>0</v>
      </c>
      <c r="T1668" t="s">
        <v>6161</v>
      </c>
      <c r="U1668" s="6">
        <v>24173</v>
      </c>
      <c r="V1668" s="2">
        <v>47037018405</v>
      </c>
      <c r="W1668" s="2" t="s">
        <v>38</v>
      </c>
      <c r="X1668" s="1">
        <v>45658</v>
      </c>
      <c r="Y1668" s="2">
        <v>108600</v>
      </c>
      <c r="Z1668" s="2">
        <v>0</v>
      </c>
      <c r="AA1668" s="2">
        <v>108600</v>
      </c>
    </row>
    <row r="1669" spans="1:27" x14ac:dyDescent="0.3">
      <c r="A1669" s="3">
        <v>22</v>
      </c>
      <c r="B1669" s="2" t="str">
        <f>"14200013300"</f>
        <v>14200013300</v>
      </c>
      <c r="C1669" s="2" t="s">
        <v>6163</v>
      </c>
      <c r="D1669" t="s">
        <v>29</v>
      </c>
      <c r="E1669" s="2" t="s">
        <v>30</v>
      </c>
      <c r="F1669" s="2">
        <v>37221</v>
      </c>
      <c r="G1669" s="2" t="s">
        <v>200</v>
      </c>
      <c r="H1669" t="s">
        <v>6164</v>
      </c>
      <c r="I1669" s="6">
        <v>27395</v>
      </c>
      <c r="J1669" s="2" t="s">
        <v>6165</v>
      </c>
      <c r="K1669" s="2" t="s">
        <v>34</v>
      </c>
      <c r="L1669" t="s">
        <v>35</v>
      </c>
      <c r="M1669" t="s">
        <v>29</v>
      </c>
      <c r="N1669" t="s">
        <v>30</v>
      </c>
      <c r="O1669">
        <v>37219</v>
      </c>
      <c r="P1669" t="s">
        <v>6166</v>
      </c>
      <c r="Q1669" s="2">
        <v>2.17</v>
      </c>
      <c r="R1669" s="2">
        <v>392</v>
      </c>
      <c r="S1669" s="2">
        <v>255</v>
      </c>
      <c r="T1669" t="s">
        <v>278</v>
      </c>
      <c r="U1669" s="6">
        <v>32913</v>
      </c>
      <c r="V1669" s="2">
        <v>47037018405</v>
      </c>
      <c r="W1669" s="2" t="s">
        <v>38</v>
      </c>
      <c r="X1669" s="1">
        <v>45658</v>
      </c>
      <c r="Y1669" s="2">
        <v>348000</v>
      </c>
      <c r="Z1669" s="2">
        <v>0</v>
      </c>
      <c r="AA1669" s="2">
        <v>348000</v>
      </c>
    </row>
    <row r="1670" spans="1:27" x14ac:dyDescent="0.3">
      <c r="A1670" s="3">
        <v>22</v>
      </c>
      <c r="B1670" s="2" t="str">
        <f>"14200013100"</f>
        <v>14200013100</v>
      </c>
      <c r="C1670" s="2" t="s">
        <v>6163</v>
      </c>
      <c r="D1670" t="s">
        <v>29</v>
      </c>
      <c r="E1670" s="2" t="s">
        <v>30</v>
      </c>
      <c r="F1670" s="2">
        <v>37221</v>
      </c>
      <c r="G1670" s="2" t="s">
        <v>200</v>
      </c>
      <c r="H1670" t="s">
        <v>6164</v>
      </c>
      <c r="I1670" s="6">
        <v>27395</v>
      </c>
      <c r="J1670" s="2" t="s">
        <v>6167</v>
      </c>
      <c r="K1670" s="2" t="s">
        <v>34</v>
      </c>
      <c r="L1670" t="s">
        <v>35</v>
      </c>
      <c r="M1670" t="s">
        <v>29</v>
      </c>
      <c r="N1670" t="s">
        <v>30</v>
      </c>
      <c r="O1670">
        <v>37219</v>
      </c>
      <c r="P1670" t="s">
        <v>6168</v>
      </c>
      <c r="Q1670" s="2">
        <v>0.53</v>
      </c>
      <c r="R1670" s="2">
        <v>140</v>
      </c>
      <c r="S1670" s="2">
        <v>315</v>
      </c>
      <c r="T1670" t="s">
        <v>6169</v>
      </c>
      <c r="U1670" s="6">
        <v>30049</v>
      </c>
      <c r="V1670" s="2">
        <v>47037018405</v>
      </c>
      <c r="W1670" s="2" t="s">
        <v>38</v>
      </c>
      <c r="X1670" s="1">
        <v>45658</v>
      </c>
      <c r="Y1670" s="2">
        <v>174000</v>
      </c>
      <c r="Z1670" s="2">
        <v>0</v>
      </c>
      <c r="AA1670" s="2">
        <v>174000</v>
      </c>
    </row>
    <row r="1671" spans="1:27" x14ac:dyDescent="0.3">
      <c r="A1671" s="3">
        <v>22</v>
      </c>
      <c r="B1671" s="2" t="str">
        <f>"15601000100"</f>
        <v>15601000100</v>
      </c>
      <c r="C1671" s="2" t="s">
        <v>6170</v>
      </c>
      <c r="D1671" t="s">
        <v>29</v>
      </c>
      <c r="E1671" s="2" t="s">
        <v>30</v>
      </c>
      <c r="F1671" s="2">
        <v>37221</v>
      </c>
      <c r="G1671" s="2" t="s">
        <v>64</v>
      </c>
      <c r="H1671" t="s">
        <v>211</v>
      </c>
      <c r="I1671" s="6">
        <v>41704</v>
      </c>
      <c r="J1671" s="2" t="s">
        <v>6171</v>
      </c>
      <c r="K1671" s="2">
        <v>0</v>
      </c>
      <c r="L1671" t="s">
        <v>35</v>
      </c>
      <c r="M1671" t="s">
        <v>29</v>
      </c>
      <c r="N1671" t="s">
        <v>30</v>
      </c>
      <c r="O1671">
        <v>37219</v>
      </c>
      <c r="P1671" t="s">
        <v>6172</v>
      </c>
      <c r="Q1671" s="2">
        <v>0.48</v>
      </c>
      <c r="R1671" s="2">
        <v>60</v>
      </c>
      <c r="S1671" s="2">
        <v>330</v>
      </c>
      <c r="T1671" t="s">
        <v>6173</v>
      </c>
      <c r="U1671" s="6">
        <v>30589</v>
      </c>
      <c r="V1671" s="2">
        <v>47037018405</v>
      </c>
      <c r="W1671" s="2" t="s">
        <v>38</v>
      </c>
      <c r="X1671" s="1">
        <v>45658</v>
      </c>
      <c r="Y1671" s="2">
        <v>82000</v>
      </c>
      <c r="Z1671" s="2">
        <v>0</v>
      </c>
      <c r="AA1671" s="2">
        <v>82000</v>
      </c>
    </row>
    <row r="1672" spans="1:27" x14ac:dyDescent="0.3">
      <c r="A1672" s="3">
        <v>22</v>
      </c>
      <c r="B1672" s="2" t="str">
        <f>"12810004600"</f>
        <v>12810004600</v>
      </c>
      <c r="C1672" s="2" t="s">
        <v>6174</v>
      </c>
      <c r="D1672" t="s">
        <v>29</v>
      </c>
      <c r="E1672" s="2" t="s">
        <v>30</v>
      </c>
      <c r="F1672" s="2">
        <v>37221</v>
      </c>
      <c r="G1672" s="2" t="s">
        <v>64</v>
      </c>
      <c r="H1672" t="s">
        <v>1332</v>
      </c>
      <c r="I1672" s="6">
        <v>33721</v>
      </c>
      <c r="J1672" s="2" t="s">
        <v>6175</v>
      </c>
      <c r="K1672" s="2" t="s">
        <v>34</v>
      </c>
      <c r="L1672" t="s">
        <v>35</v>
      </c>
      <c r="M1672" t="s">
        <v>29</v>
      </c>
      <c r="N1672" t="s">
        <v>30</v>
      </c>
      <c r="O1672">
        <v>37219</v>
      </c>
      <c r="P1672" t="s">
        <v>6176</v>
      </c>
      <c r="Q1672" s="2">
        <v>0.18</v>
      </c>
      <c r="R1672" s="2">
        <v>140</v>
      </c>
      <c r="S1672" s="2">
        <v>194</v>
      </c>
      <c r="T1672" t="s">
        <v>6177</v>
      </c>
      <c r="U1672" s="6">
        <v>36557</v>
      </c>
      <c r="V1672" s="2">
        <v>47037018401</v>
      </c>
      <c r="W1672" s="2" t="s">
        <v>38</v>
      </c>
      <c r="X1672" s="1">
        <v>45658</v>
      </c>
      <c r="Y1672" s="2">
        <v>83500</v>
      </c>
      <c r="Z1672" s="2">
        <v>0</v>
      </c>
      <c r="AA1672" s="2">
        <v>83500</v>
      </c>
    </row>
    <row r="1673" spans="1:27" x14ac:dyDescent="0.3">
      <c r="A1673" s="3">
        <v>22</v>
      </c>
      <c r="B1673" s="2" t="str">
        <f>"14200004300"</f>
        <v>14200004300</v>
      </c>
      <c r="C1673" s="2" t="s">
        <v>6178</v>
      </c>
      <c r="D1673" t="s">
        <v>29</v>
      </c>
      <c r="E1673" s="2" t="s">
        <v>30</v>
      </c>
      <c r="F1673" s="2">
        <v>37221</v>
      </c>
      <c r="G1673" s="2" t="s">
        <v>253</v>
      </c>
      <c r="H1673" t="s">
        <v>6179</v>
      </c>
      <c r="I1673" s="6">
        <v>21328</v>
      </c>
      <c r="J1673" s="2" t="s">
        <v>6180</v>
      </c>
      <c r="K1673" s="2" t="s">
        <v>34</v>
      </c>
      <c r="L1673" t="s">
        <v>35</v>
      </c>
      <c r="M1673" t="s">
        <v>29</v>
      </c>
      <c r="N1673" t="s">
        <v>30</v>
      </c>
      <c r="O1673">
        <v>37219</v>
      </c>
      <c r="P1673" t="s">
        <v>6181</v>
      </c>
      <c r="Q1673" s="2">
        <v>18.12</v>
      </c>
      <c r="R1673" s="2">
        <v>0</v>
      </c>
      <c r="S1673" s="2">
        <v>0</v>
      </c>
      <c r="T1673" t="s">
        <v>6182</v>
      </c>
      <c r="U1673" s="6">
        <v>27926</v>
      </c>
      <c r="V1673" s="2">
        <v>47037018410</v>
      </c>
      <c r="W1673" s="2" t="s">
        <v>38</v>
      </c>
      <c r="X1673" s="1">
        <v>45658</v>
      </c>
      <c r="Y1673" s="2">
        <v>464400</v>
      </c>
      <c r="Z1673" s="2">
        <v>0</v>
      </c>
      <c r="AA1673" s="2">
        <v>464400</v>
      </c>
    </row>
    <row r="1674" spans="1:27" x14ac:dyDescent="0.3">
      <c r="A1674" s="3">
        <v>22</v>
      </c>
      <c r="B1674" s="2" t="str">
        <f>"14200004201"</f>
        <v>14200004201</v>
      </c>
      <c r="C1674" s="2" t="s">
        <v>6183</v>
      </c>
      <c r="D1674" t="s">
        <v>29</v>
      </c>
      <c r="E1674" s="2" t="s">
        <v>30</v>
      </c>
      <c r="F1674" s="2">
        <v>37221</v>
      </c>
      <c r="G1674" s="2" t="s">
        <v>253</v>
      </c>
      <c r="H1674" t="s">
        <v>6179</v>
      </c>
      <c r="I1674" s="6">
        <v>23133</v>
      </c>
      <c r="J1674" s="2" t="s">
        <v>6184</v>
      </c>
      <c r="K1674" s="2" t="s">
        <v>34</v>
      </c>
      <c r="L1674" t="s">
        <v>35</v>
      </c>
      <c r="M1674" t="s">
        <v>29</v>
      </c>
      <c r="N1674" t="s">
        <v>30</v>
      </c>
      <c r="O1674">
        <v>37219</v>
      </c>
      <c r="P1674" t="s">
        <v>6185</v>
      </c>
      <c r="Q1674" s="2">
        <v>20.32</v>
      </c>
      <c r="R1674" s="2">
        <v>737</v>
      </c>
      <c r="S1674" s="2">
        <v>0</v>
      </c>
      <c r="T1674" t="s">
        <v>6186</v>
      </c>
      <c r="U1674" s="6">
        <v>41654</v>
      </c>
      <c r="V1674" s="2">
        <v>47037018410</v>
      </c>
      <c r="W1674" s="2" t="s">
        <v>38</v>
      </c>
      <c r="X1674" s="1">
        <v>45658</v>
      </c>
      <c r="Y1674" s="2">
        <v>619200</v>
      </c>
      <c r="Z1674" s="2">
        <v>0</v>
      </c>
      <c r="AA1674" s="2">
        <v>619200</v>
      </c>
    </row>
    <row r="1675" spans="1:27" x14ac:dyDescent="0.3">
      <c r="A1675" s="3">
        <v>22</v>
      </c>
      <c r="B1675" s="2" t="str">
        <f>"14200037500"</f>
        <v>14200037500</v>
      </c>
      <c r="C1675" s="2" t="s">
        <v>6187</v>
      </c>
      <c r="D1675" t="s">
        <v>29</v>
      </c>
      <c r="E1675" s="2" t="s">
        <v>30</v>
      </c>
      <c r="F1675" s="2">
        <v>37221</v>
      </c>
      <c r="G1675" s="2" t="s">
        <v>64</v>
      </c>
      <c r="H1675" t="s">
        <v>6179</v>
      </c>
      <c r="I1675" s="6">
        <v>23133</v>
      </c>
      <c r="J1675" s="2" t="s">
        <v>6184</v>
      </c>
      <c r="K1675" s="2">
        <v>0</v>
      </c>
      <c r="L1675" t="s">
        <v>35</v>
      </c>
      <c r="M1675" t="s">
        <v>29</v>
      </c>
      <c r="N1675" t="s">
        <v>30</v>
      </c>
      <c r="O1675">
        <v>37219</v>
      </c>
      <c r="P1675" t="s">
        <v>6188</v>
      </c>
      <c r="Q1675" s="2">
        <v>4</v>
      </c>
      <c r="R1675" s="2">
        <v>550</v>
      </c>
      <c r="S1675" s="2">
        <v>317</v>
      </c>
      <c r="T1675" t="s">
        <v>6189</v>
      </c>
      <c r="U1675" s="6">
        <v>41676</v>
      </c>
      <c r="V1675" s="2">
        <v>47037018410</v>
      </c>
      <c r="W1675" s="2" t="s">
        <v>38</v>
      </c>
      <c r="X1675" s="1">
        <v>45658</v>
      </c>
      <c r="Y1675" s="2">
        <v>141900</v>
      </c>
      <c r="Z1675" s="2">
        <v>0</v>
      </c>
      <c r="AA1675" s="2">
        <v>141900</v>
      </c>
    </row>
    <row r="1676" spans="1:27" x14ac:dyDescent="0.3">
      <c r="A1676" s="3">
        <v>22</v>
      </c>
      <c r="B1676" s="2" t="str">
        <f>"14100000400"</f>
        <v>14100000400</v>
      </c>
      <c r="C1676" s="2" t="s">
        <v>6190</v>
      </c>
      <c r="D1676" t="s">
        <v>29</v>
      </c>
      <c r="E1676" s="2" t="s">
        <v>30</v>
      </c>
      <c r="F1676" s="2">
        <v>37221</v>
      </c>
      <c r="G1676" s="2" t="s">
        <v>1949</v>
      </c>
      <c r="H1676" t="s">
        <v>996</v>
      </c>
      <c r="I1676" s="6">
        <v>42936</v>
      </c>
      <c r="J1676" s="2" t="s">
        <v>6191</v>
      </c>
      <c r="K1676" s="2">
        <v>0</v>
      </c>
      <c r="L1676" t="s">
        <v>35</v>
      </c>
      <c r="M1676" t="s">
        <v>29</v>
      </c>
      <c r="N1676" t="s">
        <v>30</v>
      </c>
      <c r="O1676">
        <v>37219</v>
      </c>
      <c r="P1676" t="s">
        <v>6192</v>
      </c>
      <c r="Q1676" s="2">
        <v>273.33999999999997</v>
      </c>
      <c r="R1676" s="2">
        <v>0</v>
      </c>
      <c r="S1676" s="2">
        <v>0</v>
      </c>
      <c r="T1676" t="s">
        <v>6193</v>
      </c>
      <c r="U1676" s="6">
        <v>36389</v>
      </c>
      <c r="V1676" s="2">
        <v>47037018301</v>
      </c>
      <c r="W1676" s="2" t="s">
        <v>38</v>
      </c>
      <c r="X1676" s="1">
        <v>45658</v>
      </c>
      <c r="Y1676" s="2">
        <v>9844100</v>
      </c>
      <c r="Z1676" s="2">
        <v>7110700</v>
      </c>
      <c r="AA1676" s="2">
        <v>2733400</v>
      </c>
    </row>
    <row r="1677" spans="1:27" x14ac:dyDescent="0.3">
      <c r="A1677" s="3">
        <v>22</v>
      </c>
      <c r="B1677" s="2" t="str">
        <f>"12800007100"</f>
        <v>12800007100</v>
      </c>
      <c r="C1677" s="2" t="s">
        <v>28</v>
      </c>
      <c r="D1677" t="s">
        <v>29</v>
      </c>
      <c r="E1677" s="2" t="s">
        <v>30</v>
      </c>
      <c r="F1677" s="2">
        <v>37221</v>
      </c>
      <c r="G1677" s="2" t="s">
        <v>64</v>
      </c>
      <c r="H1677" t="s">
        <v>3833</v>
      </c>
      <c r="I1677" s="6">
        <v>44176</v>
      </c>
      <c r="J1677" s="2" t="s">
        <v>6194</v>
      </c>
      <c r="K1677" s="2">
        <v>0</v>
      </c>
      <c r="L1677" t="s">
        <v>35</v>
      </c>
      <c r="M1677" t="s">
        <v>29</v>
      </c>
      <c r="N1677" t="s">
        <v>30</v>
      </c>
      <c r="O1677">
        <v>37219</v>
      </c>
      <c r="P1677" t="s">
        <v>6195</v>
      </c>
      <c r="Q1677" s="2">
        <v>7.47</v>
      </c>
      <c r="R1677" s="2">
        <v>0</v>
      </c>
      <c r="S1677" s="2">
        <v>0</v>
      </c>
      <c r="T1677" t="s">
        <v>6196</v>
      </c>
      <c r="U1677" s="6">
        <v>39087</v>
      </c>
      <c r="V1677" s="2">
        <v>47037018401</v>
      </c>
      <c r="W1677" s="2" t="s">
        <v>68</v>
      </c>
      <c r="X1677" s="1">
        <v>45658</v>
      </c>
      <c r="Y1677" s="2">
        <v>59400</v>
      </c>
      <c r="Z1677" s="2">
        <v>0</v>
      </c>
      <c r="AA1677" s="2">
        <v>59400</v>
      </c>
    </row>
    <row r="1678" spans="1:27" x14ac:dyDescent="0.3">
      <c r="A1678" s="3">
        <v>23</v>
      </c>
      <c r="B1678" s="2" t="str">
        <f>"12905000500"</f>
        <v>12905000500</v>
      </c>
      <c r="C1678" s="2" t="s">
        <v>6197</v>
      </c>
      <c r="D1678" t="s">
        <v>29</v>
      </c>
      <c r="E1678" s="2" t="s">
        <v>30</v>
      </c>
      <c r="F1678" s="2">
        <v>37205</v>
      </c>
      <c r="G1678" s="2" t="s">
        <v>64</v>
      </c>
      <c r="H1678" t="s">
        <v>32</v>
      </c>
      <c r="I1678" s="6">
        <v>42164</v>
      </c>
      <c r="J1678" s="2" t="s">
        <v>6198</v>
      </c>
      <c r="K1678" s="2">
        <v>0</v>
      </c>
      <c r="L1678" t="s">
        <v>35</v>
      </c>
      <c r="M1678" t="s">
        <v>29</v>
      </c>
      <c r="N1678" t="s">
        <v>30</v>
      </c>
      <c r="O1678">
        <v>37219</v>
      </c>
      <c r="P1678" t="s">
        <v>6199</v>
      </c>
      <c r="Q1678" s="2">
        <v>3.81</v>
      </c>
      <c r="R1678" s="2">
        <v>165</v>
      </c>
      <c r="S1678" s="2">
        <v>335</v>
      </c>
      <c r="T1678" t="s">
        <v>278</v>
      </c>
      <c r="U1678" s="6">
        <v>29381</v>
      </c>
      <c r="V1678" s="2">
        <v>47037018202</v>
      </c>
      <c r="W1678" s="2" t="s">
        <v>68</v>
      </c>
      <c r="X1678" s="1">
        <v>45658</v>
      </c>
      <c r="Y1678" s="2">
        <v>810000</v>
      </c>
      <c r="Z1678" s="2">
        <v>0</v>
      </c>
      <c r="AA1678" s="2">
        <v>810000</v>
      </c>
    </row>
    <row r="1679" spans="1:27" x14ac:dyDescent="0.3">
      <c r="A1679" s="3">
        <v>23</v>
      </c>
      <c r="B1679" s="2" t="str">
        <f>"11513006300"</f>
        <v>11513006300</v>
      </c>
      <c r="C1679" s="2" t="s">
        <v>6200</v>
      </c>
      <c r="D1679" t="s">
        <v>29</v>
      </c>
      <c r="E1679" s="2" t="s">
        <v>30</v>
      </c>
      <c r="F1679" s="2">
        <v>37205</v>
      </c>
      <c r="G1679" s="2" t="s">
        <v>64</v>
      </c>
      <c r="H1679" t="s">
        <v>32</v>
      </c>
      <c r="I1679" s="6">
        <v>41304</v>
      </c>
      <c r="J1679" s="2" t="s">
        <v>6201</v>
      </c>
      <c r="K1679" s="2">
        <v>0</v>
      </c>
      <c r="L1679" t="s">
        <v>35</v>
      </c>
      <c r="M1679" t="s">
        <v>29</v>
      </c>
      <c r="N1679" t="s">
        <v>30</v>
      </c>
      <c r="O1679">
        <v>37219</v>
      </c>
      <c r="P1679" t="s">
        <v>6202</v>
      </c>
      <c r="Q1679" s="2">
        <v>0.94</v>
      </c>
      <c r="R1679" s="2">
        <v>156</v>
      </c>
      <c r="S1679" s="2">
        <v>284</v>
      </c>
      <c r="T1679" t="s">
        <v>6201</v>
      </c>
      <c r="U1679" s="6">
        <v>41304</v>
      </c>
      <c r="V1679" s="2">
        <v>47037018202</v>
      </c>
      <c r="W1679" s="2" t="s">
        <v>68</v>
      </c>
      <c r="X1679" s="1">
        <v>45658</v>
      </c>
      <c r="Y1679" s="2">
        <v>475000</v>
      </c>
      <c r="Z1679" s="2">
        <v>0</v>
      </c>
      <c r="AA1679" s="2">
        <v>475000</v>
      </c>
    </row>
    <row r="1680" spans="1:27" x14ac:dyDescent="0.3">
      <c r="A1680" s="3">
        <v>23</v>
      </c>
      <c r="B1680" s="2" t="str">
        <f>"11507003700"</f>
        <v>11507003700</v>
      </c>
      <c r="C1680" s="2" t="s">
        <v>6203</v>
      </c>
      <c r="D1680" t="s">
        <v>29</v>
      </c>
      <c r="E1680" s="2" t="s">
        <v>30</v>
      </c>
      <c r="F1680" s="2">
        <v>37205</v>
      </c>
      <c r="G1680" s="2" t="s">
        <v>147</v>
      </c>
      <c r="H1680" t="s">
        <v>6204</v>
      </c>
      <c r="I1680" s="6">
        <v>28397</v>
      </c>
      <c r="J1680" s="2" t="s">
        <v>6205</v>
      </c>
      <c r="K1680" s="2">
        <v>62500</v>
      </c>
      <c r="L1680" t="s">
        <v>35</v>
      </c>
      <c r="M1680" t="s">
        <v>29</v>
      </c>
      <c r="N1680" t="s">
        <v>30</v>
      </c>
      <c r="O1680">
        <v>37219</v>
      </c>
      <c r="P1680" t="s">
        <v>6206</v>
      </c>
      <c r="Q1680" s="2">
        <v>0.93</v>
      </c>
      <c r="R1680" s="2">
        <v>179</v>
      </c>
      <c r="S1680" s="2">
        <v>202</v>
      </c>
      <c r="T1680" t="s">
        <v>6207</v>
      </c>
      <c r="U1680" s="6">
        <v>26765</v>
      </c>
      <c r="V1680" s="2">
        <v>47037018102</v>
      </c>
      <c r="W1680" s="2" t="s">
        <v>68</v>
      </c>
      <c r="X1680" s="1">
        <v>45658</v>
      </c>
      <c r="Y1680" s="2">
        <v>600000</v>
      </c>
      <c r="Z1680" s="2">
        <v>0</v>
      </c>
      <c r="AA1680" s="2">
        <v>600000</v>
      </c>
    </row>
    <row r="1681" spans="1:27" x14ac:dyDescent="0.3">
      <c r="A1681" s="3">
        <v>23</v>
      </c>
      <c r="B1681" s="2" t="str">
        <f>"10211005700"</f>
        <v>10211005700</v>
      </c>
      <c r="C1681" s="2" t="s">
        <v>6208</v>
      </c>
      <c r="D1681" t="s">
        <v>29</v>
      </c>
      <c r="E1681" s="2" t="s">
        <v>30</v>
      </c>
      <c r="F1681" s="2">
        <v>37205</v>
      </c>
      <c r="G1681" s="2" t="s">
        <v>152</v>
      </c>
      <c r="H1681" t="s">
        <v>176</v>
      </c>
      <c r="I1681" s="6">
        <v>20155</v>
      </c>
      <c r="J1681" s="2" t="s">
        <v>6209</v>
      </c>
      <c r="K1681" s="2" t="s">
        <v>34</v>
      </c>
      <c r="L1681" t="s">
        <v>178</v>
      </c>
      <c r="M1681" t="s">
        <v>29</v>
      </c>
      <c r="N1681" t="s">
        <v>30</v>
      </c>
      <c r="O1681">
        <v>37246</v>
      </c>
      <c r="P1681" t="s">
        <v>6210</v>
      </c>
      <c r="Q1681" s="2">
        <v>0.18</v>
      </c>
      <c r="R1681" s="2">
        <v>151</v>
      </c>
      <c r="S1681" s="2">
        <v>135</v>
      </c>
      <c r="T1681" t="s">
        <v>6209</v>
      </c>
      <c r="U1681" s="6">
        <v>20155</v>
      </c>
      <c r="V1681" s="2">
        <v>47037018201</v>
      </c>
      <c r="W1681" s="2" t="s">
        <v>68</v>
      </c>
      <c r="X1681" s="1">
        <v>45658</v>
      </c>
      <c r="Y1681" s="2">
        <v>500000</v>
      </c>
      <c r="Z1681" s="2">
        <v>0</v>
      </c>
      <c r="AA1681" s="2">
        <v>500000</v>
      </c>
    </row>
    <row r="1682" spans="1:27" x14ac:dyDescent="0.3">
      <c r="A1682" s="3">
        <v>23</v>
      </c>
      <c r="B1682" s="2" t="str">
        <f>"11502002800"</f>
        <v>11502002800</v>
      </c>
      <c r="C1682" s="2" t="s">
        <v>6211</v>
      </c>
      <c r="D1682" t="s">
        <v>29</v>
      </c>
      <c r="E1682" s="2" t="s">
        <v>30</v>
      </c>
      <c r="F1682" s="2">
        <v>37205</v>
      </c>
      <c r="G1682" s="2" t="s">
        <v>152</v>
      </c>
      <c r="H1682" t="s">
        <v>176</v>
      </c>
      <c r="I1682" s="6">
        <v>20795</v>
      </c>
      <c r="J1682" s="2" t="s">
        <v>6212</v>
      </c>
      <c r="K1682" s="2" t="s">
        <v>34</v>
      </c>
      <c r="L1682" t="s">
        <v>178</v>
      </c>
      <c r="M1682" t="s">
        <v>29</v>
      </c>
      <c r="N1682" t="s">
        <v>30</v>
      </c>
      <c r="O1682">
        <v>37246</v>
      </c>
      <c r="P1682" t="s">
        <v>6213</v>
      </c>
      <c r="Q1682" s="2">
        <v>0.95</v>
      </c>
      <c r="R1682" s="2">
        <v>232</v>
      </c>
      <c r="S1682" s="2">
        <v>203</v>
      </c>
      <c r="T1682" t="s">
        <v>6212</v>
      </c>
      <c r="U1682" s="6">
        <v>20795</v>
      </c>
      <c r="V1682" s="2">
        <v>47037018201</v>
      </c>
      <c r="W1682" s="2" t="s">
        <v>68</v>
      </c>
      <c r="X1682" s="1">
        <v>45658</v>
      </c>
      <c r="Y1682" s="2">
        <v>475000</v>
      </c>
      <c r="Z1682" s="2">
        <v>0</v>
      </c>
      <c r="AA1682" s="2">
        <v>475000</v>
      </c>
    </row>
    <row r="1683" spans="1:27" x14ac:dyDescent="0.3">
      <c r="A1683" s="3">
        <v>23</v>
      </c>
      <c r="B1683" s="2" t="str">
        <f>"11505003700"</f>
        <v>11505003700</v>
      </c>
      <c r="C1683" s="2" t="s">
        <v>6214</v>
      </c>
      <c r="D1683" t="s">
        <v>29</v>
      </c>
      <c r="E1683" s="2" t="s">
        <v>30</v>
      </c>
      <c r="F1683" s="2">
        <v>37205</v>
      </c>
      <c r="G1683" s="2" t="s">
        <v>152</v>
      </c>
      <c r="H1683" t="s">
        <v>176</v>
      </c>
      <c r="I1683" s="6">
        <v>21033</v>
      </c>
      <c r="J1683" s="2" t="s">
        <v>6215</v>
      </c>
      <c r="K1683" s="2" t="s">
        <v>34</v>
      </c>
      <c r="L1683" t="s">
        <v>178</v>
      </c>
      <c r="M1683" t="s">
        <v>29</v>
      </c>
      <c r="N1683" t="s">
        <v>30</v>
      </c>
      <c r="O1683">
        <v>37246</v>
      </c>
      <c r="P1683" t="s">
        <v>6216</v>
      </c>
      <c r="Q1683" s="2">
        <v>4.59</v>
      </c>
      <c r="R1683" s="2">
        <v>0</v>
      </c>
      <c r="S1683" s="2">
        <v>0</v>
      </c>
      <c r="T1683" t="s">
        <v>6215</v>
      </c>
      <c r="U1683" s="6">
        <v>21033</v>
      </c>
      <c r="V1683" s="2">
        <v>47037018202</v>
      </c>
      <c r="W1683" s="2" t="s">
        <v>68</v>
      </c>
      <c r="X1683" s="1">
        <v>45658</v>
      </c>
      <c r="Y1683" s="2">
        <v>617500</v>
      </c>
      <c r="Z1683" s="2">
        <v>0</v>
      </c>
      <c r="AA1683" s="2">
        <v>617500</v>
      </c>
    </row>
    <row r="1684" spans="1:27" x14ac:dyDescent="0.3">
      <c r="A1684" s="3">
        <v>23</v>
      </c>
      <c r="B1684" s="2" t="str">
        <f>"11507001400"</f>
        <v>11507001400</v>
      </c>
      <c r="C1684" s="2" t="s">
        <v>6217</v>
      </c>
      <c r="D1684" t="s">
        <v>29</v>
      </c>
      <c r="E1684" s="2" t="s">
        <v>30</v>
      </c>
      <c r="F1684" s="2">
        <v>37205</v>
      </c>
      <c r="G1684" s="2" t="s">
        <v>152</v>
      </c>
      <c r="H1684" t="s">
        <v>176</v>
      </c>
      <c r="I1684" s="6">
        <v>20377</v>
      </c>
      <c r="J1684" s="2" t="s">
        <v>6218</v>
      </c>
      <c r="K1684" s="2" t="s">
        <v>34</v>
      </c>
      <c r="L1684" t="s">
        <v>178</v>
      </c>
      <c r="M1684" t="s">
        <v>29</v>
      </c>
      <c r="N1684" t="s">
        <v>30</v>
      </c>
      <c r="O1684">
        <v>37246</v>
      </c>
      <c r="P1684" t="s">
        <v>6219</v>
      </c>
      <c r="Q1684" s="2">
        <v>0.97</v>
      </c>
      <c r="R1684" s="2">
        <v>144</v>
      </c>
      <c r="S1684" s="2">
        <v>354</v>
      </c>
      <c r="T1684" t="s">
        <v>6218</v>
      </c>
      <c r="U1684" s="6">
        <v>20377</v>
      </c>
      <c r="V1684" s="2">
        <v>47037018201</v>
      </c>
      <c r="W1684" s="2" t="s">
        <v>68</v>
      </c>
      <c r="X1684" s="1">
        <v>45658</v>
      </c>
      <c r="Y1684" s="2">
        <v>600000</v>
      </c>
      <c r="Z1684" s="2">
        <v>0</v>
      </c>
      <c r="AA1684" s="2">
        <v>600000</v>
      </c>
    </row>
    <row r="1685" spans="1:27" x14ac:dyDescent="0.3">
      <c r="A1685" s="3">
        <v>23</v>
      </c>
      <c r="B1685" s="2" t="str">
        <f>"11610002600"</f>
        <v>11610002600</v>
      </c>
      <c r="C1685" s="2" t="s">
        <v>6220</v>
      </c>
      <c r="D1685" t="s">
        <v>29</v>
      </c>
      <c r="E1685" s="2" t="s">
        <v>30</v>
      </c>
      <c r="F1685" s="2">
        <v>37205</v>
      </c>
      <c r="G1685" s="2" t="s">
        <v>152</v>
      </c>
      <c r="H1685" t="s">
        <v>176</v>
      </c>
      <c r="I1685" s="6">
        <v>14472</v>
      </c>
      <c r="J1685" s="2" t="s">
        <v>1267</v>
      </c>
      <c r="K1685" s="2" t="s">
        <v>34</v>
      </c>
      <c r="L1685" t="s">
        <v>178</v>
      </c>
      <c r="M1685" t="s">
        <v>29</v>
      </c>
      <c r="N1685" t="s">
        <v>30</v>
      </c>
      <c r="O1685">
        <v>37246</v>
      </c>
      <c r="P1685" t="s">
        <v>6221</v>
      </c>
      <c r="Q1685" s="2">
        <v>0.09</v>
      </c>
      <c r="R1685" s="2">
        <v>10</v>
      </c>
      <c r="S1685" s="2">
        <v>334</v>
      </c>
      <c r="T1685" t="s">
        <v>1267</v>
      </c>
      <c r="U1685" s="6">
        <v>14472</v>
      </c>
      <c r="V1685" s="2">
        <v>47037018500</v>
      </c>
      <c r="W1685" s="2" t="s">
        <v>6222</v>
      </c>
      <c r="X1685" s="1">
        <v>45658</v>
      </c>
      <c r="Y1685" s="2">
        <v>16200</v>
      </c>
      <c r="Z1685" s="2">
        <v>0</v>
      </c>
      <c r="AA1685" s="2">
        <v>16200</v>
      </c>
    </row>
    <row r="1686" spans="1:27" x14ac:dyDescent="0.3">
      <c r="A1686" s="3">
        <v>23</v>
      </c>
      <c r="B1686" s="2" t="str">
        <f>"13001004400"</f>
        <v>13001004400</v>
      </c>
      <c r="C1686" s="2" t="s">
        <v>6223</v>
      </c>
      <c r="D1686" t="s">
        <v>29</v>
      </c>
      <c r="E1686" s="2" t="s">
        <v>30</v>
      </c>
      <c r="F1686" s="2">
        <v>37205</v>
      </c>
      <c r="G1686" s="2" t="s">
        <v>41</v>
      </c>
      <c r="H1686" t="s">
        <v>176</v>
      </c>
      <c r="I1686" s="6">
        <v>18212</v>
      </c>
      <c r="J1686" s="2" t="s">
        <v>6224</v>
      </c>
      <c r="K1686" s="2" t="s">
        <v>34</v>
      </c>
      <c r="L1686" t="s">
        <v>178</v>
      </c>
      <c r="M1686" t="s">
        <v>29</v>
      </c>
      <c r="N1686" t="s">
        <v>30</v>
      </c>
      <c r="O1686">
        <v>37246</v>
      </c>
      <c r="P1686" t="s">
        <v>6225</v>
      </c>
      <c r="Q1686" s="2">
        <v>0.4</v>
      </c>
      <c r="R1686" s="2">
        <v>100</v>
      </c>
      <c r="S1686" s="2">
        <v>182</v>
      </c>
      <c r="T1686" t="s">
        <v>6224</v>
      </c>
      <c r="U1686" s="6">
        <v>18212</v>
      </c>
      <c r="V1686" s="2">
        <v>47037018500</v>
      </c>
      <c r="W1686" s="2" t="s">
        <v>68</v>
      </c>
      <c r="X1686" s="1">
        <v>45658</v>
      </c>
      <c r="Y1686" s="2">
        <v>836400</v>
      </c>
      <c r="Z1686" s="2">
        <v>0</v>
      </c>
      <c r="AA1686" s="2">
        <v>836400</v>
      </c>
    </row>
    <row r="1687" spans="1:27" x14ac:dyDescent="0.3">
      <c r="A1687" s="3">
        <v>23</v>
      </c>
      <c r="B1687" s="2" t="str">
        <f>"13007011700"</f>
        <v>13007011700</v>
      </c>
      <c r="C1687" s="2" t="s">
        <v>6226</v>
      </c>
      <c r="D1687" t="s">
        <v>29</v>
      </c>
      <c r="E1687" s="2" t="s">
        <v>30</v>
      </c>
      <c r="F1687" s="2">
        <v>37205</v>
      </c>
      <c r="G1687" s="2" t="s">
        <v>152</v>
      </c>
      <c r="H1687" t="s">
        <v>176</v>
      </c>
      <c r="I1687" s="6">
        <v>20320</v>
      </c>
      <c r="J1687" s="2" t="s">
        <v>6227</v>
      </c>
      <c r="K1687" s="2" t="s">
        <v>34</v>
      </c>
      <c r="L1687" t="s">
        <v>178</v>
      </c>
      <c r="M1687" t="s">
        <v>29</v>
      </c>
      <c r="N1687" t="s">
        <v>30</v>
      </c>
      <c r="O1687">
        <v>37246</v>
      </c>
      <c r="P1687" t="s">
        <v>6228</v>
      </c>
      <c r="Q1687" s="2">
        <v>1.03</v>
      </c>
      <c r="R1687" s="2">
        <v>378</v>
      </c>
      <c r="S1687" s="2">
        <v>135</v>
      </c>
      <c r="T1687" t="s">
        <v>6227</v>
      </c>
      <c r="U1687" s="6">
        <v>20320</v>
      </c>
      <c r="V1687" s="2">
        <v>47037018500</v>
      </c>
      <c r="W1687" s="2" t="s">
        <v>6222</v>
      </c>
      <c r="X1687" s="1">
        <v>45658</v>
      </c>
      <c r="Y1687" s="2">
        <v>736000</v>
      </c>
      <c r="Z1687" s="2">
        <v>0</v>
      </c>
      <c r="AA1687" s="2">
        <v>736000</v>
      </c>
    </row>
    <row r="1688" spans="1:27" x14ac:dyDescent="0.3">
      <c r="A1688" s="3">
        <v>23</v>
      </c>
      <c r="B1688" s="2" t="str">
        <f>"12911001800"</f>
        <v>12911001800</v>
      </c>
      <c r="C1688" s="2" t="s">
        <v>6229</v>
      </c>
      <c r="D1688" t="s">
        <v>29</v>
      </c>
      <c r="E1688" s="2" t="s">
        <v>30</v>
      </c>
      <c r="F1688" s="2">
        <v>37205</v>
      </c>
      <c r="G1688" s="2" t="s">
        <v>152</v>
      </c>
      <c r="H1688" t="s">
        <v>176</v>
      </c>
      <c r="I1688" s="6">
        <v>20771</v>
      </c>
      <c r="J1688" s="2" t="s">
        <v>6230</v>
      </c>
      <c r="K1688" s="2" t="s">
        <v>34</v>
      </c>
      <c r="L1688" t="s">
        <v>178</v>
      </c>
      <c r="M1688" t="s">
        <v>29</v>
      </c>
      <c r="N1688" t="s">
        <v>30</v>
      </c>
      <c r="O1688">
        <v>37246</v>
      </c>
      <c r="P1688" t="s">
        <v>6231</v>
      </c>
      <c r="Q1688" s="2">
        <v>1.1299999999999999</v>
      </c>
      <c r="R1688" s="2">
        <v>224</v>
      </c>
      <c r="S1688" s="2">
        <v>279</v>
      </c>
      <c r="T1688" t="s">
        <v>6230</v>
      </c>
      <c r="U1688" s="6">
        <v>20771</v>
      </c>
      <c r="V1688" s="2">
        <v>47037018201</v>
      </c>
      <c r="W1688" s="2" t="s">
        <v>68</v>
      </c>
      <c r="X1688" s="1">
        <v>45658</v>
      </c>
      <c r="Y1688" s="2">
        <v>660000</v>
      </c>
      <c r="Z1688" s="2">
        <v>0</v>
      </c>
      <c r="AA1688" s="2">
        <v>660000</v>
      </c>
    </row>
    <row r="1689" spans="1:27" x14ac:dyDescent="0.3">
      <c r="A1689" s="3">
        <v>23</v>
      </c>
      <c r="B1689" s="2" t="str">
        <f>"13013001900"</f>
        <v>13013001900</v>
      </c>
      <c r="C1689" s="2" t="s">
        <v>6232</v>
      </c>
      <c r="D1689" t="s">
        <v>29</v>
      </c>
      <c r="E1689" s="2" t="s">
        <v>30</v>
      </c>
      <c r="F1689" s="2">
        <v>37205</v>
      </c>
      <c r="G1689" s="2" t="s">
        <v>200</v>
      </c>
      <c r="H1689" t="s">
        <v>6164</v>
      </c>
      <c r="I1689" s="6">
        <v>16348</v>
      </c>
      <c r="J1689" s="2" t="s">
        <v>6233</v>
      </c>
      <c r="K1689" s="2" t="s">
        <v>34</v>
      </c>
      <c r="L1689" t="s">
        <v>35</v>
      </c>
      <c r="M1689" t="s">
        <v>29</v>
      </c>
      <c r="N1689" t="s">
        <v>30</v>
      </c>
      <c r="O1689">
        <v>37219</v>
      </c>
      <c r="P1689" t="s">
        <v>6234</v>
      </c>
      <c r="Q1689" s="2">
        <v>0.48</v>
      </c>
      <c r="R1689" s="2">
        <v>225</v>
      </c>
      <c r="S1689" s="2">
        <v>285</v>
      </c>
      <c r="T1689" t="s">
        <v>6235</v>
      </c>
      <c r="U1689" s="6">
        <v>16349</v>
      </c>
      <c r="V1689" s="2">
        <v>47037018500</v>
      </c>
      <c r="W1689" s="2" t="s">
        <v>6222</v>
      </c>
      <c r="X1689" s="1">
        <v>45658</v>
      </c>
      <c r="Y1689" s="2">
        <v>392200</v>
      </c>
      <c r="Z1689" s="2">
        <v>0</v>
      </c>
      <c r="AA1689" s="2">
        <v>392200</v>
      </c>
    </row>
    <row r="1690" spans="1:27" x14ac:dyDescent="0.3">
      <c r="A1690" s="3">
        <v>23</v>
      </c>
      <c r="B1690" s="2" t="str">
        <f>"13013003200"</f>
        <v>13013003200</v>
      </c>
      <c r="C1690" s="2" t="s">
        <v>6236</v>
      </c>
      <c r="D1690" t="s">
        <v>29</v>
      </c>
      <c r="E1690" s="2" t="s">
        <v>30</v>
      </c>
      <c r="F1690" s="2">
        <v>37205</v>
      </c>
      <c r="G1690" s="2" t="s">
        <v>200</v>
      </c>
      <c r="H1690" t="s">
        <v>6237</v>
      </c>
      <c r="I1690" s="6">
        <v>17090</v>
      </c>
      <c r="J1690" s="2" t="s">
        <v>6238</v>
      </c>
      <c r="K1690" s="2" t="s">
        <v>34</v>
      </c>
      <c r="L1690" t="s">
        <v>35</v>
      </c>
      <c r="M1690" t="s">
        <v>29</v>
      </c>
      <c r="N1690" t="s">
        <v>30</v>
      </c>
      <c r="O1690">
        <v>37219</v>
      </c>
      <c r="P1690" t="s">
        <v>6239</v>
      </c>
      <c r="Q1690" s="2">
        <v>2.08</v>
      </c>
      <c r="R1690" s="2">
        <v>268</v>
      </c>
      <c r="S1690" s="2">
        <v>401</v>
      </c>
      <c r="T1690" t="s">
        <v>6240</v>
      </c>
      <c r="U1690" s="6">
        <v>38042</v>
      </c>
      <c r="V1690" s="2">
        <v>47037018500</v>
      </c>
      <c r="W1690" s="2" t="s">
        <v>6222</v>
      </c>
      <c r="X1690" s="1">
        <v>45658</v>
      </c>
      <c r="Y1690" s="2">
        <v>2401200</v>
      </c>
      <c r="Z1690" s="2">
        <v>0</v>
      </c>
      <c r="AA1690" s="2">
        <v>2401200</v>
      </c>
    </row>
    <row r="1691" spans="1:27" x14ac:dyDescent="0.3">
      <c r="A1691" s="3">
        <v>23</v>
      </c>
      <c r="B1691" s="2" t="str">
        <f>"11605003000"</f>
        <v>11605003000</v>
      </c>
      <c r="C1691" s="2" t="s">
        <v>6241</v>
      </c>
      <c r="D1691" t="s">
        <v>29</v>
      </c>
      <c r="E1691" s="2" t="s">
        <v>30</v>
      </c>
      <c r="F1691" s="2">
        <v>37205</v>
      </c>
      <c r="G1691" s="2" t="s">
        <v>253</v>
      </c>
      <c r="H1691" t="s">
        <v>6242</v>
      </c>
      <c r="I1691" s="6">
        <v>25223</v>
      </c>
      <c r="J1691" s="2" t="s">
        <v>6243</v>
      </c>
      <c r="K1691" s="2" t="s">
        <v>34</v>
      </c>
      <c r="L1691" t="s">
        <v>35</v>
      </c>
      <c r="M1691" t="s">
        <v>29</v>
      </c>
      <c r="N1691" t="s">
        <v>30</v>
      </c>
      <c r="O1691">
        <v>37219</v>
      </c>
      <c r="P1691" t="s">
        <v>6244</v>
      </c>
      <c r="Q1691" s="2">
        <v>10.19</v>
      </c>
      <c r="R1691" s="2">
        <v>0</v>
      </c>
      <c r="S1691" s="2">
        <v>0</v>
      </c>
      <c r="T1691" t="s">
        <v>6243</v>
      </c>
      <c r="U1691" s="6">
        <v>25223</v>
      </c>
      <c r="V1691" s="2">
        <v>47037018102</v>
      </c>
      <c r="W1691" s="2" t="s">
        <v>68</v>
      </c>
      <c r="X1691" s="1">
        <v>45658</v>
      </c>
      <c r="Y1691" s="2">
        <v>2518500</v>
      </c>
      <c r="Z1691" s="2">
        <v>0</v>
      </c>
      <c r="AA1691" s="2">
        <v>2518500</v>
      </c>
    </row>
    <row r="1692" spans="1:27" x14ac:dyDescent="0.3">
      <c r="A1692" s="3">
        <v>23</v>
      </c>
      <c r="B1692" s="2" t="str">
        <f>"11614006400"</f>
        <v>11614006400</v>
      </c>
      <c r="C1692" s="2" t="s">
        <v>6245</v>
      </c>
      <c r="D1692" t="s">
        <v>29</v>
      </c>
      <c r="E1692" s="2" t="s">
        <v>30</v>
      </c>
      <c r="F1692" s="2">
        <v>37205</v>
      </c>
      <c r="G1692" s="2" t="s">
        <v>253</v>
      </c>
      <c r="H1692" t="s">
        <v>6246</v>
      </c>
      <c r="I1692" s="6">
        <v>18541</v>
      </c>
      <c r="J1692" s="2" t="s">
        <v>6247</v>
      </c>
      <c r="K1692" s="2" t="s">
        <v>34</v>
      </c>
      <c r="L1692" t="s">
        <v>35</v>
      </c>
      <c r="M1692" t="s">
        <v>29</v>
      </c>
      <c r="N1692" t="s">
        <v>30</v>
      </c>
      <c r="O1692">
        <v>37219</v>
      </c>
      <c r="P1692" t="s">
        <v>6248</v>
      </c>
      <c r="Q1692" s="2">
        <v>8.5399999999999991</v>
      </c>
      <c r="R1692" s="2">
        <v>0</v>
      </c>
      <c r="S1692" s="2">
        <v>0</v>
      </c>
      <c r="T1692" t="s">
        <v>6249</v>
      </c>
      <c r="U1692" s="6">
        <v>35262</v>
      </c>
      <c r="V1692" s="2">
        <v>47037018500</v>
      </c>
      <c r="W1692" s="2" t="s">
        <v>6222</v>
      </c>
      <c r="X1692" s="1">
        <v>45658</v>
      </c>
      <c r="Y1692" s="2">
        <v>4428300</v>
      </c>
      <c r="Z1692" s="2">
        <v>0</v>
      </c>
      <c r="AA1692" s="2">
        <v>4428300</v>
      </c>
    </row>
    <row r="1693" spans="1:27" x14ac:dyDescent="0.3">
      <c r="A1693" s="3">
        <v>23</v>
      </c>
      <c r="B1693" s="2" t="str">
        <f>"12911000100"</f>
        <v>12911000100</v>
      </c>
      <c r="C1693" s="2" t="s">
        <v>6250</v>
      </c>
      <c r="D1693" t="s">
        <v>29</v>
      </c>
      <c r="E1693" s="2" t="s">
        <v>30</v>
      </c>
      <c r="F1693" s="2">
        <v>37205</v>
      </c>
      <c r="G1693" s="2" t="s">
        <v>253</v>
      </c>
      <c r="H1693" t="s">
        <v>6251</v>
      </c>
      <c r="I1693" s="6">
        <v>21899</v>
      </c>
      <c r="J1693" s="2" t="s">
        <v>6252</v>
      </c>
      <c r="K1693" s="2" t="s">
        <v>34</v>
      </c>
      <c r="L1693" t="s">
        <v>35</v>
      </c>
      <c r="M1693" t="s">
        <v>29</v>
      </c>
      <c r="N1693" t="s">
        <v>30</v>
      </c>
      <c r="O1693">
        <v>37219</v>
      </c>
      <c r="P1693" t="s">
        <v>6253</v>
      </c>
      <c r="Q1693" s="2">
        <v>5.09</v>
      </c>
      <c r="R1693" s="2">
        <v>260</v>
      </c>
      <c r="S1693" s="2">
        <v>448</v>
      </c>
      <c r="T1693" t="s">
        <v>6252</v>
      </c>
      <c r="U1693" s="6">
        <v>21899</v>
      </c>
      <c r="V1693" s="2">
        <v>47037018202</v>
      </c>
      <c r="W1693" s="2" t="s">
        <v>68</v>
      </c>
      <c r="X1693" s="1">
        <v>45658</v>
      </c>
      <c r="Y1693" s="2">
        <v>966800</v>
      </c>
      <c r="Z1693" s="2">
        <v>0</v>
      </c>
      <c r="AA1693" s="2">
        <v>966800</v>
      </c>
    </row>
    <row r="1694" spans="1:27" x14ac:dyDescent="0.3">
      <c r="A1694" s="3">
        <v>23</v>
      </c>
      <c r="B1694" s="2" t="str">
        <f>"12911001100"</f>
        <v>12911001100</v>
      </c>
      <c r="C1694" s="2" t="s">
        <v>6254</v>
      </c>
      <c r="D1694" t="s">
        <v>29</v>
      </c>
      <c r="E1694" s="2" t="s">
        <v>30</v>
      </c>
      <c r="F1694" s="2">
        <v>37205</v>
      </c>
      <c r="G1694" s="2" t="s">
        <v>64</v>
      </c>
      <c r="H1694" t="s">
        <v>6251</v>
      </c>
      <c r="I1694" s="6">
        <v>21899</v>
      </c>
      <c r="J1694" s="2" t="s">
        <v>6252</v>
      </c>
      <c r="K1694" s="2" t="s">
        <v>34</v>
      </c>
      <c r="L1694" t="s">
        <v>35</v>
      </c>
      <c r="M1694" t="s">
        <v>29</v>
      </c>
      <c r="N1694" t="s">
        <v>30</v>
      </c>
      <c r="O1694">
        <v>37219</v>
      </c>
      <c r="P1694" t="s">
        <v>6255</v>
      </c>
      <c r="Q1694" s="2">
        <v>4.63</v>
      </c>
      <c r="R1694" s="2">
        <v>555</v>
      </c>
      <c r="S1694" s="2">
        <v>426</v>
      </c>
      <c r="T1694" t="s">
        <v>6252</v>
      </c>
      <c r="U1694" s="6">
        <v>21899</v>
      </c>
      <c r="V1694" s="2">
        <v>47037018201</v>
      </c>
      <c r="W1694" s="2" t="s">
        <v>68</v>
      </c>
      <c r="X1694" s="1">
        <v>45658</v>
      </c>
      <c r="Y1694" s="2">
        <v>957000</v>
      </c>
      <c r="Z1694" s="2">
        <v>0</v>
      </c>
      <c r="AA1694" s="2">
        <v>957000</v>
      </c>
    </row>
    <row r="1695" spans="1:27" x14ac:dyDescent="0.3">
      <c r="A1695" s="3">
        <v>23</v>
      </c>
      <c r="B1695" s="2" t="str">
        <f>"11506003700"</f>
        <v>11506003700</v>
      </c>
      <c r="C1695" s="2" t="s">
        <v>6256</v>
      </c>
      <c r="D1695" t="s">
        <v>29</v>
      </c>
      <c r="E1695" s="2" t="s">
        <v>30</v>
      </c>
      <c r="F1695" s="2">
        <v>37205</v>
      </c>
      <c r="G1695" s="2" t="s">
        <v>64</v>
      </c>
      <c r="H1695" t="s">
        <v>280</v>
      </c>
      <c r="I1695" s="6">
        <v>22915</v>
      </c>
      <c r="J1695" s="2" t="s">
        <v>6257</v>
      </c>
      <c r="K1695" s="2" t="s">
        <v>34</v>
      </c>
      <c r="L1695" t="s">
        <v>35</v>
      </c>
      <c r="M1695" t="s">
        <v>29</v>
      </c>
      <c r="N1695" t="s">
        <v>30</v>
      </c>
      <c r="O1695">
        <v>37219</v>
      </c>
      <c r="P1695" t="s">
        <v>6258</v>
      </c>
      <c r="Q1695" s="2">
        <v>1.1200000000000001</v>
      </c>
      <c r="R1695" s="2">
        <v>135</v>
      </c>
      <c r="S1695" s="2">
        <v>437</v>
      </c>
      <c r="T1695" t="s">
        <v>6257</v>
      </c>
      <c r="U1695" s="6">
        <v>22915</v>
      </c>
      <c r="V1695" s="2">
        <v>47037018201</v>
      </c>
      <c r="W1695" s="2" t="s">
        <v>68</v>
      </c>
      <c r="X1695" s="1">
        <v>45658</v>
      </c>
      <c r="Y1695" s="2">
        <v>700000</v>
      </c>
      <c r="Z1695" s="2">
        <v>0</v>
      </c>
      <c r="AA1695" s="2">
        <v>700000</v>
      </c>
    </row>
    <row r="1696" spans="1:27" x14ac:dyDescent="0.3">
      <c r="A1696" s="3">
        <v>23</v>
      </c>
      <c r="B1696" s="2" t="str">
        <f>"11506003800"</f>
        <v>11506003800</v>
      </c>
      <c r="C1696" s="2" t="s">
        <v>6259</v>
      </c>
      <c r="D1696" t="s">
        <v>29</v>
      </c>
      <c r="E1696" s="2" t="s">
        <v>30</v>
      </c>
      <c r="F1696" s="2">
        <v>37205</v>
      </c>
      <c r="G1696" s="2" t="s">
        <v>152</v>
      </c>
      <c r="H1696" t="s">
        <v>280</v>
      </c>
      <c r="I1696" s="6">
        <v>22915</v>
      </c>
      <c r="J1696" s="2" t="s">
        <v>6257</v>
      </c>
      <c r="K1696" s="2" t="s">
        <v>34</v>
      </c>
      <c r="L1696" t="s">
        <v>35</v>
      </c>
      <c r="M1696" t="s">
        <v>29</v>
      </c>
      <c r="N1696" t="s">
        <v>30</v>
      </c>
      <c r="O1696">
        <v>37219</v>
      </c>
      <c r="P1696" t="s">
        <v>6260</v>
      </c>
      <c r="Q1696" s="2">
        <v>1.1299999999999999</v>
      </c>
      <c r="R1696" s="2">
        <v>150</v>
      </c>
      <c r="S1696" s="2">
        <v>410</v>
      </c>
      <c r="T1696" t="s">
        <v>6257</v>
      </c>
      <c r="U1696" s="6">
        <v>22915</v>
      </c>
      <c r="V1696" s="2">
        <v>47037018201</v>
      </c>
      <c r="W1696" s="2" t="s">
        <v>68</v>
      </c>
      <c r="X1696" s="1">
        <v>45658</v>
      </c>
      <c r="Y1696" s="2">
        <v>700000</v>
      </c>
      <c r="Z1696" s="2">
        <v>0</v>
      </c>
      <c r="AA1696" s="2">
        <v>700000</v>
      </c>
    </row>
    <row r="1697" spans="1:27" x14ac:dyDescent="0.3">
      <c r="A1697" s="3">
        <v>23</v>
      </c>
      <c r="B1697" s="2" t="str">
        <f>"11510005901"</f>
        <v>11510005901</v>
      </c>
      <c r="C1697" s="2" t="s">
        <v>6261</v>
      </c>
      <c r="D1697" t="s">
        <v>29</v>
      </c>
      <c r="E1697" s="2" t="s">
        <v>30</v>
      </c>
      <c r="F1697" s="2">
        <v>37205</v>
      </c>
      <c r="G1697" s="2" t="s">
        <v>64</v>
      </c>
      <c r="H1697" t="s">
        <v>280</v>
      </c>
      <c r="I1697" s="6">
        <v>29510</v>
      </c>
      <c r="J1697" s="2" t="s">
        <v>6262</v>
      </c>
      <c r="K1697" s="2" t="s">
        <v>34</v>
      </c>
      <c r="L1697" t="s">
        <v>35</v>
      </c>
      <c r="M1697" t="s">
        <v>29</v>
      </c>
      <c r="N1697" t="s">
        <v>30</v>
      </c>
      <c r="O1697">
        <v>37219</v>
      </c>
      <c r="P1697" t="s">
        <v>6263</v>
      </c>
      <c r="Q1697" s="2">
        <v>0.13</v>
      </c>
      <c r="R1697" s="2">
        <v>106</v>
      </c>
      <c r="S1697" s="2">
        <v>52</v>
      </c>
      <c r="T1697" t="s">
        <v>6264</v>
      </c>
      <c r="U1697" s="6">
        <v>21388</v>
      </c>
      <c r="V1697" s="2">
        <v>47037018202</v>
      </c>
      <c r="W1697" s="2" t="s">
        <v>68</v>
      </c>
      <c r="X1697" s="1">
        <v>45658</v>
      </c>
      <c r="Y1697" s="2">
        <v>90000</v>
      </c>
      <c r="Z1697" s="2">
        <v>0</v>
      </c>
      <c r="AA1697" s="2">
        <v>90000</v>
      </c>
    </row>
    <row r="1698" spans="1:27" x14ac:dyDescent="0.3">
      <c r="A1698" s="3">
        <v>23</v>
      </c>
      <c r="B1698" s="2" t="str">
        <f>"11516006900"</f>
        <v>11516006900</v>
      </c>
      <c r="C1698" s="2" t="s">
        <v>6265</v>
      </c>
      <c r="D1698" t="s">
        <v>29</v>
      </c>
      <c r="E1698" s="2" t="s">
        <v>30</v>
      </c>
      <c r="F1698" s="2">
        <v>37205</v>
      </c>
      <c r="G1698" s="2" t="s">
        <v>152</v>
      </c>
      <c r="H1698" t="s">
        <v>280</v>
      </c>
      <c r="I1698" s="6">
        <v>24327</v>
      </c>
      <c r="J1698" s="2" t="s">
        <v>6266</v>
      </c>
      <c r="K1698" s="2" t="s">
        <v>34</v>
      </c>
      <c r="L1698" t="s">
        <v>35</v>
      </c>
      <c r="M1698" t="s">
        <v>29</v>
      </c>
      <c r="N1698" t="s">
        <v>30</v>
      </c>
      <c r="O1698">
        <v>37219</v>
      </c>
      <c r="P1698" t="s">
        <v>6267</v>
      </c>
      <c r="Q1698" s="2">
        <v>0.59</v>
      </c>
      <c r="R1698" s="2">
        <v>151</v>
      </c>
      <c r="S1698" s="2">
        <v>150</v>
      </c>
      <c r="T1698" t="s">
        <v>6266</v>
      </c>
      <c r="U1698" s="6">
        <v>24327</v>
      </c>
      <c r="V1698" s="2">
        <v>47037018203</v>
      </c>
      <c r="W1698" s="2" t="s">
        <v>68</v>
      </c>
      <c r="X1698" s="1">
        <v>45658</v>
      </c>
      <c r="Y1698" s="2">
        <v>875000</v>
      </c>
      <c r="Z1698" s="2">
        <v>0</v>
      </c>
      <c r="AA1698" s="2">
        <v>875000</v>
      </c>
    </row>
    <row r="1699" spans="1:27" x14ac:dyDescent="0.3">
      <c r="A1699" s="3">
        <v>23</v>
      </c>
      <c r="B1699" s="2" t="str">
        <f>"13001002600"</f>
        <v>13001002600</v>
      </c>
      <c r="C1699" s="2" t="s">
        <v>6268</v>
      </c>
      <c r="D1699" t="s">
        <v>29</v>
      </c>
      <c r="E1699" s="2" t="s">
        <v>30</v>
      </c>
      <c r="F1699" s="2">
        <v>37205</v>
      </c>
      <c r="G1699" s="2" t="s">
        <v>64</v>
      </c>
      <c r="H1699" t="s">
        <v>280</v>
      </c>
      <c r="I1699" s="6">
        <v>40954</v>
      </c>
      <c r="J1699" s="2" t="s">
        <v>6269</v>
      </c>
      <c r="K1699" s="2">
        <v>0</v>
      </c>
      <c r="L1699" t="s">
        <v>35</v>
      </c>
      <c r="M1699" t="s">
        <v>29</v>
      </c>
      <c r="N1699" t="s">
        <v>30</v>
      </c>
      <c r="O1699">
        <v>37219</v>
      </c>
      <c r="P1699" t="s">
        <v>6270</v>
      </c>
      <c r="Q1699" s="2">
        <v>0.56999999999999995</v>
      </c>
      <c r="R1699" s="2">
        <v>100</v>
      </c>
      <c r="S1699" s="2">
        <v>257</v>
      </c>
      <c r="T1699" t="s">
        <v>6271</v>
      </c>
      <c r="U1699" s="6">
        <v>23834</v>
      </c>
      <c r="V1699" s="2">
        <v>47037018201</v>
      </c>
      <c r="W1699" s="2" t="s">
        <v>68</v>
      </c>
      <c r="X1699" s="1">
        <v>45658</v>
      </c>
      <c r="Y1699" s="2">
        <v>367500</v>
      </c>
      <c r="Z1699" s="2">
        <v>0</v>
      </c>
      <c r="AA1699" s="2">
        <v>367500</v>
      </c>
    </row>
    <row r="1700" spans="1:27" x14ac:dyDescent="0.3">
      <c r="A1700" s="3">
        <v>23</v>
      </c>
      <c r="B1700" s="2" t="str">
        <f>"12908008100"</f>
        <v>12908008100</v>
      </c>
      <c r="C1700" s="2" t="s">
        <v>6272</v>
      </c>
      <c r="D1700" t="s">
        <v>29</v>
      </c>
      <c r="E1700" s="2" t="s">
        <v>30</v>
      </c>
      <c r="F1700" s="2">
        <v>37205</v>
      </c>
      <c r="G1700" s="2" t="s">
        <v>152</v>
      </c>
      <c r="H1700" t="s">
        <v>280</v>
      </c>
      <c r="I1700" s="6">
        <v>26640</v>
      </c>
      <c r="J1700" s="2" t="s">
        <v>6273</v>
      </c>
      <c r="K1700" s="2" t="s">
        <v>34</v>
      </c>
      <c r="L1700" t="s">
        <v>35</v>
      </c>
      <c r="M1700" t="s">
        <v>29</v>
      </c>
      <c r="N1700" t="s">
        <v>30</v>
      </c>
      <c r="O1700">
        <v>37219</v>
      </c>
      <c r="P1700" t="s">
        <v>6274</v>
      </c>
      <c r="Q1700" s="2">
        <v>1.23</v>
      </c>
      <c r="R1700" s="2">
        <v>471</v>
      </c>
      <c r="S1700" s="2">
        <v>527</v>
      </c>
      <c r="T1700" t="s">
        <v>6273</v>
      </c>
      <c r="U1700" s="6">
        <v>26640</v>
      </c>
      <c r="V1700" s="2">
        <v>47037018500</v>
      </c>
      <c r="W1700" s="2" t="s">
        <v>68</v>
      </c>
      <c r="X1700" s="1">
        <v>45658</v>
      </c>
      <c r="Y1700" s="2">
        <v>198000</v>
      </c>
      <c r="Z1700" s="2">
        <v>0</v>
      </c>
      <c r="AA1700" s="2">
        <v>198000</v>
      </c>
    </row>
    <row r="1701" spans="1:27" x14ac:dyDescent="0.3">
      <c r="A1701" s="3">
        <v>23</v>
      </c>
      <c r="B1701" s="2" t="str">
        <f>"12905001100"</f>
        <v>12905001100</v>
      </c>
      <c r="C1701" s="2" t="s">
        <v>6275</v>
      </c>
      <c r="D1701" t="s">
        <v>29</v>
      </c>
      <c r="E1701" s="2" t="s">
        <v>30</v>
      </c>
      <c r="F1701" s="2">
        <v>37205</v>
      </c>
      <c r="G1701" s="2" t="s">
        <v>64</v>
      </c>
      <c r="H1701" t="s">
        <v>280</v>
      </c>
      <c r="I1701" s="6">
        <v>24327</v>
      </c>
      <c r="J1701" s="2" t="s">
        <v>6266</v>
      </c>
      <c r="K1701" s="2" t="s">
        <v>34</v>
      </c>
      <c r="L1701" t="s">
        <v>35</v>
      </c>
      <c r="M1701" t="s">
        <v>29</v>
      </c>
      <c r="N1701" t="s">
        <v>30</v>
      </c>
      <c r="O1701">
        <v>37219</v>
      </c>
      <c r="P1701" t="s">
        <v>6276</v>
      </c>
      <c r="Q1701" s="2">
        <v>0.18</v>
      </c>
      <c r="R1701" s="2">
        <v>95</v>
      </c>
      <c r="S1701" s="2">
        <v>80</v>
      </c>
      <c r="T1701" t="s">
        <v>6266</v>
      </c>
      <c r="U1701" s="6">
        <v>24327</v>
      </c>
      <c r="V1701" s="2">
        <v>47037018202</v>
      </c>
      <c r="W1701" s="2" t="s">
        <v>68</v>
      </c>
      <c r="X1701" s="1">
        <v>45658</v>
      </c>
      <c r="Y1701" s="2">
        <v>60000</v>
      </c>
      <c r="Z1701" s="2">
        <v>0</v>
      </c>
      <c r="AA1701" s="2">
        <v>60000</v>
      </c>
    </row>
    <row r="1702" spans="1:27" x14ac:dyDescent="0.3">
      <c r="A1702" s="3">
        <v>23</v>
      </c>
      <c r="B1702" s="2" t="str">
        <f>"12906005600"</f>
        <v>12906005600</v>
      </c>
      <c r="C1702" s="2" t="s">
        <v>6277</v>
      </c>
      <c r="D1702" t="s">
        <v>29</v>
      </c>
      <c r="E1702" s="2" t="s">
        <v>30</v>
      </c>
      <c r="F1702" s="2">
        <v>37205</v>
      </c>
      <c r="G1702" s="2" t="s">
        <v>152</v>
      </c>
      <c r="H1702" t="s">
        <v>280</v>
      </c>
      <c r="I1702" s="6">
        <v>24327</v>
      </c>
      <c r="J1702" s="2" t="s">
        <v>6266</v>
      </c>
      <c r="K1702" s="2" t="s">
        <v>34</v>
      </c>
      <c r="L1702" t="s">
        <v>35</v>
      </c>
      <c r="M1702" t="s">
        <v>29</v>
      </c>
      <c r="N1702" t="s">
        <v>30</v>
      </c>
      <c r="O1702">
        <v>37219</v>
      </c>
      <c r="P1702" t="s">
        <v>6278</v>
      </c>
      <c r="Q1702" s="2">
        <v>5.4</v>
      </c>
      <c r="R1702" s="2">
        <v>0</v>
      </c>
      <c r="S1702" s="2">
        <v>0</v>
      </c>
      <c r="T1702" t="s">
        <v>6266</v>
      </c>
      <c r="U1702" s="6">
        <v>24327</v>
      </c>
      <c r="V1702" s="2">
        <v>47037018202</v>
      </c>
      <c r="W1702" s="2" t="s">
        <v>68</v>
      </c>
      <c r="X1702" s="1">
        <v>45658</v>
      </c>
      <c r="Y1702" s="2">
        <v>804800</v>
      </c>
      <c r="Z1702" s="2">
        <v>0</v>
      </c>
      <c r="AA1702" s="2">
        <v>804800</v>
      </c>
    </row>
    <row r="1703" spans="1:27" x14ac:dyDescent="0.3">
      <c r="A1703" s="3">
        <v>23</v>
      </c>
      <c r="B1703" s="2" t="str">
        <f>"11508003100"</f>
        <v>11508003100</v>
      </c>
      <c r="C1703" s="2" t="s">
        <v>6279</v>
      </c>
      <c r="D1703" t="s">
        <v>29</v>
      </c>
      <c r="E1703" s="2" t="s">
        <v>30</v>
      </c>
      <c r="F1703" s="2">
        <v>37205</v>
      </c>
      <c r="G1703" s="2" t="s">
        <v>253</v>
      </c>
      <c r="H1703" t="s">
        <v>6280</v>
      </c>
      <c r="I1703" s="6">
        <v>45686</v>
      </c>
      <c r="J1703" s="2" t="s">
        <v>6281</v>
      </c>
      <c r="K1703" s="2" t="s">
        <v>34</v>
      </c>
      <c r="L1703" t="s">
        <v>85</v>
      </c>
      <c r="M1703" t="s">
        <v>29</v>
      </c>
      <c r="N1703" t="s">
        <v>30</v>
      </c>
      <c r="O1703">
        <v>37218</v>
      </c>
      <c r="P1703" t="s">
        <v>6282</v>
      </c>
      <c r="Q1703" s="2">
        <v>31.22</v>
      </c>
      <c r="R1703" s="2">
        <v>0</v>
      </c>
      <c r="S1703" s="2">
        <v>0</v>
      </c>
      <c r="T1703" t="s">
        <v>6283</v>
      </c>
      <c r="U1703" s="6">
        <v>19303</v>
      </c>
      <c r="V1703" s="2">
        <v>47037018102</v>
      </c>
      <c r="W1703" s="2" t="s">
        <v>68</v>
      </c>
      <c r="X1703" s="1">
        <v>45658</v>
      </c>
      <c r="Y1703" s="2">
        <v>5483000</v>
      </c>
      <c r="Z1703" s="2">
        <v>0</v>
      </c>
      <c r="AA1703" s="2">
        <v>5483000</v>
      </c>
    </row>
    <row r="1704" spans="1:27" x14ac:dyDescent="0.3">
      <c r="A1704" s="3">
        <v>24</v>
      </c>
      <c r="B1704" s="2" t="str">
        <f>"11603004800"</f>
        <v>11603004800</v>
      </c>
      <c r="C1704" s="2" t="s">
        <v>6284</v>
      </c>
      <c r="D1704" t="s">
        <v>29</v>
      </c>
      <c r="E1704" s="2" t="s">
        <v>30</v>
      </c>
      <c r="F1704" s="2">
        <v>37205</v>
      </c>
      <c r="G1704" s="2" t="s">
        <v>64</v>
      </c>
      <c r="H1704" t="s">
        <v>99</v>
      </c>
      <c r="I1704" s="6">
        <v>27410</v>
      </c>
      <c r="J1704" s="2" t="s">
        <v>6285</v>
      </c>
      <c r="K1704" s="2">
        <v>234</v>
      </c>
      <c r="L1704" t="s">
        <v>35</v>
      </c>
      <c r="M1704" t="s">
        <v>29</v>
      </c>
      <c r="N1704" t="s">
        <v>30</v>
      </c>
      <c r="O1704">
        <v>37219</v>
      </c>
      <c r="P1704" t="s">
        <v>6286</v>
      </c>
      <c r="Q1704" s="2">
        <v>0.16</v>
      </c>
      <c r="R1704" s="2">
        <v>10</v>
      </c>
      <c r="S1704" s="2">
        <v>793</v>
      </c>
      <c r="T1704" t="s">
        <v>6287</v>
      </c>
      <c r="U1704" s="6">
        <v>5285</v>
      </c>
      <c r="V1704" s="2">
        <v>47037018000</v>
      </c>
      <c r="W1704" s="2" t="s">
        <v>68</v>
      </c>
      <c r="X1704" s="1">
        <v>45658</v>
      </c>
      <c r="Y1704" s="2">
        <v>5100</v>
      </c>
      <c r="Z1704" s="2">
        <v>0</v>
      </c>
      <c r="AA1704" s="2">
        <v>5100</v>
      </c>
    </row>
    <row r="1705" spans="1:27" x14ac:dyDescent="0.3">
      <c r="A1705" s="3">
        <v>24</v>
      </c>
      <c r="B1705" s="2" t="str">
        <f>"11604007100"</f>
        <v>11604007100</v>
      </c>
      <c r="C1705" s="2" t="s">
        <v>6288</v>
      </c>
      <c r="D1705" t="s">
        <v>29</v>
      </c>
      <c r="E1705" s="2" t="s">
        <v>30</v>
      </c>
      <c r="F1705" s="2">
        <v>37205</v>
      </c>
      <c r="G1705" s="2" t="s">
        <v>64</v>
      </c>
      <c r="H1705" t="s">
        <v>99</v>
      </c>
      <c r="I1705" s="6">
        <v>27410</v>
      </c>
      <c r="J1705" s="2" t="s">
        <v>6289</v>
      </c>
      <c r="K1705" s="2">
        <v>234</v>
      </c>
      <c r="L1705" t="s">
        <v>35</v>
      </c>
      <c r="M1705" t="s">
        <v>29</v>
      </c>
      <c r="N1705" t="s">
        <v>30</v>
      </c>
      <c r="O1705">
        <v>37219</v>
      </c>
      <c r="P1705" t="s">
        <v>6290</v>
      </c>
      <c r="Q1705" s="2">
        <v>0.09</v>
      </c>
      <c r="R1705" s="2">
        <v>10</v>
      </c>
      <c r="S1705" s="2">
        <v>406</v>
      </c>
      <c r="T1705" t="s">
        <v>6287</v>
      </c>
      <c r="U1705" s="6">
        <v>5285</v>
      </c>
      <c r="V1705" s="2">
        <v>47037018000</v>
      </c>
      <c r="W1705" s="2" t="s">
        <v>68</v>
      </c>
      <c r="X1705" s="1">
        <v>45658</v>
      </c>
      <c r="Y1705" s="2">
        <v>5100</v>
      </c>
      <c r="Z1705" s="2">
        <v>0</v>
      </c>
      <c r="AA1705" s="2">
        <v>5100</v>
      </c>
    </row>
    <row r="1706" spans="1:27" x14ac:dyDescent="0.3">
      <c r="A1706" s="3">
        <v>24</v>
      </c>
      <c r="B1706" s="2" t="str">
        <f>"10316003000"</f>
        <v>10316003000</v>
      </c>
      <c r="C1706" s="2" t="s">
        <v>6291</v>
      </c>
      <c r="D1706" t="s">
        <v>29</v>
      </c>
      <c r="E1706" s="2" t="s">
        <v>30</v>
      </c>
      <c r="F1706" s="2">
        <v>37205</v>
      </c>
      <c r="G1706" s="2" t="s">
        <v>147</v>
      </c>
      <c r="H1706" t="s">
        <v>6292</v>
      </c>
      <c r="I1706" s="6">
        <v>26570</v>
      </c>
      <c r="J1706" s="2" t="s">
        <v>6293</v>
      </c>
      <c r="K1706" s="2" t="s">
        <v>34</v>
      </c>
      <c r="L1706" t="s">
        <v>35</v>
      </c>
      <c r="M1706" t="s">
        <v>29</v>
      </c>
      <c r="N1706" t="s">
        <v>30</v>
      </c>
      <c r="O1706">
        <v>37219</v>
      </c>
      <c r="P1706" t="s">
        <v>6294</v>
      </c>
      <c r="Q1706" s="2">
        <v>0.6</v>
      </c>
      <c r="R1706" s="2">
        <v>150</v>
      </c>
      <c r="S1706" s="2">
        <v>175</v>
      </c>
      <c r="T1706" t="s">
        <v>278</v>
      </c>
      <c r="U1706" s="6">
        <v>30060</v>
      </c>
      <c r="V1706" s="2">
        <v>47037016700</v>
      </c>
      <c r="W1706" s="2" t="s">
        <v>68</v>
      </c>
      <c r="X1706" s="1">
        <v>45658</v>
      </c>
      <c r="Y1706" s="2">
        <v>1080000</v>
      </c>
      <c r="Z1706" s="2">
        <v>0</v>
      </c>
      <c r="AA1706" s="2">
        <v>1080000</v>
      </c>
    </row>
    <row r="1707" spans="1:27" x14ac:dyDescent="0.3">
      <c r="A1707" s="3">
        <v>24</v>
      </c>
      <c r="B1707" s="2" t="str">
        <f>"09112016700"</f>
        <v>09112016700</v>
      </c>
      <c r="C1707" s="2" t="s">
        <v>6295</v>
      </c>
      <c r="D1707" t="s">
        <v>29</v>
      </c>
      <c r="E1707" s="2" t="s">
        <v>30</v>
      </c>
      <c r="F1707" s="2">
        <v>37209</v>
      </c>
      <c r="G1707" s="2" t="s">
        <v>147</v>
      </c>
      <c r="H1707" t="s">
        <v>6296</v>
      </c>
      <c r="I1707" s="6">
        <v>32611</v>
      </c>
      <c r="J1707" s="2" t="s">
        <v>6297</v>
      </c>
      <c r="K1707" s="2">
        <v>36000</v>
      </c>
      <c r="L1707" t="s">
        <v>35</v>
      </c>
      <c r="M1707" t="s">
        <v>29</v>
      </c>
      <c r="N1707" t="s">
        <v>30</v>
      </c>
      <c r="O1707">
        <v>37219</v>
      </c>
      <c r="P1707" t="s">
        <v>6298</v>
      </c>
      <c r="Q1707" s="2">
        <v>0.35</v>
      </c>
      <c r="R1707" s="2">
        <v>150</v>
      </c>
      <c r="S1707" s="2">
        <v>105</v>
      </c>
      <c r="T1707" t="s">
        <v>278</v>
      </c>
      <c r="U1707" s="6">
        <v>32825</v>
      </c>
      <c r="V1707" s="2">
        <v>47037013400</v>
      </c>
      <c r="W1707" s="2" t="s">
        <v>68</v>
      </c>
      <c r="X1707" s="1">
        <v>45658</v>
      </c>
      <c r="Y1707" s="2">
        <v>1181300</v>
      </c>
      <c r="Z1707" s="2">
        <v>0</v>
      </c>
      <c r="AA1707" s="2">
        <v>1181300</v>
      </c>
    </row>
    <row r="1708" spans="1:27" x14ac:dyDescent="0.3">
      <c r="A1708" s="3">
        <v>24</v>
      </c>
      <c r="B1708" s="2" t="str">
        <f>"09115037300"</f>
        <v>09115037300</v>
      </c>
      <c r="C1708" s="2" t="s">
        <v>6299</v>
      </c>
      <c r="D1708" t="s">
        <v>29</v>
      </c>
      <c r="E1708" s="2" t="s">
        <v>30</v>
      </c>
      <c r="F1708" s="2">
        <v>37209</v>
      </c>
      <c r="G1708" s="2" t="s">
        <v>901</v>
      </c>
      <c r="H1708" t="s">
        <v>6300</v>
      </c>
      <c r="I1708" s="6">
        <v>22282</v>
      </c>
      <c r="J1708" s="2" t="s">
        <v>6301</v>
      </c>
      <c r="K1708" s="2" t="s">
        <v>34</v>
      </c>
      <c r="L1708" t="s">
        <v>35</v>
      </c>
      <c r="M1708" t="s">
        <v>29</v>
      </c>
      <c r="N1708" t="s">
        <v>30</v>
      </c>
      <c r="O1708">
        <v>37219</v>
      </c>
      <c r="P1708" t="s">
        <v>6302</v>
      </c>
      <c r="Q1708" s="2">
        <v>0.49</v>
      </c>
      <c r="R1708" s="2">
        <v>140</v>
      </c>
      <c r="S1708" s="2">
        <v>150</v>
      </c>
      <c r="T1708" t="s">
        <v>6301</v>
      </c>
      <c r="U1708" s="6">
        <v>22282</v>
      </c>
      <c r="V1708" s="2">
        <v>47037013400</v>
      </c>
      <c r="W1708" s="2" t="s">
        <v>68</v>
      </c>
      <c r="X1708" s="1">
        <v>45658</v>
      </c>
      <c r="Y1708" s="2">
        <v>418000</v>
      </c>
      <c r="Z1708" s="2">
        <v>0</v>
      </c>
      <c r="AA1708" s="2">
        <v>418000</v>
      </c>
    </row>
    <row r="1709" spans="1:27" x14ac:dyDescent="0.3">
      <c r="A1709" s="3">
        <v>24</v>
      </c>
      <c r="B1709" s="2" t="str">
        <f>"10303004100"</f>
        <v>10303004100</v>
      </c>
      <c r="C1709" s="2" t="s">
        <v>6303</v>
      </c>
      <c r="D1709" t="s">
        <v>29</v>
      </c>
      <c r="E1709" s="2" t="s">
        <v>30</v>
      </c>
      <c r="F1709" s="2">
        <v>37209</v>
      </c>
      <c r="G1709" s="2" t="s">
        <v>6304</v>
      </c>
      <c r="H1709" t="s">
        <v>6305</v>
      </c>
      <c r="I1709" s="6">
        <v>8453</v>
      </c>
      <c r="J1709" s="2" t="s">
        <v>6306</v>
      </c>
      <c r="K1709" s="2" t="s">
        <v>34</v>
      </c>
      <c r="L1709" t="s">
        <v>35</v>
      </c>
      <c r="M1709" t="s">
        <v>29</v>
      </c>
      <c r="N1709" t="s">
        <v>30</v>
      </c>
      <c r="O1709">
        <v>37219</v>
      </c>
      <c r="P1709" t="s">
        <v>6307</v>
      </c>
      <c r="Q1709" s="2">
        <v>7.71</v>
      </c>
      <c r="R1709" s="2">
        <v>0</v>
      </c>
      <c r="S1709" s="2">
        <v>0</v>
      </c>
      <c r="T1709" t="s">
        <v>6306</v>
      </c>
      <c r="U1709" s="6">
        <v>8453</v>
      </c>
      <c r="V1709" s="2">
        <v>47037013400</v>
      </c>
      <c r="W1709" s="2" t="s">
        <v>68</v>
      </c>
      <c r="X1709" s="1">
        <v>45658</v>
      </c>
      <c r="Y1709" s="2">
        <v>3515800</v>
      </c>
      <c r="Z1709" s="2">
        <v>0</v>
      </c>
      <c r="AA1709" s="2">
        <v>3515800</v>
      </c>
    </row>
    <row r="1710" spans="1:27" x14ac:dyDescent="0.3">
      <c r="A1710" s="3">
        <v>24</v>
      </c>
      <c r="B1710" s="2" t="str">
        <f>"09114010800"</f>
        <v>09114010800</v>
      </c>
      <c r="C1710" s="2" t="s">
        <v>6308</v>
      </c>
      <c r="D1710" t="s">
        <v>29</v>
      </c>
      <c r="E1710" s="2" t="s">
        <v>30</v>
      </c>
      <c r="F1710" s="2">
        <v>37209</v>
      </c>
      <c r="G1710" s="2" t="s">
        <v>152</v>
      </c>
      <c r="H1710" t="s">
        <v>171</v>
      </c>
      <c r="I1710" s="6">
        <v>40141</v>
      </c>
      <c r="J1710" s="2" t="s">
        <v>6309</v>
      </c>
      <c r="K1710" s="2">
        <v>4200000</v>
      </c>
      <c r="L1710" t="s">
        <v>35</v>
      </c>
      <c r="M1710" t="s">
        <v>29</v>
      </c>
      <c r="N1710" t="s">
        <v>30</v>
      </c>
      <c r="O1710">
        <v>37219</v>
      </c>
      <c r="P1710" t="s">
        <v>6310</v>
      </c>
      <c r="Q1710" s="2">
        <v>6.05</v>
      </c>
      <c r="R1710" s="2">
        <v>0</v>
      </c>
      <c r="S1710" s="2">
        <v>0</v>
      </c>
      <c r="T1710" t="s">
        <v>6311</v>
      </c>
      <c r="U1710" s="6">
        <v>34080</v>
      </c>
      <c r="V1710" s="2">
        <v>47037018101</v>
      </c>
      <c r="W1710" s="2" t="s">
        <v>68</v>
      </c>
      <c r="X1710" s="1">
        <v>45658</v>
      </c>
      <c r="Y1710" s="2">
        <v>18430500</v>
      </c>
      <c r="Z1710" s="2">
        <v>8310600</v>
      </c>
      <c r="AA1710" s="2">
        <v>10119900</v>
      </c>
    </row>
    <row r="1711" spans="1:27" x14ac:dyDescent="0.3">
      <c r="A1711" s="3">
        <v>24</v>
      </c>
      <c r="B1711" s="2" t="str">
        <f>"10315003100"</f>
        <v>10315003100</v>
      </c>
      <c r="C1711" s="2" t="s">
        <v>6312</v>
      </c>
      <c r="D1711" t="s">
        <v>29</v>
      </c>
      <c r="E1711" s="2" t="s">
        <v>30</v>
      </c>
      <c r="F1711" s="2">
        <v>37205</v>
      </c>
      <c r="G1711" s="2" t="s">
        <v>152</v>
      </c>
      <c r="H1711" t="s">
        <v>176</v>
      </c>
      <c r="I1711" s="6">
        <v>18976</v>
      </c>
      <c r="J1711" s="2" t="s">
        <v>6313</v>
      </c>
      <c r="K1711" s="2" t="s">
        <v>34</v>
      </c>
      <c r="L1711" t="s">
        <v>178</v>
      </c>
      <c r="M1711" t="s">
        <v>29</v>
      </c>
      <c r="N1711" t="s">
        <v>30</v>
      </c>
      <c r="O1711">
        <v>37246</v>
      </c>
      <c r="P1711" t="s">
        <v>6314</v>
      </c>
      <c r="Q1711" s="2">
        <v>0.15</v>
      </c>
      <c r="R1711" s="2">
        <v>80</v>
      </c>
      <c r="S1711" s="2">
        <v>80</v>
      </c>
      <c r="T1711" t="s">
        <v>6313</v>
      </c>
      <c r="U1711" s="6">
        <v>18976</v>
      </c>
      <c r="V1711" s="2">
        <v>47037018000</v>
      </c>
      <c r="W1711" s="2" t="s">
        <v>68</v>
      </c>
      <c r="X1711" s="1">
        <v>45658</v>
      </c>
      <c r="Y1711" s="2">
        <v>522700</v>
      </c>
      <c r="Z1711" s="2">
        <v>0</v>
      </c>
      <c r="AA1711" s="2">
        <v>522700</v>
      </c>
    </row>
    <row r="1712" spans="1:27" x14ac:dyDescent="0.3">
      <c r="A1712" s="3">
        <v>24</v>
      </c>
      <c r="B1712" s="2" t="str">
        <f>"09111028501"</f>
        <v>09111028501</v>
      </c>
      <c r="C1712" s="2" t="s">
        <v>6315</v>
      </c>
      <c r="D1712" t="s">
        <v>29</v>
      </c>
      <c r="E1712" s="2" t="s">
        <v>30</v>
      </c>
      <c r="F1712" s="2">
        <v>37209</v>
      </c>
      <c r="G1712" s="2" t="s">
        <v>152</v>
      </c>
      <c r="H1712" t="s">
        <v>176</v>
      </c>
      <c r="I1712" s="6">
        <v>27395</v>
      </c>
      <c r="J1712" s="2" t="s">
        <v>6316</v>
      </c>
      <c r="K1712" s="2" t="s">
        <v>34</v>
      </c>
      <c r="L1712" t="s">
        <v>178</v>
      </c>
      <c r="M1712" t="s">
        <v>29</v>
      </c>
      <c r="N1712" t="s">
        <v>30</v>
      </c>
      <c r="O1712">
        <v>37246</v>
      </c>
      <c r="P1712" t="s">
        <v>6317</v>
      </c>
      <c r="Q1712" s="2">
        <v>0.14000000000000001</v>
      </c>
      <c r="R1712" s="2">
        <v>80</v>
      </c>
      <c r="S1712" s="2">
        <v>75</v>
      </c>
      <c r="T1712" t="s">
        <v>6318</v>
      </c>
      <c r="U1712" s="6">
        <v>19259</v>
      </c>
      <c r="V1712" s="2">
        <v>47037013400</v>
      </c>
      <c r="W1712" s="2" t="s">
        <v>68</v>
      </c>
      <c r="X1712" s="1">
        <v>45658</v>
      </c>
      <c r="Y1712" s="2">
        <v>438000</v>
      </c>
      <c r="Z1712" s="2">
        <v>0</v>
      </c>
      <c r="AA1712" s="2">
        <v>438000</v>
      </c>
    </row>
    <row r="1713" spans="1:27" x14ac:dyDescent="0.3">
      <c r="A1713" s="3">
        <v>24</v>
      </c>
      <c r="B1713" s="2" t="str">
        <f>"10308000500"</f>
        <v>10308000500</v>
      </c>
      <c r="C1713" s="2" t="s">
        <v>6319</v>
      </c>
      <c r="D1713" t="s">
        <v>29</v>
      </c>
      <c r="E1713" s="2" t="s">
        <v>30</v>
      </c>
      <c r="F1713" s="2">
        <v>37209</v>
      </c>
      <c r="G1713" s="2" t="s">
        <v>152</v>
      </c>
      <c r="H1713" t="s">
        <v>176</v>
      </c>
      <c r="I1713" s="6">
        <v>14472</v>
      </c>
      <c r="J1713" s="2" t="s">
        <v>1267</v>
      </c>
      <c r="K1713" s="2" t="s">
        <v>34</v>
      </c>
      <c r="L1713" t="s">
        <v>178</v>
      </c>
      <c r="M1713" t="s">
        <v>29</v>
      </c>
      <c r="N1713" t="s">
        <v>30</v>
      </c>
      <c r="O1713">
        <v>37246</v>
      </c>
      <c r="P1713" t="s">
        <v>6320</v>
      </c>
      <c r="Q1713" s="2">
        <v>0.56999999999999995</v>
      </c>
      <c r="R1713" s="2">
        <v>150</v>
      </c>
      <c r="S1713" s="2">
        <v>164</v>
      </c>
      <c r="T1713" t="s">
        <v>1267</v>
      </c>
      <c r="U1713" s="6">
        <v>14472</v>
      </c>
      <c r="V1713" s="2">
        <v>47037013400</v>
      </c>
      <c r="W1713" s="2" t="s">
        <v>68</v>
      </c>
      <c r="X1713" s="1">
        <v>45658</v>
      </c>
      <c r="Y1713" s="2">
        <v>553200</v>
      </c>
      <c r="Z1713" s="2">
        <v>0</v>
      </c>
      <c r="AA1713" s="2">
        <v>553200</v>
      </c>
    </row>
    <row r="1714" spans="1:27" x14ac:dyDescent="0.3">
      <c r="A1714" s="3">
        <v>24</v>
      </c>
      <c r="B1714" s="2" t="str">
        <f>"11604017300"</f>
        <v>11604017300</v>
      </c>
      <c r="C1714" s="2" t="s">
        <v>6321</v>
      </c>
      <c r="D1714" t="s">
        <v>29</v>
      </c>
      <c r="E1714" s="2" t="s">
        <v>30</v>
      </c>
      <c r="F1714" s="2">
        <v>37215</v>
      </c>
      <c r="G1714" s="2" t="s">
        <v>152</v>
      </c>
      <c r="H1714" t="s">
        <v>176</v>
      </c>
      <c r="I1714" s="6">
        <v>14472</v>
      </c>
      <c r="J1714" s="2" t="s">
        <v>1267</v>
      </c>
      <c r="K1714" s="2" t="s">
        <v>34</v>
      </c>
      <c r="L1714" t="s">
        <v>934</v>
      </c>
      <c r="M1714" t="s">
        <v>29</v>
      </c>
      <c r="N1714" t="s">
        <v>30</v>
      </c>
      <c r="O1714">
        <v>37246</v>
      </c>
      <c r="P1714" t="s">
        <v>6322</v>
      </c>
      <c r="Q1714" s="2">
        <v>0.56999999999999995</v>
      </c>
      <c r="R1714" s="2">
        <v>100</v>
      </c>
      <c r="S1714" s="2">
        <v>252</v>
      </c>
      <c r="T1714" t="s">
        <v>1267</v>
      </c>
      <c r="U1714" s="6">
        <v>14472</v>
      </c>
      <c r="V1714" s="2">
        <v>47037018000</v>
      </c>
      <c r="W1714" s="2" t="s">
        <v>68</v>
      </c>
      <c r="X1714" s="1">
        <v>45658</v>
      </c>
      <c r="Y1714" s="2">
        <v>500000</v>
      </c>
      <c r="Z1714" s="2">
        <v>0</v>
      </c>
      <c r="AA1714" s="2">
        <v>500000</v>
      </c>
    </row>
    <row r="1715" spans="1:27" x14ac:dyDescent="0.3">
      <c r="A1715" s="3">
        <v>24</v>
      </c>
      <c r="B1715" s="2" t="str">
        <f>"10414001700"</f>
        <v>10414001700</v>
      </c>
      <c r="C1715" s="2" t="s">
        <v>6323</v>
      </c>
      <c r="D1715" t="s">
        <v>29</v>
      </c>
      <c r="E1715" s="2" t="s">
        <v>30</v>
      </c>
      <c r="F1715" s="2">
        <v>37215</v>
      </c>
      <c r="G1715" s="2" t="s">
        <v>152</v>
      </c>
      <c r="H1715" t="s">
        <v>176</v>
      </c>
      <c r="I1715" s="6">
        <v>16972</v>
      </c>
      <c r="J1715" s="2" t="s">
        <v>6324</v>
      </c>
      <c r="K1715" s="2" t="s">
        <v>34</v>
      </c>
      <c r="L1715" t="s">
        <v>178</v>
      </c>
      <c r="M1715" t="s">
        <v>29</v>
      </c>
      <c r="N1715" t="s">
        <v>30</v>
      </c>
      <c r="O1715">
        <v>37246</v>
      </c>
      <c r="P1715" t="s">
        <v>6325</v>
      </c>
      <c r="Q1715" s="2">
        <v>1.9</v>
      </c>
      <c r="R1715" s="2">
        <v>254</v>
      </c>
      <c r="S1715" s="2">
        <v>379</v>
      </c>
      <c r="T1715" t="s">
        <v>6324</v>
      </c>
      <c r="U1715" s="6">
        <v>16972</v>
      </c>
      <c r="V1715" s="2">
        <v>47037018000</v>
      </c>
      <c r="W1715" s="2" t="s">
        <v>68</v>
      </c>
      <c r="X1715" s="1">
        <v>45658</v>
      </c>
      <c r="Y1715" s="2">
        <v>817000</v>
      </c>
      <c r="Z1715" s="2">
        <v>0</v>
      </c>
      <c r="AA1715" s="2">
        <v>817000</v>
      </c>
    </row>
    <row r="1716" spans="1:27" x14ac:dyDescent="0.3">
      <c r="A1716" s="3">
        <v>24</v>
      </c>
      <c r="B1716" s="2" t="str">
        <f>"10315000200"</f>
        <v>10315000200</v>
      </c>
      <c r="C1716" s="2" t="s">
        <v>6326</v>
      </c>
      <c r="D1716" t="s">
        <v>29</v>
      </c>
      <c r="E1716" s="2" t="s">
        <v>30</v>
      </c>
      <c r="F1716" s="2">
        <v>37205</v>
      </c>
      <c r="G1716" s="2" t="s">
        <v>152</v>
      </c>
      <c r="H1716" t="s">
        <v>176</v>
      </c>
      <c r="I1716" s="6">
        <v>26569</v>
      </c>
      <c r="J1716" s="2" t="s">
        <v>6327</v>
      </c>
      <c r="K1716" s="2" t="s">
        <v>34</v>
      </c>
      <c r="L1716" t="s">
        <v>178</v>
      </c>
      <c r="M1716" t="s">
        <v>29</v>
      </c>
      <c r="N1716" t="s">
        <v>30</v>
      </c>
      <c r="O1716">
        <v>37246</v>
      </c>
      <c r="P1716" t="s">
        <v>6328</v>
      </c>
      <c r="Q1716" s="2">
        <v>3.96</v>
      </c>
      <c r="R1716" s="2">
        <v>0</v>
      </c>
      <c r="S1716" s="2">
        <v>0</v>
      </c>
      <c r="T1716" t="s">
        <v>6327</v>
      </c>
      <c r="U1716" s="6">
        <v>26569</v>
      </c>
      <c r="V1716" s="2">
        <v>47037018102</v>
      </c>
      <c r="W1716" s="2" t="s">
        <v>68</v>
      </c>
      <c r="X1716" s="1">
        <v>45658</v>
      </c>
      <c r="Y1716" s="2">
        <v>9659900</v>
      </c>
      <c r="Z1716" s="2">
        <v>0</v>
      </c>
      <c r="AA1716" s="2">
        <v>9659900</v>
      </c>
    </row>
    <row r="1717" spans="1:27" x14ac:dyDescent="0.3">
      <c r="A1717" s="3">
        <v>24</v>
      </c>
      <c r="B1717" s="2" t="str">
        <f>"10409024500"</f>
        <v>10409024500</v>
      </c>
      <c r="C1717" s="2" t="s">
        <v>6329</v>
      </c>
      <c r="D1717" t="s">
        <v>29</v>
      </c>
      <c r="E1717" s="2" t="s">
        <v>30</v>
      </c>
      <c r="F1717" s="2">
        <v>37205</v>
      </c>
      <c r="G1717" s="2" t="s">
        <v>200</v>
      </c>
      <c r="H1717" t="s">
        <v>6330</v>
      </c>
      <c r="I1717" s="6">
        <v>17520</v>
      </c>
      <c r="J1717" s="2" t="s">
        <v>6331</v>
      </c>
      <c r="K1717" s="2" t="s">
        <v>34</v>
      </c>
      <c r="L1717" t="s">
        <v>35</v>
      </c>
      <c r="M1717" t="s">
        <v>29</v>
      </c>
      <c r="N1717" t="s">
        <v>30</v>
      </c>
      <c r="O1717">
        <v>37219</v>
      </c>
      <c r="P1717" t="s">
        <v>6332</v>
      </c>
      <c r="Q1717" s="2">
        <v>13.34</v>
      </c>
      <c r="R1717" s="2">
        <v>0</v>
      </c>
      <c r="S1717" s="2">
        <v>0</v>
      </c>
      <c r="T1717" t="s">
        <v>6333</v>
      </c>
      <c r="U1717" s="6">
        <v>30434</v>
      </c>
      <c r="V1717" s="2">
        <v>47037016700</v>
      </c>
      <c r="W1717" s="2" t="s">
        <v>68</v>
      </c>
      <c r="X1717" s="1">
        <v>45658</v>
      </c>
      <c r="Y1717" s="2">
        <v>2100000</v>
      </c>
      <c r="Z1717" s="2">
        <v>0</v>
      </c>
      <c r="AA1717" s="2">
        <v>2100000</v>
      </c>
    </row>
    <row r="1718" spans="1:27" x14ac:dyDescent="0.3">
      <c r="A1718" s="3">
        <v>24</v>
      </c>
      <c r="B1718" s="2" t="str">
        <f>"10303026200"</f>
        <v>10303026200</v>
      </c>
      <c r="C1718" s="2" t="s">
        <v>6334</v>
      </c>
      <c r="D1718" t="s">
        <v>29</v>
      </c>
      <c r="E1718" s="2" t="s">
        <v>30</v>
      </c>
      <c r="F1718" s="2">
        <v>37209</v>
      </c>
      <c r="G1718" s="2" t="s">
        <v>200</v>
      </c>
      <c r="H1718" t="s">
        <v>6335</v>
      </c>
      <c r="I1718" s="6">
        <v>16798</v>
      </c>
      <c r="J1718" s="2" t="s">
        <v>6336</v>
      </c>
      <c r="K1718" s="2" t="s">
        <v>34</v>
      </c>
      <c r="L1718" t="s">
        <v>35</v>
      </c>
      <c r="M1718" t="s">
        <v>29</v>
      </c>
      <c r="N1718" t="s">
        <v>30</v>
      </c>
      <c r="O1718">
        <v>37219</v>
      </c>
      <c r="P1718" t="s">
        <v>6337</v>
      </c>
      <c r="Q1718" s="2">
        <v>0.91</v>
      </c>
      <c r="R1718" s="2">
        <v>260</v>
      </c>
      <c r="S1718" s="2">
        <v>160</v>
      </c>
      <c r="T1718" t="s">
        <v>6336</v>
      </c>
      <c r="U1718" s="6">
        <v>16798</v>
      </c>
      <c r="V1718" s="2">
        <v>47037013400</v>
      </c>
      <c r="W1718" s="2" t="s">
        <v>68</v>
      </c>
      <c r="X1718" s="1">
        <v>45658</v>
      </c>
      <c r="Y1718" s="2">
        <v>553200</v>
      </c>
      <c r="Z1718" s="2">
        <v>0</v>
      </c>
      <c r="AA1718" s="2">
        <v>553200</v>
      </c>
    </row>
    <row r="1719" spans="1:27" x14ac:dyDescent="0.3">
      <c r="A1719" s="3">
        <v>24</v>
      </c>
      <c r="B1719" s="2" t="str">
        <f>"10308013200"</f>
        <v>10308013200</v>
      </c>
      <c r="C1719" s="2" t="s">
        <v>6338</v>
      </c>
      <c r="D1719" t="s">
        <v>29</v>
      </c>
      <c r="E1719" s="2" t="s">
        <v>30</v>
      </c>
      <c r="F1719" s="2">
        <v>37209</v>
      </c>
      <c r="G1719" s="2" t="s">
        <v>200</v>
      </c>
      <c r="H1719" t="s">
        <v>6335</v>
      </c>
      <c r="I1719" s="6">
        <v>27395</v>
      </c>
      <c r="J1719" s="2" t="s">
        <v>6339</v>
      </c>
      <c r="K1719" s="2" t="s">
        <v>34</v>
      </c>
      <c r="L1719" t="s">
        <v>35</v>
      </c>
      <c r="M1719" t="s">
        <v>29</v>
      </c>
      <c r="N1719" t="s">
        <v>30</v>
      </c>
      <c r="O1719">
        <v>37219</v>
      </c>
      <c r="P1719" t="s">
        <v>6340</v>
      </c>
      <c r="Q1719" s="2">
        <v>5.9</v>
      </c>
      <c r="R1719" s="2">
        <v>0</v>
      </c>
      <c r="S1719" s="2">
        <v>0</v>
      </c>
      <c r="T1719" t="s">
        <v>6341</v>
      </c>
      <c r="U1719" s="6">
        <v>9989</v>
      </c>
      <c r="V1719" s="2">
        <v>47037013400</v>
      </c>
      <c r="W1719" s="2" t="s">
        <v>68</v>
      </c>
      <c r="X1719" s="1">
        <v>45658</v>
      </c>
      <c r="Y1719" s="2">
        <v>2867400</v>
      </c>
      <c r="Z1719" s="2">
        <v>0</v>
      </c>
      <c r="AA1719" s="2">
        <v>2867400</v>
      </c>
    </row>
    <row r="1720" spans="1:27" x14ac:dyDescent="0.3">
      <c r="A1720" s="3">
        <v>24</v>
      </c>
      <c r="B1720" s="2" t="str">
        <f>"10307007500"</f>
        <v>10307007500</v>
      </c>
      <c r="C1720" s="2" t="s">
        <v>6342</v>
      </c>
      <c r="D1720" t="s">
        <v>29</v>
      </c>
      <c r="E1720" s="2" t="s">
        <v>30</v>
      </c>
      <c r="F1720" s="2">
        <v>37209</v>
      </c>
      <c r="G1720" s="2" t="s">
        <v>200</v>
      </c>
      <c r="H1720" t="s">
        <v>6335</v>
      </c>
      <c r="I1720" s="6">
        <v>16798</v>
      </c>
      <c r="J1720" s="2" t="s">
        <v>6336</v>
      </c>
      <c r="K1720" s="2" t="s">
        <v>34</v>
      </c>
      <c r="L1720" t="s">
        <v>35</v>
      </c>
      <c r="M1720" t="s">
        <v>29</v>
      </c>
      <c r="N1720" t="s">
        <v>30</v>
      </c>
      <c r="O1720">
        <v>37219</v>
      </c>
      <c r="P1720" t="s">
        <v>6343</v>
      </c>
      <c r="Q1720" s="2">
        <v>202.73</v>
      </c>
      <c r="R1720" s="2">
        <v>0</v>
      </c>
      <c r="S1720" s="2">
        <v>0</v>
      </c>
      <c r="T1720" t="s">
        <v>6344</v>
      </c>
      <c r="U1720" s="6">
        <v>29151</v>
      </c>
      <c r="V1720" s="2">
        <v>47037013400</v>
      </c>
      <c r="W1720" s="2" t="s">
        <v>68</v>
      </c>
      <c r="X1720" s="1">
        <v>45658</v>
      </c>
      <c r="Y1720" s="2">
        <v>20273000</v>
      </c>
      <c r="Z1720" s="2">
        <v>0</v>
      </c>
      <c r="AA1720" s="2">
        <v>20273000</v>
      </c>
    </row>
    <row r="1721" spans="1:27" x14ac:dyDescent="0.3">
      <c r="A1721" s="3">
        <v>24</v>
      </c>
      <c r="B1721" s="2" t="str">
        <f>"09115026500"</f>
        <v>09115026500</v>
      </c>
      <c r="C1721" s="2" t="s">
        <v>6345</v>
      </c>
      <c r="D1721" t="s">
        <v>29</v>
      </c>
      <c r="E1721" s="2" t="s">
        <v>30</v>
      </c>
      <c r="F1721" s="2">
        <v>37209</v>
      </c>
      <c r="G1721" s="2" t="s">
        <v>200</v>
      </c>
      <c r="H1721" t="s">
        <v>6346</v>
      </c>
      <c r="I1721" s="6">
        <v>9</v>
      </c>
      <c r="J1721" s="2" t="s">
        <v>6347</v>
      </c>
      <c r="K1721" s="2" t="s">
        <v>34</v>
      </c>
      <c r="L1721" t="s">
        <v>35</v>
      </c>
      <c r="M1721" t="s">
        <v>29</v>
      </c>
      <c r="N1721" t="s">
        <v>30</v>
      </c>
      <c r="O1721">
        <v>37219</v>
      </c>
      <c r="P1721" t="s">
        <v>6348</v>
      </c>
      <c r="Q1721" s="2">
        <v>13.4</v>
      </c>
      <c r="R1721" s="2">
        <v>0</v>
      </c>
      <c r="S1721" s="2">
        <v>0</v>
      </c>
      <c r="T1721" t="s">
        <v>6347</v>
      </c>
      <c r="U1721" s="6">
        <v>9</v>
      </c>
      <c r="V1721" s="2">
        <v>47037013400</v>
      </c>
      <c r="W1721" s="2" t="s">
        <v>68</v>
      </c>
      <c r="X1721" s="1">
        <v>45658</v>
      </c>
      <c r="Y1721" s="2">
        <v>6110400</v>
      </c>
      <c r="Z1721" s="2">
        <v>0</v>
      </c>
      <c r="AA1721" s="2">
        <v>6110400</v>
      </c>
    </row>
    <row r="1722" spans="1:27" x14ac:dyDescent="0.3">
      <c r="A1722" s="3">
        <v>24</v>
      </c>
      <c r="B1722" s="2" t="str">
        <f>"09115033300"</f>
        <v>09115033300</v>
      </c>
      <c r="C1722" s="2" t="s">
        <v>6349</v>
      </c>
      <c r="D1722" t="s">
        <v>29</v>
      </c>
      <c r="E1722" s="2" t="s">
        <v>30</v>
      </c>
      <c r="F1722" s="2">
        <v>37209</v>
      </c>
      <c r="G1722" s="2" t="s">
        <v>253</v>
      </c>
      <c r="H1722" t="s">
        <v>6350</v>
      </c>
      <c r="I1722" s="6">
        <v>17391</v>
      </c>
      <c r="J1722" s="2" t="s">
        <v>6351</v>
      </c>
      <c r="K1722" s="2" t="s">
        <v>34</v>
      </c>
      <c r="L1722" t="s">
        <v>35</v>
      </c>
      <c r="M1722" t="s">
        <v>29</v>
      </c>
      <c r="N1722" t="s">
        <v>30</v>
      </c>
      <c r="O1722">
        <v>37219</v>
      </c>
      <c r="P1722" t="s">
        <v>6352</v>
      </c>
      <c r="Q1722" s="2">
        <v>2.38</v>
      </c>
      <c r="R1722" s="2">
        <v>320</v>
      </c>
      <c r="S1722" s="2">
        <v>325</v>
      </c>
      <c r="T1722" t="s">
        <v>6353</v>
      </c>
      <c r="U1722" s="6">
        <v>10300</v>
      </c>
      <c r="V1722" s="2">
        <v>47037013400</v>
      </c>
      <c r="W1722" s="2" t="s">
        <v>68</v>
      </c>
      <c r="X1722" s="1">
        <v>45658</v>
      </c>
      <c r="Y1722" s="2">
        <v>1316600</v>
      </c>
      <c r="Z1722" s="2">
        <v>0</v>
      </c>
      <c r="AA1722" s="2">
        <v>1316600</v>
      </c>
    </row>
    <row r="1723" spans="1:27" x14ac:dyDescent="0.3">
      <c r="A1723" s="3">
        <v>24</v>
      </c>
      <c r="B1723" s="2" t="str">
        <f>"10302018500"</f>
        <v>10302018500</v>
      </c>
      <c r="C1723" s="2" t="s">
        <v>6354</v>
      </c>
      <c r="D1723" t="s">
        <v>29</v>
      </c>
      <c r="E1723" s="2" t="s">
        <v>30</v>
      </c>
      <c r="F1723" s="2">
        <v>37209</v>
      </c>
      <c r="G1723" s="2" t="s">
        <v>253</v>
      </c>
      <c r="H1723" t="s">
        <v>6355</v>
      </c>
      <c r="I1723" s="6">
        <v>18361</v>
      </c>
      <c r="J1723" s="2" t="s">
        <v>6356</v>
      </c>
      <c r="K1723" s="2" t="s">
        <v>34</v>
      </c>
      <c r="L1723" t="s">
        <v>35</v>
      </c>
      <c r="M1723" t="s">
        <v>29</v>
      </c>
      <c r="N1723" t="s">
        <v>30</v>
      </c>
      <c r="O1723">
        <v>37219</v>
      </c>
      <c r="P1723" t="s">
        <v>6357</v>
      </c>
      <c r="Q1723" s="2">
        <v>8.49</v>
      </c>
      <c r="R1723" s="2">
        <v>614</v>
      </c>
      <c r="S1723" s="2">
        <v>477</v>
      </c>
      <c r="T1723" t="s">
        <v>278</v>
      </c>
      <c r="U1723" s="6">
        <v>36581</v>
      </c>
      <c r="V1723" s="2">
        <v>47037018101</v>
      </c>
      <c r="W1723" s="2" t="s">
        <v>68</v>
      </c>
      <c r="X1723" s="1">
        <v>45658</v>
      </c>
      <c r="Y1723" s="2">
        <v>424600</v>
      </c>
      <c r="Z1723" s="2">
        <v>0</v>
      </c>
      <c r="AA1723" s="2">
        <v>424600</v>
      </c>
    </row>
    <row r="1724" spans="1:27" x14ac:dyDescent="0.3">
      <c r="A1724" s="3">
        <v>24</v>
      </c>
      <c r="B1724" s="2" t="str">
        <f>"09213013500"</f>
        <v>09213013500</v>
      </c>
      <c r="C1724" s="2" t="s">
        <v>6358</v>
      </c>
      <c r="D1724" t="s">
        <v>29</v>
      </c>
      <c r="E1724" s="2" t="s">
        <v>30</v>
      </c>
      <c r="F1724" s="2">
        <v>37209</v>
      </c>
      <c r="G1724" s="2" t="s">
        <v>253</v>
      </c>
      <c r="H1724" t="s">
        <v>6359</v>
      </c>
      <c r="I1724" s="6">
        <v>5659</v>
      </c>
      <c r="J1724" s="2" t="s">
        <v>6360</v>
      </c>
      <c r="K1724" s="2" t="s">
        <v>34</v>
      </c>
      <c r="L1724" t="s">
        <v>35</v>
      </c>
      <c r="M1724" t="s">
        <v>29</v>
      </c>
      <c r="N1724" t="s">
        <v>30</v>
      </c>
      <c r="O1724">
        <v>37219</v>
      </c>
      <c r="P1724" t="s">
        <v>6361</v>
      </c>
      <c r="Q1724" s="2">
        <v>4.91</v>
      </c>
      <c r="R1724" s="2">
        <v>671</v>
      </c>
      <c r="S1724" s="2">
        <v>320</v>
      </c>
      <c r="T1724" t="s">
        <v>6362</v>
      </c>
      <c r="U1724" s="6">
        <v>36013</v>
      </c>
      <c r="V1724" s="2">
        <v>47037013500</v>
      </c>
      <c r="W1724" s="2" t="s">
        <v>68</v>
      </c>
      <c r="X1724" s="1">
        <v>45658</v>
      </c>
      <c r="Y1724" s="2">
        <v>2639600</v>
      </c>
      <c r="Z1724" s="2">
        <v>0</v>
      </c>
      <c r="AA1724" s="2">
        <v>2639600</v>
      </c>
    </row>
    <row r="1725" spans="1:27" x14ac:dyDescent="0.3">
      <c r="A1725" s="3">
        <v>24</v>
      </c>
      <c r="B1725" s="2" t="str">
        <f>"10303022100"</f>
        <v>10303022100</v>
      </c>
      <c r="C1725" s="2" t="s">
        <v>6363</v>
      </c>
      <c r="D1725" t="s">
        <v>29</v>
      </c>
      <c r="E1725" s="2" t="s">
        <v>30</v>
      </c>
      <c r="F1725" s="2">
        <v>37209</v>
      </c>
      <c r="G1725" s="2" t="s">
        <v>253</v>
      </c>
      <c r="H1725" t="s">
        <v>6364</v>
      </c>
      <c r="I1725" s="6">
        <v>12781</v>
      </c>
      <c r="J1725" s="2" t="s">
        <v>6365</v>
      </c>
      <c r="K1725" s="2" t="s">
        <v>34</v>
      </c>
      <c r="L1725" t="s">
        <v>35</v>
      </c>
      <c r="M1725" t="s">
        <v>29</v>
      </c>
      <c r="N1725" t="s">
        <v>30</v>
      </c>
      <c r="O1725">
        <v>37219</v>
      </c>
      <c r="P1725" t="s">
        <v>6366</v>
      </c>
      <c r="Q1725" s="2">
        <v>4.6900000000000004</v>
      </c>
      <c r="R1725" s="2">
        <v>368</v>
      </c>
      <c r="S1725" s="2">
        <v>368</v>
      </c>
      <c r="T1725" t="s">
        <v>6367</v>
      </c>
      <c r="U1725" s="6">
        <v>12879</v>
      </c>
      <c r="V1725" s="2">
        <v>47037013400</v>
      </c>
      <c r="W1725" s="2" t="s">
        <v>68</v>
      </c>
      <c r="X1725" s="1">
        <v>45658</v>
      </c>
      <c r="Y1725" s="2">
        <v>2594500</v>
      </c>
      <c r="Z1725" s="2">
        <v>0</v>
      </c>
      <c r="AA1725" s="2">
        <v>2594500</v>
      </c>
    </row>
    <row r="1726" spans="1:27" x14ac:dyDescent="0.3">
      <c r="A1726" s="3">
        <v>24</v>
      </c>
      <c r="B1726" s="2" t="str">
        <f>"10409024400"</f>
        <v>10409024400</v>
      </c>
      <c r="C1726" s="2" t="s">
        <v>6368</v>
      </c>
      <c r="D1726" t="s">
        <v>29</v>
      </c>
      <c r="E1726" s="2" t="s">
        <v>30</v>
      </c>
      <c r="F1726" s="2">
        <v>37205</v>
      </c>
      <c r="G1726" s="2" t="s">
        <v>253</v>
      </c>
      <c r="H1726" t="s">
        <v>6369</v>
      </c>
      <c r="I1726" s="6">
        <v>13248</v>
      </c>
      <c r="J1726" s="2" t="s">
        <v>6370</v>
      </c>
      <c r="K1726" s="2" t="s">
        <v>34</v>
      </c>
      <c r="L1726" t="s">
        <v>35</v>
      </c>
      <c r="M1726" t="s">
        <v>29</v>
      </c>
      <c r="N1726" t="s">
        <v>30</v>
      </c>
      <c r="O1726">
        <v>37219</v>
      </c>
      <c r="P1726" t="s">
        <v>6371</v>
      </c>
      <c r="Q1726" s="2">
        <v>12.7</v>
      </c>
      <c r="R1726" s="2">
        <v>0</v>
      </c>
      <c r="S1726" s="2">
        <v>0</v>
      </c>
      <c r="T1726" t="s">
        <v>6370</v>
      </c>
      <c r="U1726" s="6">
        <v>13248</v>
      </c>
      <c r="V1726" s="2">
        <v>47037016700</v>
      </c>
      <c r="W1726" s="2" t="s">
        <v>68</v>
      </c>
      <c r="X1726" s="1">
        <v>45658</v>
      </c>
      <c r="Y1726" s="2">
        <v>2023200</v>
      </c>
      <c r="Z1726" s="2">
        <v>0</v>
      </c>
      <c r="AA1726" s="2">
        <v>2023200</v>
      </c>
    </row>
    <row r="1727" spans="1:27" x14ac:dyDescent="0.3">
      <c r="A1727" s="3">
        <v>24</v>
      </c>
      <c r="B1727" s="2" t="str">
        <f>"11608014000"</f>
        <v>11608014000</v>
      </c>
      <c r="C1727" s="2" t="s">
        <v>6372</v>
      </c>
      <c r="D1727" t="s">
        <v>29</v>
      </c>
      <c r="E1727" s="2" t="s">
        <v>30</v>
      </c>
      <c r="F1727" s="2">
        <v>37215</v>
      </c>
      <c r="G1727" s="2" t="s">
        <v>253</v>
      </c>
      <c r="H1727" t="s">
        <v>6373</v>
      </c>
      <c r="I1727" s="6">
        <v>15357</v>
      </c>
      <c r="J1727" s="2" t="s">
        <v>6374</v>
      </c>
      <c r="K1727" s="2" t="s">
        <v>34</v>
      </c>
      <c r="L1727" t="s">
        <v>35</v>
      </c>
      <c r="M1727" t="s">
        <v>29</v>
      </c>
      <c r="N1727" t="s">
        <v>30</v>
      </c>
      <c r="O1727">
        <v>37219</v>
      </c>
      <c r="P1727" t="s">
        <v>6375</v>
      </c>
      <c r="Q1727" s="2">
        <v>3.22</v>
      </c>
      <c r="R1727" s="2">
        <v>350</v>
      </c>
      <c r="S1727" s="2">
        <v>400</v>
      </c>
      <c r="T1727" t="s">
        <v>6374</v>
      </c>
      <c r="U1727" s="6">
        <v>15357</v>
      </c>
      <c r="V1727" s="2">
        <v>47037018000</v>
      </c>
      <c r="W1727" s="2" t="s">
        <v>68</v>
      </c>
      <c r="X1727" s="1">
        <v>45658</v>
      </c>
      <c r="Y1727" s="2">
        <v>1610000</v>
      </c>
      <c r="Z1727" s="2">
        <v>0</v>
      </c>
      <c r="AA1727" s="2">
        <v>1610000</v>
      </c>
    </row>
    <row r="1728" spans="1:27" x14ac:dyDescent="0.3">
      <c r="A1728" s="3">
        <v>24</v>
      </c>
      <c r="B1728" s="2" t="str">
        <f>"09209017700"</f>
        <v>09209017700</v>
      </c>
      <c r="C1728" s="2" t="s">
        <v>6376</v>
      </c>
      <c r="D1728" t="s">
        <v>29</v>
      </c>
      <c r="E1728" s="2" t="s">
        <v>30</v>
      </c>
      <c r="F1728" s="2">
        <v>37209</v>
      </c>
      <c r="G1728" s="2" t="s">
        <v>152</v>
      </c>
      <c r="H1728" t="s">
        <v>280</v>
      </c>
      <c r="I1728" s="6">
        <v>17982</v>
      </c>
      <c r="J1728" s="2" t="s">
        <v>6377</v>
      </c>
      <c r="K1728" s="2" t="s">
        <v>34</v>
      </c>
      <c r="L1728" t="s">
        <v>35</v>
      </c>
      <c r="M1728" t="s">
        <v>29</v>
      </c>
      <c r="N1728" t="s">
        <v>30</v>
      </c>
      <c r="O1728">
        <v>37219</v>
      </c>
      <c r="P1728" t="s">
        <v>6378</v>
      </c>
      <c r="Q1728" s="2">
        <v>1.29</v>
      </c>
      <c r="R1728" s="2">
        <v>200</v>
      </c>
      <c r="S1728" s="2">
        <v>158</v>
      </c>
      <c r="T1728" t="s">
        <v>6379</v>
      </c>
      <c r="U1728" s="6">
        <v>29221</v>
      </c>
      <c r="V1728" s="2">
        <v>47037013500</v>
      </c>
      <c r="W1728" s="2" t="s">
        <v>68</v>
      </c>
      <c r="X1728" s="1">
        <v>45658</v>
      </c>
      <c r="Y1728" s="2">
        <v>5057300</v>
      </c>
      <c r="Z1728" s="2">
        <v>0</v>
      </c>
      <c r="AA1728" s="2">
        <v>5057300</v>
      </c>
    </row>
    <row r="1729" spans="1:27" x14ac:dyDescent="0.3">
      <c r="A1729" s="3">
        <v>24</v>
      </c>
      <c r="B1729" s="2" t="str">
        <f>"10303000600"</f>
        <v>10303000600</v>
      </c>
      <c r="C1729" s="2" t="s">
        <v>6380</v>
      </c>
      <c r="D1729" t="s">
        <v>29</v>
      </c>
      <c r="E1729" s="2" t="s">
        <v>30</v>
      </c>
      <c r="F1729" s="2">
        <v>37209</v>
      </c>
      <c r="G1729" s="2" t="s">
        <v>64</v>
      </c>
      <c r="H1729" t="s">
        <v>280</v>
      </c>
      <c r="I1729" s="6">
        <v>40921</v>
      </c>
      <c r="J1729" s="2" t="s">
        <v>6381</v>
      </c>
      <c r="K1729" s="2">
        <v>0</v>
      </c>
      <c r="L1729" t="s">
        <v>35</v>
      </c>
      <c r="M1729" t="s">
        <v>29</v>
      </c>
      <c r="N1729" t="s">
        <v>30</v>
      </c>
      <c r="O1729">
        <v>37219</v>
      </c>
      <c r="P1729" t="s">
        <v>6382</v>
      </c>
      <c r="Q1729" s="2">
        <v>0.27</v>
      </c>
      <c r="R1729" s="2">
        <v>60</v>
      </c>
      <c r="S1729" s="2">
        <v>198</v>
      </c>
      <c r="T1729" t="s">
        <v>6383</v>
      </c>
      <c r="U1729" s="6">
        <v>25652</v>
      </c>
      <c r="V1729" s="2">
        <v>47037018101</v>
      </c>
      <c r="W1729" s="2" t="s">
        <v>68</v>
      </c>
      <c r="X1729" s="1">
        <v>45658</v>
      </c>
      <c r="Y1729" s="2">
        <v>125000</v>
      </c>
      <c r="Z1729" s="2">
        <v>0</v>
      </c>
      <c r="AA1729" s="2">
        <v>125000</v>
      </c>
    </row>
    <row r="1730" spans="1:27" x14ac:dyDescent="0.3">
      <c r="A1730" s="3">
        <v>24</v>
      </c>
      <c r="B1730" s="2" t="str">
        <f>"10303000700"</f>
        <v>10303000700</v>
      </c>
      <c r="C1730" s="2" t="s">
        <v>6384</v>
      </c>
      <c r="D1730" t="s">
        <v>29</v>
      </c>
      <c r="E1730" s="2" t="s">
        <v>30</v>
      </c>
      <c r="F1730" s="2">
        <v>37209</v>
      </c>
      <c r="G1730" s="2" t="s">
        <v>64</v>
      </c>
      <c r="H1730" t="s">
        <v>280</v>
      </c>
      <c r="I1730" s="6">
        <v>40893</v>
      </c>
      <c r="J1730" s="2" t="s">
        <v>6385</v>
      </c>
      <c r="K1730" s="2">
        <v>0</v>
      </c>
      <c r="L1730" t="s">
        <v>35</v>
      </c>
      <c r="M1730" t="s">
        <v>29</v>
      </c>
      <c r="N1730" t="s">
        <v>30</v>
      </c>
      <c r="O1730">
        <v>37219</v>
      </c>
      <c r="P1730" t="s">
        <v>6386</v>
      </c>
      <c r="Q1730" s="2">
        <v>0.27</v>
      </c>
      <c r="R1730" s="2">
        <v>60</v>
      </c>
      <c r="S1730" s="2">
        <v>191</v>
      </c>
      <c r="T1730" t="s">
        <v>6387</v>
      </c>
      <c r="U1730" s="6">
        <v>26687</v>
      </c>
      <c r="V1730" s="2">
        <v>47037018101</v>
      </c>
      <c r="W1730" s="2" t="s">
        <v>68</v>
      </c>
      <c r="X1730" s="1">
        <v>45658</v>
      </c>
      <c r="Y1730" s="2">
        <v>125000</v>
      </c>
      <c r="Z1730" s="2">
        <v>0</v>
      </c>
      <c r="AA1730" s="2">
        <v>125000</v>
      </c>
    </row>
    <row r="1731" spans="1:27" x14ac:dyDescent="0.3">
      <c r="A1731" s="3">
        <v>24</v>
      </c>
      <c r="B1731" s="2" t="str">
        <f>"10303000800"</f>
        <v>10303000800</v>
      </c>
      <c r="C1731" s="2" t="s">
        <v>6388</v>
      </c>
      <c r="D1731" t="s">
        <v>29</v>
      </c>
      <c r="E1731" s="2" t="s">
        <v>30</v>
      </c>
      <c r="F1731" s="2">
        <v>37209</v>
      </c>
      <c r="G1731" s="2" t="s">
        <v>64</v>
      </c>
      <c r="H1731" t="s">
        <v>280</v>
      </c>
      <c r="I1731" s="6">
        <v>41085</v>
      </c>
      <c r="J1731" s="2" t="s">
        <v>6389</v>
      </c>
      <c r="K1731" s="2">
        <v>0</v>
      </c>
      <c r="L1731" t="s">
        <v>35</v>
      </c>
      <c r="M1731" t="s">
        <v>29</v>
      </c>
      <c r="N1731" t="s">
        <v>30</v>
      </c>
      <c r="O1731">
        <v>37219</v>
      </c>
      <c r="P1731" t="s">
        <v>6390</v>
      </c>
      <c r="Q1731" s="2">
        <v>0.26</v>
      </c>
      <c r="R1731" s="2">
        <v>60</v>
      </c>
      <c r="S1731" s="2">
        <v>183</v>
      </c>
      <c r="T1731" t="s">
        <v>6391</v>
      </c>
      <c r="U1731" s="6">
        <v>23188</v>
      </c>
      <c r="V1731" s="2">
        <v>47037018101</v>
      </c>
      <c r="W1731" s="2" t="s">
        <v>68</v>
      </c>
      <c r="X1731" s="1">
        <v>45658</v>
      </c>
      <c r="Y1731" s="2">
        <v>125000</v>
      </c>
      <c r="Z1731" s="2">
        <v>0</v>
      </c>
      <c r="AA1731" s="2">
        <v>125000</v>
      </c>
    </row>
    <row r="1732" spans="1:27" x14ac:dyDescent="0.3">
      <c r="A1732" s="3">
        <v>24</v>
      </c>
      <c r="B1732" s="2" t="str">
        <f>"11604006900"</f>
        <v>11604006900</v>
      </c>
      <c r="C1732" s="2" t="s">
        <v>6392</v>
      </c>
      <c r="D1732" t="s">
        <v>29</v>
      </c>
      <c r="E1732" s="2" t="s">
        <v>30</v>
      </c>
      <c r="F1732" s="2">
        <v>37205</v>
      </c>
      <c r="G1732" s="2" t="s">
        <v>64</v>
      </c>
      <c r="H1732" t="s">
        <v>280</v>
      </c>
      <c r="I1732" s="6">
        <v>27045</v>
      </c>
      <c r="J1732" s="2" t="s">
        <v>6393</v>
      </c>
      <c r="K1732" s="2">
        <v>234</v>
      </c>
      <c r="L1732" t="s">
        <v>35</v>
      </c>
      <c r="M1732" t="s">
        <v>29</v>
      </c>
      <c r="N1732" t="s">
        <v>30</v>
      </c>
      <c r="O1732">
        <v>37219</v>
      </c>
      <c r="P1732" t="s">
        <v>6394</v>
      </c>
      <c r="Q1732" s="2">
        <v>0.27</v>
      </c>
      <c r="R1732" s="2">
        <v>10</v>
      </c>
      <c r="S1732" s="2">
        <v>110</v>
      </c>
      <c r="T1732" t="s">
        <v>6287</v>
      </c>
      <c r="U1732" s="6">
        <v>5285</v>
      </c>
      <c r="V1732" s="2">
        <v>47037018000</v>
      </c>
      <c r="W1732" s="2" t="s">
        <v>68</v>
      </c>
      <c r="X1732" s="1">
        <v>45658</v>
      </c>
      <c r="Y1732" s="2">
        <v>5100</v>
      </c>
      <c r="Z1732" s="2">
        <v>0</v>
      </c>
      <c r="AA1732" s="2">
        <v>5100</v>
      </c>
    </row>
    <row r="1733" spans="1:27" x14ac:dyDescent="0.3">
      <c r="A1733" s="3">
        <v>24</v>
      </c>
      <c r="B1733" s="2" t="str">
        <f>"11608008500"</f>
        <v>11608008500</v>
      </c>
      <c r="C1733" s="2" t="s">
        <v>6395</v>
      </c>
      <c r="D1733" t="s">
        <v>29</v>
      </c>
      <c r="E1733" s="2" t="s">
        <v>30</v>
      </c>
      <c r="F1733" s="2">
        <v>37215</v>
      </c>
      <c r="G1733" s="2" t="s">
        <v>152</v>
      </c>
      <c r="H1733" t="s">
        <v>280</v>
      </c>
      <c r="I1733" s="6">
        <v>27395</v>
      </c>
      <c r="J1733" s="2" t="s">
        <v>6396</v>
      </c>
      <c r="K1733" s="2" t="s">
        <v>34</v>
      </c>
      <c r="L1733" t="s">
        <v>35</v>
      </c>
      <c r="M1733" t="s">
        <v>29</v>
      </c>
      <c r="N1733" t="s">
        <v>30</v>
      </c>
      <c r="O1733">
        <v>37219</v>
      </c>
      <c r="P1733" t="s">
        <v>6397</v>
      </c>
      <c r="Q1733" s="2">
        <v>0.16</v>
      </c>
      <c r="R1733" s="2">
        <v>60</v>
      </c>
      <c r="S1733" s="2">
        <v>71</v>
      </c>
      <c r="T1733" t="s">
        <v>6398</v>
      </c>
      <c r="U1733" s="6">
        <v>5981</v>
      </c>
      <c r="V1733" s="2">
        <v>47037018000</v>
      </c>
      <c r="W1733" s="2" t="s">
        <v>68</v>
      </c>
      <c r="X1733" s="1">
        <v>45658</v>
      </c>
      <c r="Y1733" s="2">
        <v>5100</v>
      </c>
      <c r="Z1733" s="2">
        <v>0</v>
      </c>
      <c r="AA1733" s="2">
        <v>5100</v>
      </c>
    </row>
    <row r="1734" spans="1:27" x14ac:dyDescent="0.3">
      <c r="A1734" s="3">
        <v>25</v>
      </c>
      <c r="B1734" s="2" t="str">
        <f>"11715000100"</f>
        <v>11715000100</v>
      </c>
      <c r="C1734" s="2" t="s">
        <v>6399</v>
      </c>
      <c r="D1734" t="s">
        <v>29</v>
      </c>
      <c r="E1734" s="2" t="s">
        <v>30</v>
      </c>
      <c r="F1734" s="2">
        <v>37215</v>
      </c>
      <c r="G1734" s="2" t="s">
        <v>6400</v>
      </c>
      <c r="H1734" t="s">
        <v>32</v>
      </c>
      <c r="I1734" s="6">
        <v>44903</v>
      </c>
      <c r="J1734" s="2" t="s">
        <v>6401</v>
      </c>
      <c r="K1734" s="2">
        <v>7350000</v>
      </c>
      <c r="L1734" t="s">
        <v>35</v>
      </c>
      <c r="M1734" t="s">
        <v>29</v>
      </c>
      <c r="N1734" t="s">
        <v>30</v>
      </c>
      <c r="O1734">
        <v>37219</v>
      </c>
      <c r="P1734" t="s">
        <v>6402</v>
      </c>
      <c r="Q1734" s="2">
        <v>0.92</v>
      </c>
      <c r="R1734" s="2">
        <v>138</v>
      </c>
      <c r="S1734" s="2">
        <v>213</v>
      </c>
      <c r="T1734" t="s">
        <v>6403</v>
      </c>
      <c r="U1734" s="6">
        <v>14788</v>
      </c>
      <c r="V1734" s="2">
        <v>47037017901</v>
      </c>
      <c r="W1734" s="2" t="s">
        <v>68</v>
      </c>
      <c r="X1734" s="1">
        <v>45658</v>
      </c>
      <c r="Y1734" s="2">
        <v>8816500</v>
      </c>
      <c r="Z1734" s="2">
        <v>0</v>
      </c>
      <c r="AA1734" s="2">
        <v>8816500</v>
      </c>
    </row>
    <row r="1735" spans="1:27" x14ac:dyDescent="0.3">
      <c r="A1735" s="3">
        <v>25</v>
      </c>
      <c r="B1735" s="2" t="str">
        <f>"11711008500"</f>
        <v>11711008500</v>
      </c>
      <c r="C1735" s="2" t="s">
        <v>6404</v>
      </c>
      <c r="D1735" t="s">
        <v>29</v>
      </c>
      <c r="E1735" s="2" t="s">
        <v>30</v>
      </c>
      <c r="F1735" s="2">
        <v>37215</v>
      </c>
      <c r="G1735" s="2" t="s">
        <v>64</v>
      </c>
      <c r="H1735" t="s">
        <v>6405</v>
      </c>
      <c r="I1735" s="6">
        <v>36165</v>
      </c>
      <c r="J1735" s="2" t="s">
        <v>6406</v>
      </c>
      <c r="K1735" s="2" t="s">
        <v>34</v>
      </c>
      <c r="L1735" t="s">
        <v>35</v>
      </c>
      <c r="M1735" t="s">
        <v>29</v>
      </c>
      <c r="N1735" t="s">
        <v>30</v>
      </c>
      <c r="O1735">
        <v>37219</v>
      </c>
      <c r="P1735" t="s">
        <v>6407</v>
      </c>
      <c r="Q1735" s="2">
        <v>6.35</v>
      </c>
      <c r="R1735" s="2">
        <v>0</v>
      </c>
      <c r="S1735" s="2">
        <v>0</v>
      </c>
      <c r="T1735" t="s">
        <v>6408</v>
      </c>
      <c r="U1735" s="6">
        <v>36535</v>
      </c>
      <c r="V1735" s="2">
        <v>47037017800</v>
      </c>
      <c r="W1735" s="2" t="s">
        <v>68</v>
      </c>
      <c r="X1735" s="1">
        <v>45658</v>
      </c>
      <c r="Y1735" s="2">
        <v>1625800</v>
      </c>
      <c r="Z1735" s="2">
        <v>0</v>
      </c>
      <c r="AA1735" s="2">
        <v>1625800</v>
      </c>
    </row>
    <row r="1736" spans="1:27" x14ac:dyDescent="0.3">
      <c r="A1736" s="3">
        <v>25</v>
      </c>
      <c r="B1736" s="2" t="str">
        <f>"11715000400"</f>
        <v>11715000400</v>
      </c>
      <c r="C1736" s="2" t="s">
        <v>6409</v>
      </c>
      <c r="D1736" t="s">
        <v>29</v>
      </c>
      <c r="E1736" s="2" t="s">
        <v>30</v>
      </c>
      <c r="F1736" s="2">
        <v>37215</v>
      </c>
      <c r="G1736" s="2" t="s">
        <v>2490</v>
      </c>
      <c r="H1736" t="s">
        <v>176</v>
      </c>
      <c r="I1736" s="6">
        <v>29532</v>
      </c>
      <c r="J1736" s="2" t="s">
        <v>6410</v>
      </c>
      <c r="K1736" s="2" t="s">
        <v>34</v>
      </c>
      <c r="L1736" t="s">
        <v>178</v>
      </c>
      <c r="M1736" t="s">
        <v>29</v>
      </c>
      <c r="N1736" t="s">
        <v>30</v>
      </c>
      <c r="O1736">
        <v>37246</v>
      </c>
      <c r="P1736" t="s">
        <v>6411</v>
      </c>
      <c r="Q1736" s="2">
        <v>0.38</v>
      </c>
      <c r="R1736" s="2">
        <v>20</v>
      </c>
      <c r="S1736" s="2">
        <v>310</v>
      </c>
      <c r="T1736" t="s">
        <v>6412</v>
      </c>
      <c r="U1736" s="6">
        <v>29532</v>
      </c>
      <c r="V1736" s="2">
        <v>47037017800</v>
      </c>
      <c r="W1736" s="2" t="s">
        <v>68</v>
      </c>
      <c r="X1736" s="1">
        <v>45658</v>
      </c>
      <c r="Y1736" s="2">
        <v>1452100</v>
      </c>
      <c r="Z1736" s="2">
        <v>44700</v>
      </c>
      <c r="AA1736" s="2">
        <v>1407400</v>
      </c>
    </row>
    <row r="1737" spans="1:27" x14ac:dyDescent="0.3">
      <c r="A1737" s="3">
        <v>25</v>
      </c>
      <c r="B1737" s="2" t="str">
        <f>"11714012600"</f>
        <v>11714012600</v>
      </c>
      <c r="C1737" s="2" t="s">
        <v>6413</v>
      </c>
      <c r="D1737" t="s">
        <v>29</v>
      </c>
      <c r="E1737" s="2" t="s">
        <v>30</v>
      </c>
      <c r="F1737" s="2">
        <v>37215</v>
      </c>
      <c r="G1737" s="2" t="s">
        <v>41</v>
      </c>
      <c r="H1737" t="s">
        <v>176</v>
      </c>
      <c r="I1737" s="6">
        <v>25373</v>
      </c>
      <c r="J1737" s="2" t="s">
        <v>6414</v>
      </c>
      <c r="K1737" s="2" t="s">
        <v>34</v>
      </c>
      <c r="L1737" t="s">
        <v>178</v>
      </c>
      <c r="M1737" t="s">
        <v>29</v>
      </c>
      <c r="N1737" t="s">
        <v>30</v>
      </c>
      <c r="O1737">
        <v>37246</v>
      </c>
      <c r="P1737" t="s">
        <v>6415</v>
      </c>
      <c r="Q1737" s="2">
        <v>0.61</v>
      </c>
      <c r="R1737" s="2">
        <v>90</v>
      </c>
      <c r="S1737" s="2">
        <v>292</v>
      </c>
      <c r="T1737" t="s">
        <v>6414</v>
      </c>
      <c r="U1737" s="6">
        <v>25373</v>
      </c>
      <c r="V1737" s="2">
        <v>47037017901</v>
      </c>
      <c r="W1737" s="2" t="s">
        <v>68</v>
      </c>
      <c r="X1737" s="1">
        <v>45658</v>
      </c>
      <c r="Y1737" s="2">
        <v>4782800</v>
      </c>
      <c r="Z1737" s="2">
        <v>0</v>
      </c>
      <c r="AA1737" s="2">
        <v>4782800</v>
      </c>
    </row>
    <row r="1738" spans="1:27" x14ac:dyDescent="0.3">
      <c r="A1738" s="3">
        <v>25</v>
      </c>
      <c r="B1738" s="2" t="str">
        <f>"11714012700"</f>
        <v>11714012700</v>
      </c>
      <c r="C1738" s="2" t="s">
        <v>6416</v>
      </c>
      <c r="D1738" t="s">
        <v>29</v>
      </c>
      <c r="E1738" s="2" t="s">
        <v>30</v>
      </c>
      <c r="F1738" s="2">
        <v>37215</v>
      </c>
      <c r="G1738" s="2" t="s">
        <v>152</v>
      </c>
      <c r="H1738" t="s">
        <v>176</v>
      </c>
      <c r="I1738" s="6">
        <v>25373</v>
      </c>
      <c r="J1738" s="2" t="s">
        <v>6417</v>
      </c>
      <c r="K1738" s="2" t="s">
        <v>34</v>
      </c>
      <c r="L1738" t="s">
        <v>178</v>
      </c>
      <c r="M1738" t="s">
        <v>29</v>
      </c>
      <c r="N1738" t="s">
        <v>30</v>
      </c>
      <c r="O1738">
        <v>37246</v>
      </c>
      <c r="P1738" t="s">
        <v>6418</v>
      </c>
      <c r="Q1738" s="2">
        <v>0.61</v>
      </c>
      <c r="R1738" s="2">
        <v>90</v>
      </c>
      <c r="S1738" s="2">
        <v>292</v>
      </c>
      <c r="T1738" t="s">
        <v>6417</v>
      </c>
      <c r="U1738" s="6">
        <v>25373</v>
      </c>
      <c r="V1738" s="2">
        <v>47037017901</v>
      </c>
      <c r="W1738" s="2" t="s">
        <v>68</v>
      </c>
      <c r="X1738" s="1">
        <v>45658</v>
      </c>
      <c r="Y1738" s="2">
        <v>4782800</v>
      </c>
      <c r="Z1738" s="2">
        <v>0</v>
      </c>
      <c r="AA1738" s="2">
        <v>4782800</v>
      </c>
    </row>
    <row r="1739" spans="1:27" x14ac:dyDescent="0.3">
      <c r="A1739" s="3">
        <v>25</v>
      </c>
      <c r="B1739" s="2" t="str">
        <f>"13201021200"</f>
        <v>13201021200</v>
      </c>
      <c r="C1739" s="2" t="s">
        <v>6419</v>
      </c>
      <c r="D1739" t="s">
        <v>29</v>
      </c>
      <c r="E1739" s="2" t="s">
        <v>30</v>
      </c>
      <c r="F1739" s="2">
        <v>37204</v>
      </c>
      <c r="G1739" s="2" t="s">
        <v>152</v>
      </c>
      <c r="H1739" t="s">
        <v>176</v>
      </c>
      <c r="I1739" s="6">
        <v>18162</v>
      </c>
      <c r="J1739" s="2" t="s">
        <v>6420</v>
      </c>
      <c r="K1739" s="2" t="s">
        <v>34</v>
      </c>
      <c r="L1739" t="s">
        <v>178</v>
      </c>
      <c r="M1739" t="s">
        <v>29</v>
      </c>
      <c r="N1739" t="s">
        <v>30</v>
      </c>
      <c r="O1739">
        <v>37246</v>
      </c>
      <c r="P1739" t="s">
        <v>6421</v>
      </c>
      <c r="Q1739" s="2">
        <v>0.83</v>
      </c>
      <c r="R1739" s="2">
        <v>115</v>
      </c>
      <c r="S1739" s="2">
        <v>294</v>
      </c>
      <c r="T1739" t="s">
        <v>6422</v>
      </c>
      <c r="U1739" s="6">
        <v>36077</v>
      </c>
      <c r="V1739" s="2">
        <v>47037017701</v>
      </c>
      <c r="W1739" s="2" t="s">
        <v>68</v>
      </c>
      <c r="X1739" s="1">
        <v>45658</v>
      </c>
      <c r="Y1739" s="2">
        <v>552500</v>
      </c>
      <c r="Z1739" s="2">
        <v>0</v>
      </c>
      <c r="AA1739" s="2">
        <v>552500</v>
      </c>
    </row>
    <row r="1740" spans="1:27" x14ac:dyDescent="0.3">
      <c r="A1740" s="3">
        <v>25</v>
      </c>
      <c r="B1740" s="2" t="str">
        <f>"13201003400"</f>
        <v>13201003400</v>
      </c>
      <c r="C1740" s="2" t="s">
        <v>6423</v>
      </c>
      <c r="D1740" t="s">
        <v>29</v>
      </c>
      <c r="E1740" s="2" t="s">
        <v>30</v>
      </c>
      <c r="F1740" s="2">
        <v>37204</v>
      </c>
      <c r="G1740" s="2" t="s">
        <v>152</v>
      </c>
      <c r="H1740" t="s">
        <v>176</v>
      </c>
      <c r="I1740" s="6">
        <v>18162</v>
      </c>
      <c r="J1740" s="2" t="s">
        <v>6420</v>
      </c>
      <c r="K1740" s="2" t="s">
        <v>34</v>
      </c>
      <c r="L1740" t="s">
        <v>178</v>
      </c>
      <c r="M1740" t="s">
        <v>29</v>
      </c>
      <c r="N1740" t="s">
        <v>30</v>
      </c>
      <c r="O1740">
        <v>37246</v>
      </c>
      <c r="P1740" t="s">
        <v>6424</v>
      </c>
      <c r="Q1740" s="2">
        <v>0.87</v>
      </c>
      <c r="R1740" s="2">
        <v>110</v>
      </c>
      <c r="S1740" s="2">
        <v>297</v>
      </c>
      <c r="T1740" t="s">
        <v>6422</v>
      </c>
      <c r="U1740" s="6">
        <v>36077</v>
      </c>
      <c r="V1740" s="2">
        <v>47037017701</v>
      </c>
      <c r="W1740" s="2" t="s">
        <v>68</v>
      </c>
      <c r="X1740" s="1">
        <v>45658</v>
      </c>
      <c r="Y1740" s="2">
        <v>552500</v>
      </c>
      <c r="Z1740" s="2">
        <v>0</v>
      </c>
      <c r="AA1740" s="2">
        <v>552500</v>
      </c>
    </row>
    <row r="1741" spans="1:27" x14ac:dyDescent="0.3">
      <c r="A1741" s="3">
        <v>25</v>
      </c>
      <c r="B1741" s="2" t="str">
        <f>"13207001800"</f>
        <v>13207001800</v>
      </c>
      <c r="C1741" s="2" t="s">
        <v>6425</v>
      </c>
      <c r="D1741" t="s">
        <v>29</v>
      </c>
      <c r="E1741" s="2" t="s">
        <v>30</v>
      </c>
      <c r="F1741" s="2">
        <v>37204</v>
      </c>
      <c r="G1741" s="2" t="s">
        <v>152</v>
      </c>
      <c r="H1741" t="s">
        <v>176</v>
      </c>
      <c r="I1741" s="6">
        <v>20200</v>
      </c>
      <c r="J1741" s="2" t="s">
        <v>6426</v>
      </c>
      <c r="K1741" s="2" t="s">
        <v>34</v>
      </c>
      <c r="L1741" t="s">
        <v>178</v>
      </c>
      <c r="M1741" t="s">
        <v>29</v>
      </c>
      <c r="N1741" t="s">
        <v>30</v>
      </c>
      <c r="O1741">
        <v>37246</v>
      </c>
      <c r="P1741" t="s">
        <v>6427</v>
      </c>
      <c r="Q1741" s="2">
        <v>0.21</v>
      </c>
      <c r="R1741" s="2">
        <v>65</v>
      </c>
      <c r="S1741" s="2">
        <v>153</v>
      </c>
      <c r="T1741" t="s">
        <v>6428</v>
      </c>
      <c r="U1741" s="6">
        <v>39739</v>
      </c>
      <c r="V1741" s="2">
        <v>47037017701</v>
      </c>
      <c r="W1741" s="2" t="s">
        <v>6429</v>
      </c>
      <c r="X1741" s="1">
        <v>45658</v>
      </c>
      <c r="Y1741" s="2">
        <v>4400</v>
      </c>
      <c r="Z1741" s="2">
        <v>0</v>
      </c>
      <c r="AA1741" s="2">
        <v>4400</v>
      </c>
    </row>
    <row r="1742" spans="1:27" x14ac:dyDescent="0.3">
      <c r="A1742" s="3">
        <v>25</v>
      </c>
      <c r="B1742" s="2" t="str">
        <f>"13209000300"</f>
        <v>13209000300</v>
      </c>
      <c r="C1742" s="2" t="s">
        <v>6430</v>
      </c>
      <c r="D1742" t="s">
        <v>29</v>
      </c>
      <c r="E1742" s="2" t="s">
        <v>30</v>
      </c>
      <c r="F1742" s="2">
        <v>37204</v>
      </c>
      <c r="G1742" s="2" t="s">
        <v>152</v>
      </c>
      <c r="H1742" t="s">
        <v>176</v>
      </c>
      <c r="I1742" s="6">
        <v>20431</v>
      </c>
      <c r="J1742" s="2" t="s">
        <v>6431</v>
      </c>
      <c r="K1742" s="2" t="s">
        <v>34</v>
      </c>
      <c r="L1742" t="s">
        <v>178</v>
      </c>
      <c r="M1742" t="s">
        <v>29</v>
      </c>
      <c r="N1742" t="s">
        <v>30</v>
      </c>
      <c r="O1742">
        <v>37246</v>
      </c>
      <c r="P1742" t="s">
        <v>6432</v>
      </c>
      <c r="Q1742" s="2">
        <v>0.31</v>
      </c>
      <c r="R1742" s="2">
        <v>98</v>
      </c>
      <c r="S1742" s="2">
        <v>130</v>
      </c>
      <c r="T1742" t="s">
        <v>6431</v>
      </c>
      <c r="U1742" s="6">
        <v>20431</v>
      </c>
      <c r="V1742" s="2">
        <v>47037017702</v>
      </c>
      <c r="W1742" s="2" t="s">
        <v>68</v>
      </c>
      <c r="X1742" s="1">
        <v>45658</v>
      </c>
      <c r="Y1742" s="2">
        <v>425000</v>
      </c>
      <c r="Z1742" s="2">
        <v>0</v>
      </c>
      <c r="AA1742" s="2">
        <v>425000</v>
      </c>
    </row>
    <row r="1743" spans="1:27" x14ac:dyDescent="0.3">
      <c r="A1743" s="3">
        <v>25</v>
      </c>
      <c r="B1743" s="2" t="str">
        <f>"13103022700"</f>
        <v>13103022700</v>
      </c>
      <c r="C1743" s="2" t="s">
        <v>6433</v>
      </c>
      <c r="D1743" t="s">
        <v>29</v>
      </c>
      <c r="E1743" s="2" t="s">
        <v>30</v>
      </c>
      <c r="F1743" s="2">
        <v>37215</v>
      </c>
      <c r="G1743" s="2" t="s">
        <v>152</v>
      </c>
      <c r="H1743" t="s">
        <v>176</v>
      </c>
      <c r="I1743" s="6">
        <v>20269</v>
      </c>
      <c r="J1743" s="2" t="s">
        <v>6434</v>
      </c>
      <c r="K1743" s="2" t="s">
        <v>34</v>
      </c>
      <c r="L1743" t="s">
        <v>178</v>
      </c>
      <c r="M1743" t="s">
        <v>29</v>
      </c>
      <c r="N1743" t="s">
        <v>30</v>
      </c>
      <c r="O1743">
        <v>37246</v>
      </c>
      <c r="P1743" t="s">
        <v>6435</v>
      </c>
      <c r="Q1743" s="2">
        <v>2.15</v>
      </c>
      <c r="R1743" s="2">
        <v>235</v>
      </c>
      <c r="S1743" s="2">
        <v>375</v>
      </c>
      <c r="T1743" t="s">
        <v>6434</v>
      </c>
      <c r="U1743" s="6">
        <v>20269</v>
      </c>
      <c r="V1743" s="2">
        <v>47037017702</v>
      </c>
      <c r="W1743" s="2" t="s">
        <v>68</v>
      </c>
      <c r="X1743" s="1">
        <v>45658</v>
      </c>
      <c r="Y1743" s="2">
        <v>959500</v>
      </c>
      <c r="Z1743" s="2">
        <v>0</v>
      </c>
      <c r="AA1743" s="2">
        <v>959500</v>
      </c>
    </row>
    <row r="1744" spans="1:27" x14ac:dyDescent="0.3">
      <c r="A1744" s="3">
        <v>25</v>
      </c>
      <c r="B1744" s="2" t="str">
        <f>"13107011000"</f>
        <v>13107011000</v>
      </c>
      <c r="C1744" s="2" t="s">
        <v>6436</v>
      </c>
      <c r="D1744" t="s">
        <v>29</v>
      </c>
      <c r="E1744" s="2" t="s">
        <v>30</v>
      </c>
      <c r="F1744" s="2">
        <v>37215</v>
      </c>
      <c r="G1744" s="2" t="s">
        <v>200</v>
      </c>
      <c r="H1744" t="s">
        <v>6437</v>
      </c>
      <c r="I1744" s="6">
        <v>24329</v>
      </c>
      <c r="J1744" s="2" t="s">
        <v>6438</v>
      </c>
      <c r="K1744" s="2" t="s">
        <v>34</v>
      </c>
      <c r="L1744" t="s">
        <v>35</v>
      </c>
      <c r="M1744" t="s">
        <v>29</v>
      </c>
      <c r="N1744" t="s">
        <v>30</v>
      </c>
      <c r="O1744">
        <v>37219</v>
      </c>
      <c r="P1744" t="s">
        <v>6439</v>
      </c>
      <c r="Q1744" s="2">
        <v>13.9</v>
      </c>
      <c r="R1744" s="2">
        <v>0</v>
      </c>
      <c r="S1744" s="2">
        <v>0</v>
      </c>
      <c r="T1744" t="s">
        <v>6438</v>
      </c>
      <c r="U1744" s="6">
        <v>24329</v>
      </c>
      <c r="V1744" s="2">
        <v>47037017702</v>
      </c>
      <c r="W1744" s="2" t="s">
        <v>68</v>
      </c>
      <c r="X1744" s="1">
        <v>45658</v>
      </c>
      <c r="Y1744" s="2">
        <v>2702800</v>
      </c>
      <c r="Z1744" s="2">
        <v>0</v>
      </c>
      <c r="AA1744" s="2">
        <v>2702800</v>
      </c>
    </row>
    <row r="1745" spans="1:27" x14ac:dyDescent="0.3">
      <c r="A1745" s="3">
        <v>25</v>
      </c>
      <c r="B1745" s="2" t="str">
        <f>"11810008900"</f>
        <v>11810008900</v>
      </c>
      <c r="C1745" s="2" t="s">
        <v>6440</v>
      </c>
      <c r="D1745" t="s">
        <v>29</v>
      </c>
      <c r="E1745" s="2" t="s">
        <v>30</v>
      </c>
      <c r="F1745" s="2">
        <v>37204</v>
      </c>
      <c r="G1745" s="2" t="s">
        <v>64</v>
      </c>
      <c r="H1745" t="s">
        <v>211</v>
      </c>
      <c r="I1745" s="6">
        <v>40949</v>
      </c>
      <c r="J1745" s="2" t="s">
        <v>6441</v>
      </c>
      <c r="K1745" s="2">
        <v>0</v>
      </c>
      <c r="L1745" t="s">
        <v>35</v>
      </c>
      <c r="M1745" t="s">
        <v>29</v>
      </c>
      <c r="N1745" t="s">
        <v>30</v>
      </c>
      <c r="O1745">
        <v>37219</v>
      </c>
      <c r="P1745" t="s">
        <v>6442</v>
      </c>
      <c r="Q1745" s="2">
        <v>0.69</v>
      </c>
      <c r="R1745" s="2">
        <v>153</v>
      </c>
      <c r="S1745" s="2">
        <v>194</v>
      </c>
      <c r="T1745" t="s">
        <v>62</v>
      </c>
      <c r="U1745" s="6">
        <v>38353</v>
      </c>
      <c r="V1745" s="2">
        <v>47037017800</v>
      </c>
      <c r="W1745" s="2" t="s">
        <v>68</v>
      </c>
      <c r="X1745" s="1">
        <v>45658</v>
      </c>
      <c r="Y1745" s="2">
        <v>322000</v>
      </c>
      <c r="Z1745" s="2">
        <v>0</v>
      </c>
      <c r="AA1745" s="2">
        <v>322000</v>
      </c>
    </row>
    <row r="1746" spans="1:27" x14ac:dyDescent="0.3">
      <c r="A1746" s="3">
        <v>25</v>
      </c>
      <c r="B1746" s="2" t="str">
        <f>"11810003200"</f>
        <v>11810003200</v>
      </c>
      <c r="C1746" s="2" t="s">
        <v>6443</v>
      </c>
      <c r="D1746" t="s">
        <v>29</v>
      </c>
      <c r="E1746" s="2" t="s">
        <v>30</v>
      </c>
      <c r="F1746" s="2">
        <v>37204</v>
      </c>
      <c r="G1746" s="2" t="s">
        <v>64</v>
      </c>
      <c r="H1746" t="s">
        <v>211</v>
      </c>
      <c r="I1746" s="6">
        <v>40956</v>
      </c>
      <c r="J1746" s="2" t="s">
        <v>6444</v>
      </c>
      <c r="K1746" s="2">
        <v>0</v>
      </c>
      <c r="L1746" t="s">
        <v>35</v>
      </c>
      <c r="M1746" t="s">
        <v>29</v>
      </c>
      <c r="N1746" t="s">
        <v>30</v>
      </c>
      <c r="O1746">
        <v>37219</v>
      </c>
      <c r="P1746" t="s">
        <v>6445</v>
      </c>
      <c r="Q1746" s="2">
        <v>0.26</v>
      </c>
      <c r="R1746" s="2">
        <v>70</v>
      </c>
      <c r="S1746" s="2">
        <v>140</v>
      </c>
      <c r="T1746" t="s">
        <v>6446</v>
      </c>
      <c r="U1746" s="6">
        <v>26525</v>
      </c>
      <c r="V1746" s="2">
        <v>47037017800</v>
      </c>
      <c r="W1746" s="2" t="s">
        <v>68</v>
      </c>
      <c r="X1746" s="1">
        <v>45658</v>
      </c>
      <c r="Y1746" s="2">
        <v>280000</v>
      </c>
      <c r="Z1746" s="2">
        <v>0</v>
      </c>
      <c r="AA1746" s="2">
        <v>280000</v>
      </c>
    </row>
    <row r="1747" spans="1:27" x14ac:dyDescent="0.3">
      <c r="A1747" s="3">
        <v>25</v>
      </c>
      <c r="B1747" s="2" t="str">
        <f>"11810003100"</f>
        <v>11810003100</v>
      </c>
      <c r="C1747" s="2" t="s">
        <v>6447</v>
      </c>
      <c r="D1747" t="s">
        <v>29</v>
      </c>
      <c r="E1747" s="2" t="s">
        <v>30</v>
      </c>
      <c r="F1747" s="2">
        <v>37204</v>
      </c>
      <c r="G1747" s="2" t="s">
        <v>64</v>
      </c>
      <c r="H1747" t="s">
        <v>211</v>
      </c>
      <c r="I1747" s="6">
        <v>40899</v>
      </c>
      <c r="J1747" s="2" t="s">
        <v>6448</v>
      </c>
      <c r="K1747" s="2">
        <v>0</v>
      </c>
      <c r="L1747" t="s">
        <v>35</v>
      </c>
      <c r="M1747" t="s">
        <v>29</v>
      </c>
      <c r="N1747" t="s">
        <v>30</v>
      </c>
      <c r="O1747">
        <v>37219</v>
      </c>
      <c r="P1747" t="s">
        <v>6449</v>
      </c>
      <c r="Q1747" s="2">
        <v>0.18</v>
      </c>
      <c r="R1747" s="2">
        <v>60</v>
      </c>
      <c r="S1747" s="2">
        <v>140</v>
      </c>
      <c r="T1747" t="s">
        <v>6450</v>
      </c>
      <c r="U1747" s="6">
        <v>26968</v>
      </c>
      <c r="V1747" s="2">
        <v>47037017800</v>
      </c>
      <c r="W1747" s="2" t="s">
        <v>68</v>
      </c>
      <c r="X1747" s="1">
        <v>45658</v>
      </c>
      <c r="Y1747" s="2">
        <v>224000</v>
      </c>
      <c r="Z1747" s="2">
        <v>0</v>
      </c>
      <c r="AA1747" s="2">
        <v>224000</v>
      </c>
    </row>
    <row r="1748" spans="1:27" x14ac:dyDescent="0.3">
      <c r="A1748" s="3">
        <v>25</v>
      </c>
      <c r="B1748" s="2" t="str">
        <f>"11810003000"</f>
        <v>11810003000</v>
      </c>
      <c r="C1748" s="2" t="s">
        <v>6451</v>
      </c>
      <c r="D1748" t="s">
        <v>29</v>
      </c>
      <c r="E1748" s="2" t="s">
        <v>30</v>
      </c>
      <c r="F1748" s="2">
        <v>37204</v>
      </c>
      <c r="G1748" s="2" t="s">
        <v>64</v>
      </c>
      <c r="H1748" t="s">
        <v>211</v>
      </c>
      <c r="I1748" s="6">
        <v>40897</v>
      </c>
      <c r="J1748" s="2" t="s">
        <v>6452</v>
      </c>
      <c r="K1748" s="2">
        <v>0</v>
      </c>
      <c r="L1748" t="s">
        <v>35</v>
      </c>
      <c r="M1748" t="s">
        <v>29</v>
      </c>
      <c r="N1748" t="s">
        <v>30</v>
      </c>
      <c r="O1748">
        <v>37219</v>
      </c>
      <c r="P1748" t="s">
        <v>6453</v>
      </c>
      <c r="Q1748" s="2">
        <v>0.17</v>
      </c>
      <c r="R1748" s="2">
        <v>60</v>
      </c>
      <c r="S1748" s="2">
        <v>120</v>
      </c>
      <c r="T1748" t="s">
        <v>6454</v>
      </c>
      <c r="U1748" s="6">
        <v>27044</v>
      </c>
      <c r="V1748" s="2">
        <v>47037017800</v>
      </c>
      <c r="W1748" s="2" t="s">
        <v>68</v>
      </c>
      <c r="X1748" s="1">
        <v>45658</v>
      </c>
      <c r="Y1748" s="2">
        <v>224000</v>
      </c>
      <c r="Z1748" s="2">
        <v>0</v>
      </c>
      <c r="AA1748" s="2">
        <v>224000</v>
      </c>
    </row>
    <row r="1749" spans="1:27" x14ac:dyDescent="0.3">
      <c r="A1749" s="3">
        <v>25</v>
      </c>
      <c r="B1749" s="2" t="str">
        <f>"11810002900"</f>
        <v>11810002900</v>
      </c>
      <c r="C1749" s="2" t="s">
        <v>6455</v>
      </c>
      <c r="D1749" t="s">
        <v>29</v>
      </c>
      <c r="E1749" s="2" t="s">
        <v>30</v>
      </c>
      <c r="F1749" s="2">
        <v>37204</v>
      </c>
      <c r="G1749" s="2" t="s">
        <v>64</v>
      </c>
      <c r="H1749" t="s">
        <v>211</v>
      </c>
      <c r="I1749" s="6">
        <v>40935</v>
      </c>
      <c r="J1749" s="2" t="s">
        <v>6456</v>
      </c>
      <c r="K1749" s="2">
        <v>0</v>
      </c>
      <c r="L1749" t="s">
        <v>35</v>
      </c>
      <c r="M1749" t="s">
        <v>29</v>
      </c>
      <c r="N1749" t="s">
        <v>30</v>
      </c>
      <c r="O1749">
        <v>37219</v>
      </c>
      <c r="P1749" t="s">
        <v>6457</v>
      </c>
      <c r="Q1749" s="2">
        <v>0.2</v>
      </c>
      <c r="R1749" s="2">
        <v>60</v>
      </c>
      <c r="S1749" s="2">
        <v>102</v>
      </c>
      <c r="T1749" t="s">
        <v>6458</v>
      </c>
      <c r="U1749" s="6">
        <v>27272</v>
      </c>
      <c r="V1749" s="2">
        <v>47037017800</v>
      </c>
      <c r="W1749" s="2" t="s">
        <v>68</v>
      </c>
      <c r="X1749" s="1">
        <v>45658</v>
      </c>
      <c r="Y1749" s="2">
        <v>224000</v>
      </c>
      <c r="Z1749" s="2">
        <v>0</v>
      </c>
      <c r="AA1749" s="2">
        <v>224000</v>
      </c>
    </row>
    <row r="1750" spans="1:27" x14ac:dyDescent="0.3">
      <c r="A1750" s="3">
        <v>25</v>
      </c>
      <c r="B1750" s="2" t="str">
        <f>"11810002800"</f>
        <v>11810002800</v>
      </c>
      <c r="C1750" s="2" t="s">
        <v>6459</v>
      </c>
      <c r="D1750" t="s">
        <v>29</v>
      </c>
      <c r="E1750" s="2" t="s">
        <v>30</v>
      </c>
      <c r="F1750" s="2">
        <v>37204</v>
      </c>
      <c r="G1750" s="2" t="s">
        <v>64</v>
      </c>
      <c r="H1750" t="s">
        <v>211</v>
      </c>
      <c r="I1750" s="6">
        <v>40935</v>
      </c>
      <c r="J1750" s="2" t="s">
        <v>6460</v>
      </c>
      <c r="K1750" s="2">
        <v>0</v>
      </c>
      <c r="L1750" t="s">
        <v>35</v>
      </c>
      <c r="M1750" t="s">
        <v>29</v>
      </c>
      <c r="N1750" t="s">
        <v>30</v>
      </c>
      <c r="O1750">
        <v>37219</v>
      </c>
      <c r="P1750" t="s">
        <v>6461</v>
      </c>
      <c r="Q1750" s="2">
        <v>0.09</v>
      </c>
      <c r="R1750" s="2">
        <v>90</v>
      </c>
      <c r="S1750" s="2">
        <v>120</v>
      </c>
      <c r="T1750" t="s">
        <v>6462</v>
      </c>
      <c r="U1750" s="6">
        <v>16649</v>
      </c>
      <c r="V1750" s="2">
        <v>47037017800</v>
      </c>
      <c r="W1750" s="2" t="s">
        <v>68</v>
      </c>
      <c r="X1750" s="1">
        <v>45658</v>
      </c>
      <c r="Y1750" s="2">
        <v>22400</v>
      </c>
      <c r="Z1750" s="2">
        <v>0</v>
      </c>
      <c r="AA1750" s="2">
        <v>22400</v>
      </c>
    </row>
    <row r="1751" spans="1:27" x14ac:dyDescent="0.3">
      <c r="A1751" s="3">
        <v>25</v>
      </c>
      <c r="B1751" s="2" t="str">
        <f>"11810008200"</f>
        <v>11810008200</v>
      </c>
      <c r="C1751" s="2" t="s">
        <v>6463</v>
      </c>
      <c r="D1751" t="s">
        <v>29</v>
      </c>
      <c r="E1751" s="2" t="s">
        <v>30</v>
      </c>
      <c r="F1751" s="2">
        <v>37204</v>
      </c>
      <c r="G1751" s="2" t="s">
        <v>64</v>
      </c>
      <c r="H1751" t="s">
        <v>211</v>
      </c>
      <c r="I1751" s="6">
        <v>40905</v>
      </c>
      <c r="J1751" s="2" t="s">
        <v>6464</v>
      </c>
      <c r="K1751" s="2">
        <v>0</v>
      </c>
      <c r="L1751" t="s">
        <v>35</v>
      </c>
      <c r="M1751" t="s">
        <v>29</v>
      </c>
      <c r="N1751" t="s">
        <v>30</v>
      </c>
      <c r="O1751">
        <v>37219</v>
      </c>
      <c r="P1751" t="s">
        <v>6465</v>
      </c>
      <c r="Q1751" s="2">
        <v>0.5</v>
      </c>
      <c r="R1751" s="2">
        <v>90</v>
      </c>
      <c r="S1751" s="2">
        <v>252</v>
      </c>
      <c r="T1751" t="s">
        <v>6466</v>
      </c>
      <c r="U1751" s="6">
        <v>26383</v>
      </c>
      <c r="V1751" s="2">
        <v>47037017800</v>
      </c>
      <c r="W1751" s="2" t="s">
        <v>68</v>
      </c>
      <c r="X1751" s="1">
        <v>45658</v>
      </c>
      <c r="Y1751" s="2">
        <v>294000</v>
      </c>
      <c r="Z1751" s="2">
        <v>0</v>
      </c>
      <c r="AA1751" s="2">
        <v>294000</v>
      </c>
    </row>
    <row r="1752" spans="1:27" x14ac:dyDescent="0.3">
      <c r="A1752" s="3">
        <v>25</v>
      </c>
      <c r="B1752" s="2" t="str">
        <f>"11810008300"</f>
        <v>11810008300</v>
      </c>
      <c r="C1752" s="2" t="s">
        <v>6467</v>
      </c>
      <c r="D1752" t="s">
        <v>29</v>
      </c>
      <c r="E1752" s="2" t="s">
        <v>30</v>
      </c>
      <c r="F1752" s="2">
        <v>37204</v>
      </c>
      <c r="G1752" s="2" t="s">
        <v>64</v>
      </c>
      <c r="H1752" t="s">
        <v>211</v>
      </c>
      <c r="I1752" s="6">
        <v>40905</v>
      </c>
      <c r="J1752" s="2" t="s">
        <v>6468</v>
      </c>
      <c r="K1752" s="2">
        <v>0</v>
      </c>
      <c r="L1752" t="s">
        <v>35</v>
      </c>
      <c r="M1752" t="s">
        <v>29</v>
      </c>
      <c r="N1752" t="s">
        <v>30</v>
      </c>
      <c r="O1752">
        <v>37219</v>
      </c>
      <c r="P1752" t="s">
        <v>6469</v>
      </c>
      <c r="Q1752" s="2">
        <v>0.34</v>
      </c>
      <c r="R1752" s="2">
        <v>60</v>
      </c>
      <c r="S1752" s="2">
        <v>248</v>
      </c>
      <c r="T1752" t="s">
        <v>6470</v>
      </c>
      <c r="U1752" s="6">
        <v>26960</v>
      </c>
      <c r="V1752" s="2">
        <v>47037017800</v>
      </c>
      <c r="W1752" s="2" t="s">
        <v>68</v>
      </c>
      <c r="X1752" s="1">
        <v>45658</v>
      </c>
      <c r="Y1752" s="2">
        <v>280000</v>
      </c>
      <c r="Z1752" s="2">
        <v>0</v>
      </c>
      <c r="AA1752" s="2">
        <v>280000</v>
      </c>
    </row>
    <row r="1753" spans="1:27" x14ac:dyDescent="0.3">
      <c r="A1753" s="3">
        <v>25</v>
      </c>
      <c r="B1753" s="2" t="str">
        <f>"11810008400"</f>
        <v>11810008400</v>
      </c>
      <c r="C1753" s="2" t="s">
        <v>6471</v>
      </c>
      <c r="D1753" t="s">
        <v>29</v>
      </c>
      <c r="E1753" s="2" t="s">
        <v>30</v>
      </c>
      <c r="F1753" s="2">
        <v>37204</v>
      </c>
      <c r="G1753" s="2" t="s">
        <v>64</v>
      </c>
      <c r="H1753" t="s">
        <v>211</v>
      </c>
      <c r="I1753" s="6">
        <v>40952</v>
      </c>
      <c r="J1753" s="2" t="s">
        <v>6472</v>
      </c>
      <c r="K1753" s="2">
        <v>0</v>
      </c>
      <c r="L1753" t="s">
        <v>35</v>
      </c>
      <c r="M1753" t="s">
        <v>29</v>
      </c>
      <c r="N1753" t="s">
        <v>30</v>
      </c>
      <c r="O1753">
        <v>37219</v>
      </c>
      <c r="P1753" t="s">
        <v>6473</v>
      </c>
      <c r="Q1753" s="2">
        <v>0.34</v>
      </c>
      <c r="R1753" s="2">
        <v>60</v>
      </c>
      <c r="S1753" s="2">
        <v>246</v>
      </c>
      <c r="T1753" t="s">
        <v>6474</v>
      </c>
      <c r="U1753" s="6">
        <v>23160</v>
      </c>
      <c r="V1753" s="2">
        <v>47037017800</v>
      </c>
      <c r="W1753" s="2" t="s">
        <v>68</v>
      </c>
      <c r="X1753" s="1">
        <v>45658</v>
      </c>
      <c r="Y1753" s="2">
        <v>280000</v>
      </c>
      <c r="Z1753" s="2">
        <v>0</v>
      </c>
      <c r="AA1753" s="2">
        <v>280000</v>
      </c>
    </row>
    <row r="1754" spans="1:27" x14ac:dyDescent="0.3">
      <c r="A1754" s="3">
        <v>25</v>
      </c>
      <c r="B1754" s="2" t="str">
        <f>"11810008500"</f>
        <v>11810008500</v>
      </c>
      <c r="C1754" s="2" t="s">
        <v>6475</v>
      </c>
      <c r="D1754" t="s">
        <v>29</v>
      </c>
      <c r="E1754" s="2" t="s">
        <v>30</v>
      </c>
      <c r="F1754" s="2">
        <v>37204</v>
      </c>
      <c r="G1754" s="2" t="s">
        <v>64</v>
      </c>
      <c r="H1754" t="s">
        <v>211</v>
      </c>
      <c r="I1754" s="6">
        <v>41005</v>
      </c>
      <c r="J1754" s="2" t="s">
        <v>6476</v>
      </c>
      <c r="K1754" s="2">
        <v>0</v>
      </c>
      <c r="L1754" t="s">
        <v>35</v>
      </c>
      <c r="M1754" t="s">
        <v>29</v>
      </c>
      <c r="N1754" t="s">
        <v>30</v>
      </c>
      <c r="O1754">
        <v>37219</v>
      </c>
      <c r="P1754" t="s">
        <v>6477</v>
      </c>
      <c r="Q1754" s="2">
        <v>0.34</v>
      </c>
      <c r="R1754" s="2">
        <v>60</v>
      </c>
      <c r="S1754" s="2">
        <v>244</v>
      </c>
      <c r="T1754" t="s">
        <v>6478</v>
      </c>
      <c r="U1754" s="6">
        <v>19043</v>
      </c>
      <c r="V1754" s="2">
        <v>47037017800</v>
      </c>
      <c r="W1754" s="2" t="s">
        <v>68</v>
      </c>
      <c r="X1754" s="1">
        <v>45658</v>
      </c>
      <c r="Y1754" s="2">
        <v>280000</v>
      </c>
      <c r="Z1754" s="2">
        <v>0</v>
      </c>
      <c r="AA1754" s="2">
        <v>280000</v>
      </c>
    </row>
    <row r="1755" spans="1:27" x14ac:dyDescent="0.3">
      <c r="A1755" s="3">
        <v>25</v>
      </c>
      <c r="B1755" s="2" t="str">
        <f>"11810008600"</f>
        <v>11810008600</v>
      </c>
      <c r="C1755" s="2" t="s">
        <v>6479</v>
      </c>
      <c r="D1755" t="s">
        <v>29</v>
      </c>
      <c r="E1755" s="2" t="s">
        <v>30</v>
      </c>
      <c r="F1755" s="2">
        <v>37204</v>
      </c>
      <c r="G1755" s="2" t="s">
        <v>64</v>
      </c>
      <c r="H1755" t="s">
        <v>211</v>
      </c>
      <c r="I1755" s="6">
        <v>40897</v>
      </c>
      <c r="J1755" s="2" t="s">
        <v>6480</v>
      </c>
      <c r="K1755" s="2">
        <v>0</v>
      </c>
      <c r="L1755" t="s">
        <v>35</v>
      </c>
      <c r="M1755" t="s">
        <v>29</v>
      </c>
      <c r="N1755" t="s">
        <v>30</v>
      </c>
      <c r="O1755">
        <v>37219</v>
      </c>
      <c r="P1755" t="s">
        <v>6481</v>
      </c>
      <c r="Q1755" s="2">
        <v>0.33</v>
      </c>
      <c r="R1755" s="2">
        <v>60</v>
      </c>
      <c r="S1755" s="2">
        <v>242</v>
      </c>
      <c r="T1755" t="s">
        <v>6482</v>
      </c>
      <c r="U1755" s="6">
        <v>23708</v>
      </c>
      <c r="V1755" s="2">
        <v>47037017800</v>
      </c>
      <c r="W1755" s="2" t="s">
        <v>68</v>
      </c>
      <c r="X1755" s="1">
        <v>45658</v>
      </c>
      <c r="Y1755" s="2">
        <v>280000</v>
      </c>
      <c r="Z1755" s="2">
        <v>0</v>
      </c>
      <c r="AA1755" s="2">
        <v>280000</v>
      </c>
    </row>
    <row r="1756" spans="1:27" x14ac:dyDescent="0.3">
      <c r="A1756" s="3">
        <v>25</v>
      </c>
      <c r="B1756" s="2" t="str">
        <f>"11810008700"</f>
        <v>11810008700</v>
      </c>
      <c r="C1756" s="2" t="s">
        <v>6483</v>
      </c>
      <c r="D1756" t="s">
        <v>29</v>
      </c>
      <c r="E1756" s="2" t="s">
        <v>30</v>
      </c>
      <c r="F1756" s="2">
        <v>37204</v>
      </c>
      <c r="G1756" s="2" t="s">
        <v>64</v>
      </c>
      <c r="H1756" t="s">
        <v>211</v>
      </c>
      <c r="I1756" s="6">
        <v>40889</v>
      </c>
      <c r="J1756" s="2" t="s">
        <v>6484</v>
      </c>
      <c r="K1756" s="2">
        <v>0</v>
      </c>
      <c r="L1756" t="s">
        <v>35</v>
      </c>
      <c r="M1756" t="s">
        <v>29</v>
      </c>
      <c r="N1756" t="s">
        <v>30</v>
      </c>
      <c r="O1756">
        <v>37219</v>
      </c>
      <c r="P1756" t="s">
        <v>6485</v>
      </c>
      <c r="Q1756" s="2">
        <v>0.33</v>
      </c>
      <c r="R1756" s="2">
        <v>60</v>
      </c>
      <c r="S1756" s="2">
        <v>239</v>
      </c>
      <c r="T1756" t="s">
        <v>6486</v>
      </c>
      <c r="U1756" s="6">
        <v>23643</v>
      </c>
      <c r="V1756" s="2">
        <v>47037017800</v>
      </c>
      <c r="W1756" s="2" t="s">
        <v>68</v>
      </c>
      <c r="X1756" s="1">
        <v>45658</v>
      </c>
      <c r="Y1756" s="2">
        <v>280000</v>
      </c>
      <c r="Z1756" s="2">
        <v>0</v>
      </c>
      <c r="AA1756" s="2">
        <v>280000</v>
      </c>
    </row>
    <row r="1757" spans="1:27" x14ac:dyDescent="0.3">
      <c r="A1757" s="3">
        <v>25</v>
      </c>
      <c r="B1757" s="2" t="str">
        <f>"11810009000"</f>
        <v>11810009000</v>
      </c>
      <c r="C1757" s="2" t="s">
        <v>6487</v>
      </c>
      <c r="D1757" t="s">
        <v>29</v>
      </c>
      <c r="E1757" s="2" t="s">
        <v>30</v>
      </c>
      <c r="F1757" s="2">
        <v>37204</v>
      </c>
      <c r="G1757" s="2" t="s">
        <v>64</v>
      </c>
      <c r="H1757" t="s">
        <v>211</v>
      </c>
      <c r="I1757" s="6">
        <v>40885</v>
      </c>
      <c r="J1757" s="2" t="s">
        <v>6488</v>
      </c>
      <c r="K1757" s="2">
        <v>0</v>
      </c>
      <c r="L1757" t="s">
        <v>35</v>
      </c>
      <c r="M1757" t="s">
        <v>29</v>
      </c>
      <c r="N1757" t="s">
        <v>30</v>
      </c>
      <c r="O1757">
        <v>37219</v>
      </c>
      <c r="P1757" t="s">
        <v>6489</v>
      </c>
      <c r="Q1757" s="2">
        <v>0.4</v>
      </c>
      <c r="R1757" s="2">
        <v>119</v>
      </c>
      <c r="S1757" s="2">
        <v>207</v>
      </c>
      <c r="T1757" t="s">
        <v>6490</v>
      </c>
      <c r="U1757" s="6">
        <v>19634</v>
      </c>
      <c r="V1757" s="2">
        <v>47037017800</v>
      </c>
      <c r="W1757" s="2" t="s">
        <v>68</v>
      </c>
      <c r="X1757" s="1">
        <v>45658</v>
      </c>
      <c r="Y1757" s="2">
        <v>279300</v>
      </c>
      <c r="Z1757" s="2">
        <v>0</v>
      </c>
      <c r="AA1757" s="2">
        <v>279300</v>
      </c>
    </row>
    <row r="1758" spans="1:27" x14ac:dyDescent="0.3">
      <c r="A1758" s="3">
        <v>25</v>
      </c>
      <c r="B1758" s="2" t="str">
        <f>"11810010800"</f>
        <v>11810010800</v>
      </c>
      <c r="C1758" s="2" t="s">
        <v>6491</v>
      </c>
      <c r="D1758" t="s">
        <v>29</v>
      </c>
      <c r="E1758" s="2" t="s">
        <v>30</v>
      </c>
      <c r="F1758" s="2">
        <v>37204</v>
      </c>
      <c r="G1758" s="2" t="s">
        <v>64</v>
      </c>
      <c r="H1758" t="s">
        <v>211</v>
      </c>
      <c r="I1758" s="6">
        <v>40924</v>
      </c>
      <c r="J1758" s="2" t="s">
        <v>6492</v>
      </c>
      <c r="K1758" s="2">
        <v>0</v>
      </c>
      <c r="L1758" t="s">
        <v>35</v>
      </c>
      <c r="M1758" t="s">
        <v>29</v>
      </c>
      <c r="N1758" t="s">
        <v>30</v>
      </c>
      <c r="O1758">
        <v>37219</v>
      </c>
      <c r="P1758" t="s">
        <v>6493</v>
      </c>
      <c r="Q1758" s="2">
        <v>0.28999999999999998</v>
      </c>
      <c r="R1758" s="2">
        <v>70</v>
      </c>
      <c r="S1758" s="2">
        <v>164</v>
      </c>
      <c r="T1758" t="s">
        <v>6494</v>
      </c>
      <c r="U1758" s="6">
        <v>25658</v>
      </c>
      <c r="V1758" s="2">
        <v>47037017800</v>
      </c>
      <c r="W1758" s="2" t="s">
        <v>68</v>
      </c>
      <c r="X1758" s="1">
        <v>45658</v>
      </c>
      <c r="Y1758" s="2">
        <v>280000</v>
      </c>
      <c r="Z1758" s="2">
        <v>0</v>
      </c>
      <c r="AA1758" s="2">
        <v>280000</v>
      </c>
    </row>
    <row r="1759" spans="1:27" x14ac:dyDescent="0.3">
      <c r="A1759" s="3">
        <v>25</v>
      </c>
      <c r="B1759" s="2" t="str">
        <f>"11810010600"</f>
        <v>11810010600</v>
      </c>
      <c r="C1759" s="2" t="s">
        <v>6495</v>
      </c>
      <c r="D1759" t="s">
        <v>29</v>
      </c>
      <c r="E1759" s="2" t="s">
        <v>30</v>
      </c>
      <c r="F1759" s="2">
        <v>37204</v>
      </c>
      <c r="G1759" s="2" t="s">
        <v>64</v>
      </c>
      <c r="H1759" t="s">
        <v>211</v>
      </c>
      <c r="I1759" s="6">
        <v>41009</v>
      </c>
      <c r="J1759" s="2" t="s">
        <v>6496</v>
      </c>
      <c r="K1759" s="2">
        <v>0</v>
      </c>
      <c r="L1759" t="s">
        <v>35</v>
      </c>
      <c r="M1759" t="s">
        <v>29</v>
      </c>
      <c r="N1759" t="s">
        <v>30</v>
      </c>
      <c r="O1759">
        <v>37219</v>
      </c>
      <c r="P1759" t="s">
        <v>6497</v>
      </c>
      <c r="Q1759" s="2">
        <v>0.26</v>
      </c>
      <c r="R1759" s="2">
        <v>75</v>
      </c>
      <c r="S1759" s="2">
        <v>150</v>
      </c>
      <c r="T1759" t="s">
        <v>6498</v>
      </c>
      <c r="U1759" s="6">
        <v>22878</v>
      </c>
      <c r="V1759" s="2">
        <v>47037017800</v>
      </c>
      <c r="W1759" s="2" t="s">
        <v>68</v>
      </c>
      <c r="X1759" s="1">
        <v>45658</v>
      </c>
      <c r="Y1759" s="2">
        <v>280000</v>
      </c>
      <c r="Z1759" s="2">
        <v>0</v>
      </c>
      <c r="AA1759" s="2">
        <v>280000</v>
      </c>
    </row>
    <row r="1760" spans="1:27" x14ac:dyDescent="0.3">
      <c r="A1760" s="3">
        <v>25</v>
      </c>
      <c r="B1760" s="2" t="str">
        <f>"11810010500"</f>
        <v>11810010500</v>
      </c>
      <c r="C1760" s="2" t="s">
        <v>6499</v>
      </c>
      <c r="D1760" t="s">
        <v>29</v>
      </c>
      <c r="E1760" s="2" t="s">
        <v>30</v>
      </c>
      <c r="F1760" s="2">
        <v>37204</v>
      </c>
      <c r="G1760" s="2" t="s">
        <v>64</v>
      </c>
      <c r="H1760" t="s">
        <v>211</v>
      </c>
      <c r="I1760" s="6">
        <v>40897</v>
      </c>
      <c r="J1760" s="2" t="s">
        <v>6500</v>
      </c>
      <c r="K1760" s="2">
        <v>0</v>
      </c>
      <c r="L1760" t="s">
        <v>35</v>
      </c>
      <c r="M1760" t="s">
        <v>29</v>
      </c>
      <c r="N1760" t="s">
        <v>30</v>
      </c>
      <c r="O1760">
        <v>37219</v>
      </c>
      <c r="P1760" t="s">
        <v>6501</v>
      </c>
      <c r="Q1760" s="2">
        <v>0.27</v>
      </c>
      <c r="R1760" s="2">
        <v>67</v>
      </c>
      <c r="S1760" s="2">
        <v>155</v>
      </c>
      <c r="T1760" t="s">
        <v>6502</v>
      </c>
      <c r="U1760" s="6">
        <v>24794</v>
      </c>
      <c r="V1760" s="2">
        <v>47037017800</v>
      </c>
      <c r="W1760" s="2" t="s">
        <v>68</v>
      </c>
      <c r="X1760" s="1">
        <v>45658</v>
      </c>
      <c r="Y1760" s="2">
        <v>280000</v>
      </c>
      <c r="Z1760" s="2">
        <v>0</v>
      </c>
      <c r="AA1760" s="2">
        <v>280000</v>
      </c>
    </row>
    <row r="1761" spans="1:27" x14ac:dyDescent="0.3">
      <c r="A1761" s="3">
        <v>25</v>
      </c>
      <c r="B1761" s="2" t="str">
        <f>"11810010400"</f>
        <v>11810010400</v>
      </c>
      <c r="C1761" s="2" t="s">
        <v>6503</v>
      </c>
      <c r="D1761" t="s">
        <v>29</v>
      </c>
      <c r="E1761" s="2" t="s">
        <v>30</v>
      </c>
      <c r="F1761" s="2">
        <v>37204</v>
      </c>
      <c r="G1761" s="2" t="s">
        <v>64</v>
      </c>
      <c r="H1761" t="s">
        <v>211</v>
      </c>
      <c r="I1761" s="6">
        <v>40949</v>
      </c>
      <c r="J1761" s="2" t="s">
        <v>6504</v>
      </c>
      <c r="K1761" s="2">
        <v>0</v>
      </c>
      <c r="L1761" t="s">
        <v>35</v>
      </c>
      <c r="M1761" t="s">
        <v>29</v>
      </c>
      <c r="N1761" t="s">
        <v>30</v>
      </c>
      <c r="O1761">
        <v>37219</v>
      </c>
      <c r="P1761" t="s">
        <v>6505</v>
      </c>
      <c r="Q1761" s="2">
        <v>0.39</v>
      </c>
      <c r="R1761" s="2">
        <v>57</v>
      </c>
      <c r="S1761" s="2">
        <v>221</v>
      </c>
      <c r="T1761" t="s">
        <v>6506</v>
      </c>
      <c r="U1761" s="6">
        <v>24259</v>
      </c>
      <c r="V1761" s="2">
        <v>47037017800</v>
      </c>
      <c r="W1761" s="2" t="s">
        <v>68</v>
      </c>
      <c r="X1761" s="1">
        <v>45658</v>
      </c>
      <c r="Y1761" s="2">
        <v>280000</v>
      </c>
      <c r="Z1761" s="2">
        <v>0</v>
      </c>
      <c r="AA1761" s="2">
        <v>280000</v>
      </c>
    </row>
    <row r="1762" spans="1:27" x14ac:dyDescent="0.3">
      <c r="A1762" s="3">
        <v>25</v>
      </c>
      <c r="B1762" s="2" t="str">
        <f>"11810006000"</f>
        <v>11810006000</v>
      </c>
      <c r="C1762" s="2" t="s">
        <v>6507</v>
      </c>
      <c r="D1762" t="s">
        <v>29</v>
      </c>
      <c r="E1762" s="2" t="s">
        <v>30</v>
      </c>
      <c r="F1762" s="2">
        <v>37204</v>
      </c>
      <c r="G1762" s="2" t="s">
        <v>64</v>
      </c>
      <c r="H1762" t="s">
        <v>211</v>
      </c>
      <c r="I1762" s="6">
        <v>43116</v>
      </c>
      <c r="J1762" s="2" t="s">
        <v>6508</v>
      </c>
      <c r="K1762" s="2">
        <v>0</v>
      </c>
      <c r="L1762" t="s">
        <v>343</v>
      </c>
      <c r="M1762" t="s">
        <v>29</v>
      </c>
      <c r="N1762" t="s">
        <v>30</v>
      </c>
      <c r="O1762">
        <v>37201</v>
      </c>
      <c r="P1762" t="s">
        <v>6509</v>
      </c>
      <c r="Q1762" s="2">
        <v>1</v>
      </c>
      <c r="R1762" s="2">
        <v>166</v>
      </c>
      <c r="S1762" s="2">
        <v>275</v>
      </c>
      <c r="T1762" t="s">
        <v>6510</v>
      </c>
      <c r="U1762" s="6">
        <v>24345</v>
      </c>
      <c r="V1762" s="2">
        <v>47037017800</v>
      </c>
      <c r="W1762" s="2" t="s">
        <v>68</v>
      </c>
      <c r="X1762" s="1">
        <v>45658</v>
      </c>
      <c r="Y1762" s="2">
        <v>273700</v>
      </c>
      <c r="Z1762" s="2">
        <v>0</v>
      </c>
      <c r="AA1762" s="2">
        <v>273700</v>
      </c>
    </row>
    <row r="1763" spans="1:27" x14ac:dyDescent="0.3">
      <c r="A1763" s="3">
        <v>25</v>
      </c>
      <c r="B1763" s="2" t="str">
        <f>"11810019700"</f>
        <v>11810019700</v>
      </c>
      <c r="C1763" s="2" t="s">
        <v>6511</v>
      </c>
      <c r="D1763" t="s">
        <v>29</v>
      </c>
      <c r="E1763" s="2" t="s">
        <v>30</v>
      </c>
      <c r="F1763" s="2">
        <v>37204</v>
      </c>
      <c r="G1763" s="2" t="s">
        <v>64</v>
      </c>
      <c r="H1763" t="s">
        <v>211</v>
      </c>
      <c r="I1763" s="6">
        <v>40899</v>
      </c>
      <c r="J1763" s="2" t="s">
        <v>6512</v>
      </c>
      <c r="K1763" s="2">
        <v>0</v>
      </c>
      <c r="L1763" t="s">
        <v>35</v>
      </c>
      <c r="M1763" t="s">
        <v>29</v>
      </c>
      <c r="N1763" t="s">
        <v>30</v>
      </c>
      <c r="O1763">
        <v>37219</v>
      </c>
      <c r="P1763" t="s">
        <v>6513</v>
      </c>
      <c r="Q1763" s="2">
        <v>0.44</v>
      </c>
      <c r="R1763" s="2">
        <v>61</v>
      </c>
      <c r="S1763" s="2">
        <v>200</v>
      </c>
      <c r="T1763" t="s">
        <v>6514</v>
      </c>
      <c r="U1763" s="6">
        <v>24540</v>
      </c>
      <c r="V1763" s="2">
        <v>47037017800</v>
      </c>
      <c r="W1763" s="2" t="s">
        <v>68</v>
      </c>
      <c r="X1763" s="1">
        <v>45658</v>
      </c>
      <c r="Y1763" s="2">
        <v>280000</v>
      </c>
      <c r="Z1763" s="2">
        <v>0</v>
      </c>
      <c r="AA1763" s="2">
        <v>280000</v>
      </c>
    </row>
    <row r="1764" spans="1:27" x14ac:dyDescent="0.3">
      <c r="A1764" s="3">
        <v>25</v>
      </c>
      <c r="B1764" s="2" t="str">
        <f>"11810019600"</f>
        <v>11810019600</v>
      </c>
      <c r="C1764" s="2" t="s">
        <v>6515</v>
      </c>
      <c r="D1764" t="s">
        <v>29</v>
      </c>
      <c r="E1764" s="2" t="s">
        <v>30</v>
      </c>
      <c r="F1764" s="2">
        <v>37204</v>
      </c>
      <c r="G1764" s="2" t="s">
        <v>64</v>
      </c>
      <c r="H1764" t="s">
        <v>211</v>
      </c>
      <c r="I1764" s="6">
        <v>40924</v>
      </c>
      <c r="J1764" s="2" t="s">
        <v>6516</v>
      </c>
      <c r="K1764" s="2">
        <v>0</v>
      </c>
      <c r="L1764" t="s">
        <v>35</v>
      </c>
      <c r="M1764" t="s">
        <v>29</v>
      </c>
      <c r="N1764" t="s">
        <v>30</v>
      </c>
      <c r="O1764">
        <v>37219</v>
      </c>
      <c r="P1764" t="s">
        <v>6517</v>
      </c>
      <c r="Q1764" s="2">
        <v>0.44</v>
      </c>
      <c r="R1764" s="2">
        <v>84</v>
      </c>
      <c r="S1764" s="2">
        <v>200</v>
      </c>
      <c r="T1764" t="s">
        <v>6518</v>
      </c>
      <c r="U1764" s="6">
        <v>26801</v>
      </c>
      <c r="V1764" s="2">
        <v>47037017800</v>
      </c>
      <c r="W1764" s="2" t="s">
        <v>68</v>
      </c>
      <c r="X1764" s="1">
        <v>45658</v>
      </c>
      <c r="Y1764" s="2">
        <v>280000</v>
      </c>
      <c r="Z1764" s="2">
        <v>0</v>
      </c>
      <c r="AA1764" s="2">
        <v>280000</v>
      </c>
    </row>
    <row r="1765" spans="1:27" x14ac:dyDescent="0.3">
      <c r="A1765" s="3">
        <v>25</v>
      </c>
      <c r="B1765" s="2" t="str">
        <f>"11810008100"</f>
        <v>11810008100</v>
      </c>
      <c r="C1765" s="2" t="s">
        <v>6519</v>
      </c>
      <c r="D1765" t="s">
        <v>29</v>
      </c>
      <c r="E1765" s="2" t="s">
        <v>30</v>
      </c>
      <c r="F1765" s="2">
        <v>37204</v>
      </c>
      <c r="G1765" s="2" t="s">
        <v>64</v>
      </c>
      <c r="H1765" t="s">
        <v>211</v>
      </c>
      <c r="I1765" s="6">
        <v>41016</v>
      </c>
      <c r="J1765" s="2" t="s">
        <v>6520</v>
      </c>
      <c r="K1765" s="2">
        <v>0</v>
      </c>
      <c r="L1765" t="s">
        <v>35</v>
      </c>
      <c r="M1765" t="s">
        <v>29</v>
      </c>
      <c r="N1765" t="s">
        <v>30</v>
      </c>
      <c r="O1765">
        <v>37219</v>
      </c>
      <c r="P1765" t="s">
        <v>6521</v>
      </c>
      <c r="Q1765" s="2">
        <v>0.51</v>
      </c>
      <c r="R1765" s="2">
        <v>134</v>
      </c>
      <c r="S1765" s="2">
        <v>166</v>
      </c>
      <c r="T1765" t="s">
        <v>6522</v>
      </c>
      <c r="U1765" s="6">
        <v>28060</v>
      </c>
      <c r="V1765" s="2">
        <v>47037017800</v>
      </c>
      <c r="W1765" s="2" t="s">
        <v>68</v>
      </c>
      <c r="X1765" s="1">
        <v>45658</v>
      </c>
      <c r="Y1765" s="2">
        <v>294000</v>
      </c>
      <c r="Z1765" s="2">
        <v>0</v>
      </c>
      <c r="AA1765" s="2">
        <v>294000</v>
      </c>
    </row>
    <row r="1766" spans="1:27" x14ac:dyDescent="0.3">
      <c r="A1766" s="3">
        <v>25</v>
      </c>
      <c r="B1766" s="2" t="str">
        <f>"11810011200"</f>
        <v>11810011200</v>
      </c>
      <c r="C1766" s="2" t="s">
        <v>6523</v>
      </c>
      <c r="D1766" t="s">
        <v>29</v>
      </c>
      <c r="E1766" s="2" t="s">
        <v>30</v>
      </c>
      <c r="F1766" s="2">
        <v>37204</v>
      </c>
      <c r="G1766" s="2" t="s">
        <v>64</v>
      </c>
      <c r="H1766" t="s">
        <v>211</v>
      </c>
      <c r="I1766" s="6">
        <v>40996</v>
      </c>
      <c r="J1766" s="2" t="s">
        <v>6524</v>
      </c>
      <c r="K1766" s="2">
        <v>0</v>
      </c>
      <c r="L1766" t="s">
        <v>35</v>
      </c>
      <c r="M1766" t="s">
        <v>29</v>
      </c>
      <c r="N1766" t="s">
        <v>30</v>
      </c>
      <c r="O1766">
        <v>37219</v>
      </c>
      <c r="P1766" t="s">
        <v>6525</v>
      </c>
      <c r="Q1766" s="2">
        <v>0.6</v>
      </c>
      <c r="R1766" s="2">
        <v>135</v>
      </c>
      <c r="S1766" s="2">
        <v>310</v>
      </c>
      <c r="T1766" t="s">
        <v>6526</v>
      </c>
      <c r="U1766" s="6">
        <v>26791</v>
      </c>
      <c r="V1766" s="2">
        <v>47037017800</v>
      </c>
      <c r="W1766" s="2" t="s">
        <v>68</v>
      </c>
      <c r="X1766" s="1">
        <v>45658</v>
      </c>
      <c r="Y1766" s="2">
        <v>294000</v>
      </c>
      <c r="Z1766" s="2">
        <v>0</v>
      </c>
      <c r="AA1766" s="2">
        <v>294000</v>
      </c>
    </row>
    <row r="1767" spans="1:27" x14ac:dyDescent="0.3">
      <c r="A1767" s="3">
        <v>25</v>
      </c>
      <c r="B1767" s="2" t="str">
        <f>"11810011000"</f>
        <v>11810011000</v>
      </c>
      <c r="C1767" s="2" t="s">
        <v>6527</v>
      </c>
      <c r="D1767" t="s">
        <v>29</v>
      </c>
      <c r="E1767" s="2" t="s">
        <v>30</v>
      </c>
      <c r="F1767" s="2">
        <v>37204</v>
      </c>
      <c r="G1767" s="2" t="s">
        <v>64</v>
      </c>
      <c r="H1767" t="s">
        <v>211</v>
      </c>
      <c r="I1767" s="6">
        <v>40913</v>
      </c>
      <c r="J1767" s="2" t="s">
        <v>6528</v>
      </c>
      <c r="K1767" s="2">
        <v>0</v>
      </c>
      <c r="L1767" t="s">
        <v>35</v>
      </c>
      <c r="M1767" t="s">
        <v>29</v>
      </c>
      <c r="N1767" t="s">
        <v>30</v>
      </c>
      <c r="O1767">
        <v>37216</v>
      </c>
      <c r="P1767" t="s">
        <v>6529</v>
      </c>
      <c r="Q1767" s="2">
        <v>0.34</v>
      </c>
      <c r="R1767" s="2">
        <v>71</v>
      </c>
      <c r="S1767" s="2">
        <v>189</v>
      </c>
      <c r="T1767" t="s">
        <v>6530</v>
      </c>
      <c r="U1767" s="6">
        <v>24240</v>
      </c>
      <c r="V1767" s="2">
        <v>47037017800</v>
      </c>
      <c r="W1767" s="2" t="s">
        <v>68</v>
      </c>
      <c r="X1767" s="1">
        <v>45658</v>
      </c>
      <c r="Y1767" s="2">
        <v>280000</v>
      </c>
      <c r="Z1767" s="2">
        <v>0</v>
      </c>
      <c r="AA1767" s="2">
        <v>280000</v>
      </c>
    </row>
    <row r="1768" spans="1:27" x14ac:dyDescent="0.3">
      <c r="A1768" s="3">
        <v>25</v>
      </c>
      <c r="B1768" s="2" t="str">
        <f>"11810010900"</f>
        <v>11810010900</v>
      </c>
      <c r="C1768" s="2" t="s">
        <v>6531</v>
      </c>
      <c r="D1768" t="s">
        <v>29</v>
      </c>
      <c r="E1768" s="2" t="s">
        <v>30</v>
      </c>
      <c r="F1768" s="2">
        <v>37204</v>
      </c>
      <c r="G1768" s="2" t="s">
        <v>64</v>
      </c>
      <c r="H1768" t="s">
        <v>211</v>
      </c>
      <c r="I1768" s="6">
        <v>40939</v>
      </c>
      <c r="J1768" s="2" t="s">
        <v>6532</v>
      </c>
      <c r="K1768" s="2">
        <v>0</v>
      </c>
      <c r="L1768" t="s">
        <v>35</v>
      </c>
      <c r="M1768" t="s">
        <v>29</v>
      </c>
      <c r="N1768" t="s">
        <v>30</v>
      </c>
      <c r="O1768">
        <v>37219</v>
      </c>
      <c r="P1768" t="s">
        <v>6533</v>
      </c>
      <c r="Q1768" s="2">
        <v>0.32</v>
      </c>
      <c r="R1768" s="2">
        <v>70</v>
      </c>
      <c r="S1768" s="2">
        <v>189</v>
      </c>
      <c r="T1768" t="s">
        <v>6534</v>
      </c>
      <c r="U1768" s="6">
        <v>24217</v>
      </c>
      <c r="V1768" s="2">
        <v>47037017800</v>
      </c>
      <c r="W1768" s="2" t="s">
        <v>68</v>
      </c>
      <c r="X1768" s="1">
        <v>45658</v>
      </c>
      <c r="Y1768" s="2">
        <v>280000</v>
      </c>
      <c r="Z1768" s="2">
        <v>0</v>
      </c>
      <c r="AA1768" s="2">
        <v>280000</v>
      </c>
    </row>
    <row r="1769" spans="1:27" x14ac:dyDescent="0.3">
      <c r="A1769" s="3">
        <v>25</v>
      </c>
      <c r="B1769" s="2" t="str">
        <f>"11810011100"</f>
        <v>11810011100</v>
      </c>
      <c r="C1769" s="2" t="s">
        <v>6535</v>
      </c>
      <c r="D1769" t="s">
        <v>29</v>
      </c>
      <c r="E1769" s="2" t="s">
        <v>30</v>
      </c>
      <c r="F1769" s="2">
        <v>37204</v>
      </c>
      <c r="G1769" s="2" t="s">
        <v>64</v>
      </c>
      <c r="H1769" t="s">
        <v>211</v>
      </c>
      <c r="I1769" s="6">
        <v>40919</v>
      </c>
      <c r="J1769" s="2" t="s">
        <v>6536</v>
      </c>
      <c r="K1769" s="2">
        <v>0</v>
      </c>
      <c r="L1769" t="s">
        <v>35</v>
      </c>
      <c r="M1769" t="s">
        <v>29</v>
      </c>
      <c r="N1769" t="s">
        <v>30</v>
      </c>
      <c r="O1769">
        <v>37219</v>
      </c>
      <c r="P1769" t="s">
        <v>6537</v>
      </c>
      <c r="Q1769" s="2">
        <v>0.28999999999999998</v>
      </c>
      <c r="R1769" s="2">
        <v>75</v>
      </c>
      <c r="S1769" s="2">
        <v>215</v>
      </c>
      <c r="T1769" t="s">
        <v>6522</v>
      </c>
      <c r="U1769" s="6">
        <v>28060</v>
      </c>
      <c r="V1769" s="2">
        <v>47037017800</v>
      </c>
      <c r="W1769" s="2" t="s">
        <v>68</v>
      </c>
      <c r="X1769" s="1">
        <v>45658</v>
      </c>
      <c r="Y1769" s="2">
        <v>280000</v>
      </c>
      <c r="Z1769" s="2">
        <v>0</v>
      </c>
      <c r="AA1769" s="2">
        <v>280000</v>
      </c>
    </row>
    <row r="1770" spans="1:27" x14ac:dyDescent="0.3">
      <c r="A1770" s="3">
        <v>25</v>
      </c>
      <c r="B1770" s="2" t="str">
        <f>"11810008800"</f>
        <v>11810008800</v>
      </c>
      <c r="C1770" s="2" t="s">
        <v>6538</v>
      </c>
      <c r="D1770" t="s">
        <v>29</v>
      </c>
      <c r="E1770" s="2" t="s">
        <v>30</v>
      </c>
      <c r="F1770" s="2">
        <v>37204</v>
      </c>
      <c r="G1770" s="2" t="s">
        <v>64</v>
      </c>
      <c r="H1770" t="s">
        <v>5141</v>
      </c>
      <c r="I1770" s="6">
        <v>40955</v>
      </c>
      <c r="J1770" s="2" t="s">
        <v>6539</v>
      </c>
      <c r="K1770" s="2">
        <v>0</v>
      </c>
      <c r="L1770" t="s">
        <v>35</v>
      </c>
      <c r="M1770" t="s">
        <v>29</v>
      </c>
      <c r="N1770" t="s">
        <v>30</v>
      </c>
      <c r="O1770">
        <v>37219</v>
      </c>
      <c r="P1770" t="s">
        <v>6540</v>
      </c>
      <c r="Q1770" s="2">
        <v>0.64</v>
      </c>
      <c r="R1770" s="2">
        <v>90</v>
      </c>
      <c r="S1770" s="2">
        <v>237</v>
      </c>
      <c r="T1770" t="s">
        <v>6541</v>
      </c>
      <c r="U1770" s="6">
        <v>24824</v>
      </c>
      <c r="V1770" s="2">
        <v>47037017800</v>
      </c>
      <c r="W1770" s="2" t="s">
        <v>68</v>
      </c>
      <c r="X1770" s="1">
        <v>45658</v>
      </c>
      <c r="Y1770" s="2">
        <v>294000</v>
      </c>
      <c r="Z1770" s="2">
        <v>0</v>
      </c>
      <c r="AA1770" s="2">
        <v>294000</v>
      </c>
    </row>
    <row r="1771" spans="1:27" x14ac:dyDescent="0.3">
      <c r="A1771" s="3">
        <v>25</v>
      </c>
      <c r="B1771" s="2" t="str">
        <f>"13205012700"</f>
        <v>13205012700</v>
      </c>
      <c r="C1771" s="2" t="s">
        <v>6542</v>
      </c>
      <c r="D1771" t="s">
        <v>29</v>
      </c>
      <c r="E1771" s="2" t="s">
        <v>30</v>
      </c>
      <c r="F1771" s="2">
        <v>37204</v>
      </c>
      <c r="G1771" s="2" t="s">
        <v>253</v>
      </c>
      <c r="H1771" t="s">
        <v>6543</v>
      </c>
      <c r="I1771" s="6">
        <v>18711</v>
      </c>
      <c r="J1771" s="2" t="s">
        <v>6544</v>
      </c>
      <c r="K1771" s="2" t="s">
        <v>34</v>
      </c>
      <c r="L1771" t="s">
        <v>35</v>
      </c>
      <c r="M1771" t="s">
        <v>29</v>
      </c>
      <c r="N1771" t="s">
        <v>30</v>
      </c>
      <c r="O1771">
        <v>37219</v>
      </c>
      <c r="P1771" t="s">
        <v>6545</v>
      </c>
      <c r="Q1771" s="2">
        <v>13.18</v>
      </c>
      <c r="R1771" s="2">
        <v>0</v>
      </c>
      <c r="S1771" s="2">
        <v>0</v>
      </c>
      <c r="T1771" t="s">
        <v>6544</v>
      </c>
      <c r="U1771" s="6">
        <v>18711</v>
      </c>
      <c r="V1771" s="2">
        <v>47037017701</v>
      </c>
      <c r="W1771" s="2" t="s">
        <v>6429</v>
      </c>
      <c r="X1771" s="1">
        <v>45658</v>
      </c>
      <c r="Y1771" s="2">
        <v>2940100</v>
      </c>
      <c r="Z1771" s="2">
        <v>0</v>
      </c>
      <c r="AA1771" s="2">
        <v>2940100</v>
      </c>
    </row>
    <row r="1772" spans="1:27" x14ac:dyDescent="0.3">
      <c r="A1772" s="3">
        <v>25</v>
      </c>
      <c r="B1772" s="2" t="str">
        <f>"11715003700"</f>
        <v>11715003700</v>
      </c>
      <c r="C1772" s="2" t="s">
        <v>6546</v>
      </c>
      <c r="D1772" t="s">
        <v>29</v>
      </c>
      <c r="E1772" s="2" t="s">
        <v>30</v>
      </c>
      <c r="F1772" s="2">
        <v>37215</v>
      </c>
      <c r="G1772" s="2" t="s">
        <v>253</v>
      </c>
      <c r="H1772" t="s">
        <v>6547</v>
      </c>
      <c r="I1772" s="6">
        <v>14360</v>
      </c>
      <c r="J1772" s="2" t="s">
        <v>6548</v>
      </c>
      <c r="K1772" s="2" t="s">
        <v>34</v>
      </c>
      <c r="L1772" t="s">
        <v>35</v>
      </c>
      <c r="M1772" t="s">
        <v>29</v>
      </c>
      <c r="N1772" t="s">
        <v>30</v>
      </c>
      <c r="O1772">
        <v>37219</v>
      </c>
      <c r="P1772" t="s">
        <v>6549</v>
      </c>
      <c r="Q1772" s="2">
        <v>28.23</v>
      </c>
      <c r="R1772" s="2">
        <v>0</v>
      </c>
      <c r="S1772" s="2">
        <v>0</v>
      </c>
      <c r="T1772" t="s">
        <v>278</v>
      </c>
      <c r="U1772" s="6">
        <v>36581</v>
      </c>
      <c r="V1772" s="2">
        <v>47037017702</v>
      </c>
      <c r="W1772" s="2" t="s">
        <v>68</v>
      </c>
      <c r="X1772" s="1">
        <v>45658</v>
      </c>
      <c r="Y1772" s="2">
        <v>145465700</v>
      </c>
      <c r="Z1772" s="2">
        <v>0</v>
      </c>
      <c r="AA1772" s="2">
        <v>145465700</v>
      </c>
    </row>
    <row r="1773" spans="1:27" x14ac:dyDescent="0.3">
      <c r="A1773" s="3">
        <v>25</v>
      </c>
      <c r="B1773" s="2" t="str">
        <f>"13107011900"</f>
        <v>13107011900</v>
      </c>
      <c r="C1773" s="2" t="s">
        <v>6550</v>
      </c>
      <c r="D1773" t="s">
        <v>29</v>
      </c>
      <c r="E1773" s="2" t="s">
        <v>30</v>
      </c>
      <c r="F1773" s="2">
        <v>37204</v>
      </c>
      <c r="G1773" s="2" t="s">
        <v>253</v>
      </c>
      <c r="H1773" t="s">
        <v>6551</v>
      </c>
      <c r="I1773" s="6">
        <v>24329</v>
      </c>
      <c r="J1773" s="2" t="s">
        <v>6438</v>
      </c>
      <c r="K1773" s="2">
        <v>0</v>
      </c>
      <c r="L1773" t="s">
        <v>35</v>
      </c>
      <c r="M1773" t="s">
        <v>29</v>
      </c>
      <c r="N1773" t="s">
        <v>30</v>
      </c>
      <c r="O1773">
        <v>37219</v>
      </c>
      <c r="P1773" t="s">
        <v>6552</v>
      </c>
      <c r="Q1773" s="2">
        <v>10.33</v>
      </c>
      <c r="R1773" s="2">
        <v>0</v>
      </c>
      <c r="S1773" s="2">
        <v>0</v>
      </c>
      <c r="T1773" t="s">
        <v>6438</v>
      </c>
      <c r="U1773" s="6">
        <v>24329</v>
      </c>
      <c r="V1773" s="2">
        <v>47037017702</v>
      </c>
      <c r="W1773" s="2" t="s">
        <v>68</v>
      </c>
      <c r="X1773" s="1">
        <v>45658</v>
      </c>
      <c r="Y1773" s="2">
        <v>2173200</v>
      </c>
      <c r="Z1773" s="2">
        <v>0</v>
      </c>
      <c r="AA1773" s="2">
        <v>2173200</v>
      </c>
    </row>
    <row r="1774" spans="1:27" x14ac:dyDescent="0.3">
      <c r="A1774" s="3">
        <v>25</v>
      </c>
      <c r="B1774" s="2" t="str">
        <f>"14603000300"</f>
        <v>14603000300</v>
      </c>
      <c r="C1774" s="2" t="s">
        <v>6553</v>
      </c>
      <c r="D1774" t="s">
        <v>29</v>
      </c>
      <c r="E1774" s="2" t="s">
        <v>30</v>
      </c>
      <c r="F1774" s="2">
        <v>37220</v>
      </c>
      <c r="G1774" s="2" t="s">
        <v>64</v>
      </c>
      <c r="H1774" t="s">
        <v>6554</v>
      </c>
      <c r="I1774" s="6">
        <v>20864</v>
      </c>
      <c r="J1774" s="2" t="s">
        <v>6555</v>
      </c>
      <c r="K1774" s="2" t="s">
        <v>34</v>
      </c>
      <c r="L1774" t="s">
        <v>35</v>
      </c>
      <c r="M1774" t="s">
        <v>29</v>
      </c>
      <c r="N1774" t="s">
        <v>30</v>
      </c>
      <c r="O1774">
        <v>37219</v>
      </c>
      <c r="P1774" t="s">
        <v>6556</v>
      </c>
      <c r="Q1774" s="2">
        <v>41.34</v>
      </c>
      <c r="R1774" s="2">
        <v>0</v>
      </c>
      <c r="S1774" s="2">
        <v>0</v>
      </c>
      <c r="T1774" t="s">
        <v>278</v>
      </c>
      <c r="U1774" s="6">
        <v>36587</v>
      </c>
      <c r="V1774" s="2">
        <v>47037018700</v>
      </c>
      <c r="W1774" s="2" t="s">
        <v>6429</v>
      </c>
      <c r="X1774" s="1">
        <v>45658</v>
      </c>
      <c r="Y1774" s="2">
        <v>5612500</v>
      </c>
      <c r="Z1774" s="2">
        <v>0</v>
      </c>
      <c r="AA1774" s="2">
        <v>5612500</v>
      </c>
    </row>
    <row r="1775" spans="1:27" x14ac:dyDescent="0.3">
      <c r="A1775" s="3">
        <v>25</v>
      </c>
      <c r="B1775" s="2" t="str">
        <f>"13214005400"</f>
        <v>13214005400</v>
      </c>
      <c r="C1775" s="2" t="s">
        <v>6557</v>
      </c>
      <c r="D1775" t="s">
        <v>29</v>
      </c>
      <c r="E1775" s="2" t="s">
        <v>30</v>
      </c>
      <c r="F1775" s="2">
        <v>37220</v>
      </c>
      <c r="G1775" s="2" t="s">
        <v>253</v>
      </c>
      <c r="H1775" t="s">
        <v>6558</v>
      </c>
      <c r="I1775" s="6">
        <v>4617</v>
      </c>
      <c r="J1775" s="2" t="s">
        <v>6559</v>
      </c>
      <c r="K1775" s="2" t="s">
        <v>34</v>
      </c>
      <c r="L1775" t="s">
        <v>35</v>
      </c>
      <c r="M1775" t="s">
        <v>29</v>
      </c>
      <c r="N1775" t="s">
        <v>30</v>
      </c>
      <c r="O1775">
        <v>37219</v>
      </c>
      <c r="P1775" t="s">
        <v>6560</v>
      </c>
      <c r="Q1775" s="2">
        <v>1.92</v>
      </c>
      <c r="R1775" s="2">
        <v>348</v>
      </c>
      <c r="S1775" s="2">
        <v>250</v>
      </c>
      <c r="T1775" t="s">
        <v>6559</v>
      </c>
      <c r="U1775" s="6">
        <v>4617</v>
      </c>
      <c r="V1775" s="2">
        <v>47037018700</v>
      </c>
      <c r="W1775" s="2" t="s">
        <v>6429</v>
      </c>
      <c r="X1775" s="1">
        <v>45658</v>
      </c>
      <c r="Y1775" s="2">
        <v>709800</v>
      </c>
      <c r="Z1775" s="2">
        <v>0</v>
      </c>
      <c r="AA1775" s="2">
        <v>709800</v>
      </c>
    </row>
    <row r="1776" spans="1:27" x14ac:dyDescent="0.3">
      <c r="A1776" s="3">
        <v>25</v>
      </c>
      <c r="B1776" s="2" t="str">
        <f>"11716000100"</f>
        <v>11716000100</v>
      </c>
      <c r="C1776" s="2" t="s">
        <v>6561</v>
      </c>
      <c r="D1776" t="s">
        <v>29</v>
      </c>
      <c r="E1776" s="2" t="s">
        <v>30</v>
      </c>
      <c r="F1776" s="2">
        <v>37215</v>
      </c>
      <c r="G1776" s="2" t="s">
        <v>253</v>
      </c>
      <c r="H1776" t="s">
        <v>6562</v>
      </c>
      <c r="I1776" s="6">
        <v>12590</v>
      </c>
      <c r="J1776" s="2" t="s">
        <v>6563</v>
      </c>
      <c r="K1776" s="2" t="s">
        <v>34</v>
      </c>
      <c r="L1776" t="s">
        <v>35</v>
      </c>
      <c r="M1776" t="s">
        <v>29</v>
      </c>
      <c r="N1776" t="s">
        <v>30</v>
      </c>
      <c r="O1776">
        <v>37219</v>
      </c>
      <c r="P1776" t="s">
        <v>6564</v>
      </c>
      <c r="Q1776" s="2">
        <v>5.2</v>
      </c>
      <c r="R1776" s="2">
        <v>376</v>
      </c>
      <c r="S1776" s="2">
        <v>575</v>
      </c>
      <c r="T1776" t="s">
        <v>6563</v>
      </c>
      <c r="U1776" s="6">
        <v>12590</v>
      </c>
      <c r="V1776" s="2">
        <v>47037017800</v>
      </c>
      <c r="W1776" s="2" t="s">
        <v>68</v>
      </c>
      <c r="X1776" s="1">
        <v>45658</v>
      </c>
      <c r="Y1776" s="2">
        <v>2838000</v>
      </c>
      <c r="Z1776" s="2">
        <v>0</v>
      </c>
      <c r="AA1776" s="2">
        <v>2838000</v>
      </c>
    </row>
    <row r="1777" spans="1:27" x14ac:dyDescent="0.3">
      <c r="A1777" s="3">
        <v>25</v>
      </c>
      <c r="B1777" s="2" t="str">
        <f>"14508000801"</f>
        <v>14508000801</v>
      </c>
      <c r="C1777" s="2" t="s">
        <v>6565</v>
      </c>
      <c r="D1777" t="s">
        <v>29</v>
      </c>
      <c r="E1777" s="2" t="s">
        <v>30</v>
      </c>
      <c r="F1777" s="2">
        <v>37220</v>
      </c>
      <c r="G1777" s="2" t="s">
        <v>152</v>
      </c>
      <c r="H1777" t="s">
        <v>280</v>
      </c>
      <c r="I1777" s="6">
        <v>23545</v>
      </c>
      <c r="J1777" s="2" t="s">
        <v>6566</v>
      </c>
      <c r="K1777" s="2" t="s">
        <v>34</v>
      </c>
      <c r="L1777" t="s">
        <v>35</v>
      </c>
      <c r="M1777" t="s">
        <v>29</v>
      </c>
      <c r="N1777" t="s">
        <v>30</v>
      </c>
      <c r="O1777">
        <v>37219</v>
      </c>
      <c r="P1777" t="s">
        <v>6567</v>
      </c>
      <c r="Q1777" s="2">
        <v>0.01</v>
      </c>
      <c r="R1777" s="2">
        <v>10</v>
      </c>
      <c r="S1777" s="2">
        <v>10</v>
      </c>
      <c r="T1777" t="s">
        <v>6566</v>
      </c>
      <c r="U1777" s="6">
        <v>23545</v>
      </c>
      <c r="V1777" s="2">
        <v>47037018700</v>
      </c>
      <c r="W1777" s="2" t="s">
        <v>6429</v>
      </c>
      <c r="X1777" s="1">
        <v>45658</v>
      </c>
      <c r="Y1777" s="2">
        <v>800</v>
      </c>
      <c r="Z1777" s="2">
        <v>0</v>
      </c>
      <c r="AA1777" s="2">
        <v>800</v>
      </c>
    </row>
    <row r="1778" spans="1:27" x14ac:dyDescent="0.3">
      <c r="A1778" s="3">
        <v>25</v>
      </c>
      <c r="B1778" s="2" t="str">
        <f>"14605000401"</f>
        <v>14605000401</v>
      </c>
      <c r="C1778" s="2" t="s">
        <v>6568</v>
      </c>
      <c r="D1778" t="s">
        <v>29</v>
      </c>
      <c r="E1778" s="2" t="s">
        <v>30</v>
      </c>
      <c r="F1778" s="2">
        <v>37220</v>
      </c>
      <c r="G1778" s="2" t="s">
        <v>152</v>
      </c>
      <c r="H1778" t="s">
        <v>280</v>
      </c>
      <c r="I1778" s="6">
        <v>23545</v>
      </c>
      <c r="J1778" s="2" t="s">
        <v>6569</v>
      </c>
      <c r="K1778" s="2">
        <v>0</v>
      </c>
      <c r="L1778" t="s">
        <v>35</v>
      </c>
      <c r="M1778" t="s">
        <v>29</v>
      </c>
      <c r="N1778" t="s">
        <v>30</v>
      </c>
      <c r="O1778">
        <v>37219</v>
      </c>
      <c r="P1778" t="s">
        <v>6570</v>
      </c>
      <c r="Q1778" s="2">
        <v>0.01</v>
      </c>
      <c r="R1778" s="2">
        <v>10</v>
      </c>
      <c r="S1778" s="2">
        <v>10</v>
      </c>
      <c r="T1778" t="s">
        <v>6571</v>
      </c>
      <c r="U1778" s="6">
        <v>23545</v>
      </c>
      <c r="V1778" s="2">
        <v>47037018700</v>
      </c>
      <c r="W1778" s="2" t="s">
        <v>6429</v>
      </c>
      <c r="X1778" s="1">
        <v>45658</v>
      </c>
      <c r="Y1778" s="2">
        <v>800</v>
      </c>
      <c r="Z1778" s="2">
        <v>0</v>
      </c>
      <c r="AA1778" s="2">
        <v>800</v>
      </c>
    </row>
    <row r="1779" spans="1:27" x14ac:dyDescent="0.3">
      <c r="A1779" s="3">
        <v>25</v>
      </c>
      <c r="B1779" s="2" t="str">
        <f>"16000023000"</f>
        <v>16000023000</v>
      </c>
      <c r="C1779" s="2" t="s">
        <v>6572</v>
      </c>
      <c r="D1779" t="s">
        <v>29</v>
      </c>
      <c r="E1779" s="2" t="s">
        <v>30</v>
      </c>
      <c r="F1779" s="2">
        <v>37220</v>
      </c>
      <c r="G1779" s="2" t="s">
        <v>152</v>
      </c>
      <c r="H1779" t="s">
        <v>280</v>
      </c>
      <c r="I1779" s="6">
        <v>35447</v>
      </c>
      <c r="J1779" s="2" t="s">
        <v>6573</v>
      </c>
      <c r="K1779" s="2">
        <v>0</v>
      </c>
      <c r="L1779" t="s">
        <v>35</v>
      </c>
      <c r="M1779" t="s">
        <v>29</v>
      </c>
      <c r="N1779" t="s">
        <v>30</v>
      </c>
      <c r="O1779">
        <v>37219</v>
      </c>
      <c r="P1779" t="s">
        <v>6574</v>
      </c>
      <c r="Q1779" s="2">
        <v>1.2</v>
      </c>
      <c r="R1779" s="2">
        <v>0</v>
      </c>
      <c r="S1779" s="2">
        <v>0</v>
      </c>
      <c r="T1779" t="s">
        <v>6573</v>
      </c>
      <c r="U1779" s="6">
        <v>35803</v>
      </c>
      <c r="V1779" s="2">
        <v>47037018700</v>
      </c>
      <c r="W1779" s="2" t="s">
        <v>6429</v>
      </c>
      <c r="X1779" s="1">
        <v>45658</v>
      </c>
      <c r="Y1779" s="2">
        <v>475000</v>
      </c>
      <c r="Z1779" s="2">
        <v>0</v>
      </c>
      <c r="AA1779" s="2">
        <v>475000</v>
      </c>
    </row>
    <row r="1780" spans="1:27" x14ac:dyDescent="0.3">
      <c r="A1780" s="3">
        <v>25</v>
      </c>
      <c r="B1780" s="2" t="str">
        <f>"16000023100"</f>
        <v>16000023100</v>
      </c>
      <c r="C1780" s="2" t="s">
        <v>6575</v>
      </c>
      <c r="D1780" t="s">
        <v>29</v>
      </c>
      <c r="E1780" s="2" t="s">
        <v>30</v>
      </c>
      <c r="F1780" s="2">
        <v>37220</v>
      </c>
      <c r="G1780" s="2" t="s">
        <v>152</v>
      </c>
      <c r="H1780" t="s">
        <v>280</v>
      </c>
      <c r="I1780" s="6">
        <v>35447</v>
      </c>
      <c r="J1780" s="2" t="s">
        <v>6573</v>
      </c>
      <c r="K1780" s="2">
        <v>0</v>
      </c>
      <c r="L1780" t="s">
        <v>35</v>
      </c>
      <c r="M1780" t="s">
        <v>29</v>
      </c>
      <c r="N1780" t="s">
        <v>30</v>
      </c>
      <c r="O1780">
        <v>37219</v>
      </c>
      <c r="P1780" t="s">
        <v>6574</v>
      </c>
      <c r="Q1780" s="2">
        <v>0.48</v>
      </c>
      <c r="R1780" s="2">
        <v>0</v>
      </c>
      <c r="S1780" s="2">
        <v>0</v>
      </c>
      <c r="T1780" t="s">
        <v>6573</v>
      </c>
      <c r="U1780" s="6">
        <v>35803</v>
      </c>
      <c r="V1780" s="2">
        <v>47037018700</v>
      </c>
      <c r="W1780" s="2" t="s">
        <v>6429</v>
      </c>
      <c r="X1780" s="1">
        <v>45658</v>
      </c>
      <c r="Y1780" s="2">
        <v>237500</v>
      </c>
      <c r="Z1780" s="2">
        <v>0</v>
      </c>
      <c r="AA1780" s="2">
        <v>237500</v>
      </c>
    </row>
    <row r="1781" spans="1:27" x14ac:dyDescent="0.3">
      <c r="A1781" s="3">
        <v>25</v>
      </c>
      <c r="B1781" s="2" t="str">
        <f>"11810005000"</f>
        <v>11810005000</v>
      </c>
      <c r="C1781" s="2" t="s">
        <v>6576</v>
      </c>
      <c r="D1781" t="s">
        <v>29</v>
      </c>
      <c r="E1781" s="2" t="s">
        <v>30</v>
      </c>
      <c r="F1781" s="2">
        <v>37204</v>
      </c>
      <c r="G1781" s="2" t="s">
        <v>64</v>
      </c>
      <c r="H1781" t="s">
        <v>280</v>
      </c>
      <c r="I1781" s="6">
        <v>40898</v>
      </c>
      <c r="J1781" s="2" t="s">
        <v>6577</v>
      </c>
      <c r="K1781" s="2">
        <v>0</v>
      </c>
      <c r="L1781" t="s">
        <v>35</v>
      </c>
      <c r="M1781" t="s">
        <v>29</v>
      </c>
      <c r="N1781" t="s">
        <v>30</v>
      </c>
      <c r="O1781">
        <v>37219</v>
      </c>
      <c r="P1781" t="s">
        <v>6578</v>
      </c>
      <c r="Q1781" s="2">
        <v>1.42</v>
      </c>
      <c r="R1781" s="2">
        <v>115</v>
      </c>
      <c r="S1781" s="2">
        <v>600</v>
      </c>
      <c r="T1781" t="s">
        <v>6579</v>
      </c>
      <c r="U1781" s="6">
        <v>23406</v>
      </c>
      <c r="V1781" s="2">
        <v>47037017800</v>
      </c>
      <c r="W1781" s="2" t="s">
        <v>68</v>
      </c>
      <c r="X1781" s="1">
        <v>45658</v>
      </c>
      <c r="Y1781" s="2">
        <v>400000</v>
      </c>
      <c r="Z1781" s="2">
        <v>0</v>
      </c>
      <c r="AA1781" s="2">
        <v>400000</v>
      </c>
    </row>
    <row r="1782" spans="1:27" x14ac:dyDescent="0.3">
      <c r="A1782" s="3">
        <v>26</v>
      </c>
      <c r="B1782" s="2" t="str">
        <f>"14700000600"</f>
        <v>14700000600</v>
      </c>
      <c r="C1782" s="2" t="s">
        <v>6580</v>
      </c>
      <c r="D1782" t="s">
        <v>29</v>
      </c>
      <c r="E1782" s="2" t="s">
        <v>30</v>
      </c>
      <c r="F1782" s="2">
        <v>37211</v>
      </c>
      <c r="G1782" s="2" t="s">
        <v>2490</v>
      </c>
      <c r="H1782" t="s">
        <v>32</v>
      </c>
      <c r="I1782" s="6">
        <v>39083</v>
      </c>
      <c r="J1782" s="2" t="s">
        <v>6581</v>
      </c>
      <c r="K1782" s="2">
        <v>0</v>
      </c>
      <c r="L1782" t="s">
        <v>35</v>
      </c>
      <c r="M1782" t="s">
        <v>29</v>
      </c>
      <c r="N1782" t="s">
        <v>30</v>
      </c>
      <c r="O1782">
        <v>37219</v>
      </c>
      <c r="P1782" t="s">
        <v>6582</v>
      </c>
      <c r="Q1782" s="2">
        <v>13.15</v>
      </c>
      <c r="R1782" s="2">
        <v>0</v>
      </c>
      <c r="S1782" s="2">
        <v>0</v>
      </c>
      <c r="T1782" t="s">
        <v>6583</v>
      </c>
      <c r="U1782" s="6">
        <v>36375</v>
      </c>
      <c r="V1782" s="2">
        <v>47037018902</v>
      </c>
      <c r="W1782" s="2" t="s">
        <v>68</v>
      </c>
      <c r="X1782" s="1">
        <v>45658</v>
      </c>
      <c r="Y1782" s="2">
        <v>991900</v>
      </c>
      <c r="Z1782" s="2">
        <v>27000</v>
      </c>
      <c r="AA1782" s="2">
        <v>964900</v>
      </c>
    </row>
    <row r="1783" spans="1:27" x14ac:dyDescent="0.3">
      <c r="A1783" s="3">
        <v>26</v>
      </c>
      <c r="B1783" s="2" t="str">
        <f>"16100002900"</f>
        <v>16100002900</v>
      </c>
      <c r="C1783" s="2" t="s">
        <v>6584</v>
      </c>
      <c r="D1783" t="s">
        <v>29</v>
      </c>
      <c r="E1783" s="2" t="s">
        <v>30</v>
      </c>
      <c r="F1783" s="2">
        <v>37211</v>
      </c>
      <c r="G1783" s="2" t="s">
        <v>64</v>
      </c>
      <c r="H1783" t="s">
        <v>32</v>
      </c>
      <c r="I1783" s="6">
        <v>36159</v>
      </c>
      <c r="J1783" s="2" t="s">
        <v>6585</v>
      </c>
      <c r="K1783" s="2">
        <v>86000</v>
      </c>
      <c r="L1783" t="s">
        <v>35</v>
      </c>
      <c r="M1783" t="s">
        <v>29</v>
      </c>
      <c r="N1783" t="s">
        <v>30</v>
      </c>
      <c r="O1783">
        <v>37219</v>
      </c>
      <c r="P1783" t="s">
        <v>6586</v>
      </c>
      <c r="Q1783" s="2">
        <v>6.68</v>
      </c>
      <c r="R1783" s="2">
        <v>0</v>
      </c>
      <c r="S1783" s="2">
        <v>0</v>
      </c>
      <c r="T1783" t="s">
        <v>6587</v>
      </c>
      <c r="U1783" s="6">
        <v>36427</v>
      </c>
      <c r="V1783" s="2">
        <v>47037018801</v>
      </c>
      <c r="W1783" s="2" t="s">
        <v>68</v>
      </c>
      <c r="X1783" s="1">
        <v>45658</v>
      </c>
      <c r="Y1783" s="2">
        <v>811200</v>
      </c>
      <c r="Z1783" s="2">
        <v>0</v>
      </c>
      <c r="AA1783" s="2">
        <v>811200</v>
      </c>
    </row>
    <row r="1784" spans="1:27" x14ac:dyDescent="0.3">
      <c r="A1784" s="3">
        <v>26</v>
      </c>
      <c r="B1784" s="2" t="str">
        <f>"14604004900"</f>
        <v>14604004900</v>
      </c>
      <c r="C1784" s="2" t="s">
        <v>6588</v>
      </c>
      <c r="D1784" t="s">
        <v>29</v>
      </c>
      <c r="E1784" s="2" t="s">
        <v>30</v>
      </c>
      <c r="F1784" s="2">
        <v>37220</v>
      </c>
      <c r="G1784" s="2" t="s">
        <v>152</v>
      </c>
      <c r="H1784" t="s">
        <v>6589</v>
      </c>
      <c r="I1784" s="6">
        <v>27208</v>
      </c>
      <c r="J1784" s="2" t="s">
        <v>6590</v>
      </c>
      <c r="K1784" s="2">
        <v>53000</v>
      </c>
      <c r="L1784" t="s">
        <v>35</v>
      </c>
      <c r="M1784" t="s">
        <v>29</v>
      </c>
      <c r="N1784" t="s">
        <v>30</v>
      </c>
      <c r="O1784">
        <v>37219</v>
      </c>
      <c r="P1784" t="s">
        <v>6591</v>
      </c>
      <c r="Q1784" s="2">
        <v>2.04</v>
      </c>
      <c r="R1784" s="2">
        <v>0</v>
      </c>
      <c r="S1784" s="2">
        <v>0</v>
      </c>
      <c r="T1784" t="s">
        <v>6590</v>
      </c>
      <c r="U1784" s="6">
        <v>27208</v>
      </c>
      <c r="V1784" s="2">
        <v>47037018902</v>
      </c>
      <c r="W1784" s="2" t="s">
        <v>68</v>
      </c>
      <c r="X1784" s="1">
        <v>45658</v>
      </c>
      <c r="Y1784" s="2">
        <v>328100</v>
      </c>
      <c r="Z1784" s="2">
        <v>0</v>
      </c>
      <c r="AA1784" s="2">
        <v>328100</v>
      </c>
    </row>
    <row r="1785" spans="1:27" x14ac:dyDescent="0.3">
      <c r="A1785" s="3">
        <v>26</v>
      </c>
      <c r="B1785" s="2" t="str">
        <f>"16100022800"</f>
        <v>16100022800</v>
      </c>
      <c r="C1785" s="2" t="s">
        <v>6592</v>
      </c>
      <c r="D1785" t="s">
        <v>29</v>
      </c>
      <c r="E1785" s="2" t="s">
        <v>30</v>
      </c>
      <c r="F1785" s="2">
        <v>37211</v>
      </c>
      <c r="G1785" s="2" t="s">
        <v>64</v>
      </c>
      <c r="H1785" t="s">
        <v>171</v>
      </c>
      <c r="I1785" s="6">
        <v>32843</v>
      </c>
      <c r="J1785" s="2" t="s">
        <v>6593</v>
      </c>
      <c r="K1785" s="2">
        <v>1600000</v>
      </c>
      <c r="L1785" t="s">
        <v>35</v>
      </c>
      <c r="M1785" t="s">
        <v>29</v>
      </c>
      <c r="N1785" t="s">
        <v>30</v>
      </c>
      <c r="O1785">
        <v>37219</v>
      </c>
      <c r="P1785" t="s">
        <v>6594</v>
      </c>
      <c r="Q1785" s="2">
        <v>30.63</v>
      </c>
      <c r="R1785" s="2">
        <v>0</v>
      </c>
      <c r="S1785" s="2">
        <v>0</v>
      </c>
      <c r="T1785" t="s">
        <v>6595</v>
      </c>
      <c r="U1785" s="6">
        <v>32062</v>
      </c>
      <c r="V1785" s="2">
        <v>47037018801</v>
      </c>
      <c r="W1785" s="2" t="s">
        <v>68</v>
      </c>
      <c r="X1785" s="1">
        <v>45658</v>
      </c>
      <c r="Y1785" s="2">
        <v>2309800</v>
      </c>
      <c r="Z1785" s="2">
        <v>0</v>
      </c>
      <c r="AA1785" s="2">
        <v>2309800</v>
      </c>
    </row>
    <row r="1786" spans="1:27" x14ac:dyDescent="0.3">
      <c r="A1786" s="3">
        <v>26</v>
      </c>
      <c r="B1786" s="2" t="str">
        <f>"16004000800"</f>
        <v>16004000800</v>
      </c>
      <c r="C1786" s="2" t="s">
        <v>6596</v>
      </c>
      <c r="D1786" t="s">
        <v>29</v>
      </c>
      <c r="E1786" s="2" t="s">
        <v>30</v>
      </c>
      <c r="F1786" s="2">
        <v>37220</v>
      </c>
      <c r="G1786" s="2" t="s">
        <v>152</v>
      </c>
      <c r="H1786" t="s">
        <v>176</v>
      </c>
      <c r="I1786" s="6">
        <v>20253</v>
      </c>
      <c r="J1786" s="2" t="s">
        <v>6597</v>
      </c>
      <c r="K1786" s="2" t="s">
        <v>34</v>
      </c>
      <c r="L1786" t="s">
        <v>178</v>
      </c>
      <c r="M1786" t="s">
        <v>29</v>
      </c>
      <c r="N1786" t="s">
        <v>30</v>
      </c>
      <c r="O1786">
        <v>37246</v>
      </c>
      <c r="P1786" t="s">
        <v>6598</v>
      </c>
      <c r="Q1786" s="2">
        <v>0.45</v>
      </c>
      <c r="R1786" s="2">
        <v>110</v>
      </c>
      <c r="S1786" s="2">
        <v>201</v>
      </c>
      <c r="T1786" t="s">
        <v>6597</v>
      </c>
      <c r="U1786" s="6">
        <v>20253</v>
      </c>
      <c r="V1786" s="2">
        <v>47037018801</v>
      </c>
      <c r="W1786" s="2" t="s">
        <v>68</v>
      </c>
      <c r="X1786" s="1">
        <v>45658</v>
      </c>
      <c r="Y1786" s="2">
        <v>360000</v>
      </c>
      <c r="Z1786" s="2">
        <v>0</v>
      </c>
      <c r="AA1786" s="2">
        <v>360000</v>
      </c>
    </row>
    <row r="1787" spans="1:27" x14ac:dyDescent="0.3">
      <c r="A1787" s="3">
        <v>26</v>
      </c>
      <c r="B1787" s="2" t="str">
        <f>"16003014400"</f>
        <v>16003014400</v>
      </c>
      <c r="C1787" s="2" t="s">
        <v>6599</v>
      </c>
      <c r="D1787" t="s">
        <v>1117</v>
      </c>
      <c r="E1787" s="2" t="s">
        <v>30</v>
      </c>
      <c r="F1787" s="2">
        <v>37027</v>
      </c>
      <c r="G1787" s="2" t="s">
        <v>152</v>
      </c>
      <c r="H1787" t="s">
        <v>176</v>
      </c>
      <c r="I1787" s="6">
        <v>20920</v>
      </c>
      <c r="J1787" s="2" t="s">
        <v>6600</v>
      </c>
      <c r="K1787" s="2" t="s">
        <v>34</v>
      </c>
      <c r="L1787" t="s">
        <v>178</v>
      </c>
      <c r="M1787" t="s">
        <v>29</v>
      </c>
      <c r="N1787" t="s">
        <v>30</v>
      </c>
      <c r="O1787">
        <v>37246</v>
      </c>
      <c r="P1787" t="s">
        <v>6601</v>
      </c>
      <c r="Q1787" s="2">
        <v>20.9</v>
      </c>
      <c r="R1787" s="2">
        <v>0</v>
      </c>
      <c r="S1787" s="2">
        <v>0</v>
      </c>
      <c r="T1787" t="s">
        <v>6600</v>
      </c>
      <c r="U1787" s="6">
        <v>20920</v>
      </c>
      <c r="V1787" s="2">
        <v>47037018801</v>
      </c>
      <c r="W1787" s="2" t="s">
        <v>68</v>
      </c>
      <c r="X1787" s="1">
        <v>45658</v>
      </c>
      <c r="Y1787" s="2">
        <v>977300</v>
      </c>
      <c r="Z1787" s="2">
        <v>0</v>
      </c>
      <c r="AA1787" s="2">
        <v>977300</v>
      </c>
    </row>
    <row r="1788" spans="1:27" x14ac:dyDescent="0.3">
      <c r="A1788" s="3">
        <v>26</v>
      </c>
      <c r="B1788" s="2" t="str">
        <f>"14707000500"</f>
        <v>14707000500</v>
      </c>
      <c r="C1788" s="2" t="s">
        <v>6602</v>
      </c>
      <c r="D1788" t="s">
        <v>29</v>
      </c>
      <c r="E1788" s="2" t="s">
        <v>30</v>
      </c>
      <c r="F1788" s="2">
        <v>37211</v>
      </c>
      <c r="G1788" s="2" t="s">
        <v>152</v>
      </c>
      <c r="H1788" t="s">
        <v>176</v>
      </c>
      <c r="I1788" s="6">
        <v>22091</v>
      </c>
      <c r="J1788" s="2" t="s">
        <v>6603</v>
      </c>
      <c r="K1788" s="2" t="s">
        <v>34</v>
      </c>
      <c r="L1788" t="s">
        <v>178</v>
      </c>
      <c r="M1788" t="s">
        <v>29</v>
      </c>
      <c r="N1788" t="s">
        <v>30</v>
      </c>
      <c r="O1788">
        <v>37246</v>
      </c>
      <c r="P1788" t="s">
        <v>6604</v>
      </c>
      <c r="Q1788" s="2">
        <v>0.51</v>
      </c>
      <c r="R1788" s="2">
        <v>85</v>
      </c>
      <c r="S1788" s="2">
        <v>296</v>
      </c>
      <c r="T1788" t="s">
        <v>6603</v>
      </c>
      <c r="U1788" s="6">
        <v>22091</v>
      </c>
      <c r="V1788" s="2">
        <v>47037018902</v>
      </c>
      <c r="W1788" s="2" t="s">
        <v>68</v>
      </c>
      <c r="X1788" s="1">
        <v>45658</v>
      </c>
      <c r="Y1788" s="2">
        <v>225000</v>
      </c>
      <c r="Z1788" s="2">
        <v>0</v>
      </c>
      <c r="AA1788" s="2">
        <v>225000</v>
      </c>
    </row>
    <row r="1789" spans="1:27" x14ac:dyDescent="0.3">
      <c r="A1789" s="3">
        <v>26</v>
      </c>
      <c r="B1789" s="2" t="str">
        <f>"14705018100"</f>
        <v>14705018100</v>
      </c>
      <c r="C1789" s="2" t="s">
        <v>6605</v>
      </c>
      <c r="D1789" t="s">
        <v>29</v>
      </c>
      <c r="E1789" s="2" t="s">
        <v>30</v>
      </c>
      <c r="F1789" s="2">
        <v>37211</v>
      </c>
      <c r="G1789" s="2" t="s">
        <v>152</v>
      </c>
      <c r="H1789" t="s">
        <v>176</v>
      </c>
      <c r="I1789" s="6">
        <v>20114</v>
      </c>
      <c r="J1789" s="2" t="s">
        <v>6606</v>
      </c>
      <c r="K1789" s="2" t="s">
        <v>34</v>
      </c>
      <c r="L1789" t="s">
        <v>178</v>
      </c>
      <c r="M1789" t="s">
        <v>29</v>
      </c>
      <c r="N1789" t="s">
        <v>30</v>
      </c>
      <c r="O1789">
        <v>37246</v>
      </c>
      <c r="P1789" t="s">
        <v>6607</v>
      </c>
      <c r="Q1789" s="2">
        <v>0.62</v>
      </c>
      <c r="R1789" s="2">
        <v>161</v>
      </c>
      <c r="S1789" s="2">
        <v>281</v>
      </c>
      <c r="T1789" t="s">
        <v>6606</v>
      </c>
      <c r="U1789" s="6">
        <v>20114</v>
      </c>
      <c r="V1789" s="2">
        <v>47037018902</v>
      </c>
      <c r="W1789" s="2" t="s">
        <v>68</v>
      </c>
      <c r="X1789" s="1">
        <v>45658</v>
      </c>
      <c r="Y1789" s="2">
        <v>261300</v>
      </c>
      <c r="Z1789" s="2">
        <v>0</v>
      </c>
      <c r="AA1789" s="2">
        <v>261300</v>
      </c>
    </row>
    <row r="1790" spans="1:27" x14ac:dyDescent="0.3">
      <c r="A1790" s="3">
        <v>26</v>
      </c>
      <c r="B1790" s="2" t="str">
        <f>"13216002900"</f>
        <v>13216002900</v>
      </c>
      <c r="C1790" s="2" t="s">
        <v>6608</v>
      </c>
      <c r="D1790" t="s">
        <v>29</v>
      </c>
      <c r="E1790" s="2" t="s">
        <v>30</v>
      </c>
      <c r="F1790" s="2">
        <v>37211</v>
      </c>
      <c r="G1790" s="2" t="s">
        <v>152</v>
      </c>
      <c r="H1790" t="s">
        <v>176</v>
      </c>
      <c r="I1790" s="6">
        <v>22642</v>
      </c>
      <c r="J1790" s="2" t="s">
        <v>6609</v>
      </c>
      <c r="K1790" s="2" t="s">
        <v>34</v>
      </c>
      <c r="L1790" t="s">
        <v>178</v>
      </c>
      <c r="M1790" t="s">
        <v>29</v>
      </c>
      <c r="N1790" t="s">
        <v>30</v>
      </c>
      <c r="O1790">
        <v>37246</v>
      </c>
      <c r="P1790" t="s">
        <v>6610</v>
      </c>
      <c r="Q1790" s="2">
        <v>0.49</v>
      </c>
      <c r="R1790" s="2">
        <v>120</v>
      </c>
      <c r="S1790" s="2">
        <v>162</v>
      </c>
      <c r="T1790" t="s">
        <v>6609</v>
      </c>
      <c r="U1790" s="6">
        <v>22642</v>
      </c>
      <c r="V1790" s="2">
        <v>47037018901</v>
      </c>
      <c r="W1790" s="2" t="s">
        <v>68</v>
      </c>
      <c r="X1790" s="1">
        <v>45658</v>
      </c>
      <c r="Y1790" s="2">
        <v>261300</v>
      </c>
      <c r="Z1790" s="2">
        <v>0</v>
      </c>
      <c r="AA1790" s="2">
        <v>261300</v>
      </c>
    </row>
    <row r="1791" spans="1:27" x14ac:dyDescent="0.3">
      <c r="A1791" s="3">
        <v>26</v>
      </c>
      <c r="B1791" s="2" t="str">
        <f>"13314002700"</f>
        <v>13314002700</v>
      </c>
      <c r="C1791" s="2" t="s">
        <v>6611</v>
      </c>
      <c r="D1791" t="s">
        <v>29</v>
      </c>
      <c r="E1791" s="2" t="s">
        <v>30</v>
      </c>
      <c r="F1791" s="2">
        <v>37211</v>
      </c>
      <c r="G1791" s="2" t="s">
        <v>152</v>
      </c>
      <c r="H1791" t="s">
        <v>176</v>
      </c>
      <c r="I1791" s="6">
        <v>20201</v>
      </c>
      <c r="J1791" s="2" t="s">
        <v>6612</v>
      </c>
      <c r="K1791" s="2" t="s">
        <v>34</v>
      </c>
      <c r="L1791" t="s">
        <v>178</v>
      </c>
      <c r="M1791" t="s">
        <v>29</v>
      </c>
      <c r="N1791" t="s">
        <v>30</v>
      </c>
      <c r="O1791">
        <v>37246</v>
      </c>
      <c r="P1791" t="s">
        <v>6613</v>
      </c>
      <c r="Q1791" s="2">
        <v>0.37</v>
      </c>
      <c r="R1791" s="2">
        <v>74</v>
      </c>
      <c r="S1791" s="2">
        <v>198</v>
      </c>
      <c r="T1791" t="s">
        <v>6612</v>
      </c>
      <c r="U1791" s="6">
        <v>20201</v>
      </c>
      <c r="V1791" s="2">
        <v>47037018901</v>
      </c>
      <c r="W1791" s="2" t="s">
        <v>68</v>
      </c>
      <c r="X1791" s="1">
        <v>45658</v>
      </c>
      <c r="Y1791" s="2">
        <v>250000</v>
      </c>
      <c r="Z1791" s="2">
        <v>0</v>
      </c>
      <c r="AA1791" s="2">
        <v>250000</v>
      </c>
    </row>
    <row r="1792" spans="1:27" x14ac:dyDescent="0.3">
      <c r="A1792" s="3">
        <v>26</v>
      </c>
      <c r="B1792" s="2" t="str">
        <f>"14607005401"</f>
        <v>14607005401</v>
      </c>
      <c r="C1792" s="2" t="s">
        <v>6614</v>
      </c>
      <c r="D1792" t="s">
        <v>29</v>
      </c>
      <c r="E1792" s="2" t="s">
        <v>30</v>
      </c>
      <c r="F1792" s="2">
        <v>37220</v>
      </c>
      <c r="G1792" s="2" t="s">
        <v>152</v>
      </c>
      <c r="H1792" t="s">
        <v>176</v>
      </c>
      <c r="I1792" s="6">
        <v>19923</v>
      </c>
      <c r="J1792" s="2" t="s">
        <v>6615</v>
      </c>
      <c r="K1792" s="2" t="s">
        <v>34</v>
      </c>
      <c r="L1792" t="s">
        <v>178</v>
      </c>
      <c r="M1792" t="s">
        <v>29</v>
      </c>
      <c r="N1792" t="s">
        <v>30</v>
      </c>
      <c r="O1792">
        <v>37246</v>
      </c>
      <c r="P1792" t="s">
        <v>6616</v>
      </c>
      <c r="Q1792" s="2">
        <v>0.64</v>
      </c>
      <c r="R1792" s="2">
        <v>200</v>
      </c>
      <c r="S1792" s="2">
        <v>110</v>
      </c>
      <c r="T1792" t="s">
        <v>6615</v>
      </c>
      <c r="U1792" s="6">
        <v>19923</v>
      </c>
      <c r="V1792" s="2">
        <v>47037018801</v>
      </c>
      <c r="W1792" s="2" t="s">
        <v>68</v>
      </c>
      <c r="X1792" s="1">
        <v>45658</v>
      </c>
      <c r="Y1792" s="2">
        <v>375000</v>
      </c>
      <c r="Z1792" s="2">
        <v>0</v>
      </c>
      <c r="AA1792" s="2">
        <v>375000</v>
      </c>
    </row>
    <row r="1793" spans="1:27" x14ac:dyDescent="0.3">
      <c r="A1793" s="3">
        <v>26</v>
      </c>
      <c r="B1793" s="2" t="str">
        <f>"11807000100"</f>
        <v>11807000100</v>
      </c>
      <c r="C1793" s="2" t="s">
        <v>6617</v>
      </c>
      <c r="D1793" t="s">
        <v>29</v>
      </c>
      <c r="E1793" s="2" t="s">
        <v>30</v>
      </c>
      <c r="F1793" s="2">
        <v>37204</v>
      </c>
      <c r="G1793" s="2" t="s">
        <v>152</v>
      </c>
      <c r="H1793" t="s">
        <v>176</v>
      </c>
      <c r="I1793" s="6">
        <v>17035</v>
      </c>
      <c r="J1793" s="2" t="s">
        <v>6618</v>
      </c>
      <c r="K1793" s="2" t="s">
        <v>34</v>
      </c>
      <c r="L1793" t="s">
        <v>178</v>
      </c>
      <c r="M1793" t="s">
        <v>29</v>
      </c>
      <c r="N1793" t="s">
        <v>30</v>
      </c>
      <c r="O1793">
        <v>37246</v>
      </c>
      <c r="P1793" t="s">
        <v>6619</v>
      </c>
      <c r="Q1793" s="2">
        <v>3.72</v>
      </c>
      <c r="R1793" s="2">
        <v>377</v>
      </c>
      <c r="S1793" s="2">
        <v>310</v>
      </c>
      <c r="T1793" t="s">
        <v>6620</v>
      </c>
      <c r="U1793" s="6">
        <v>44221</v>
      </c>
      <c r="V1793" s="2">
        <v>47037017200</v>
      </c>
      <c r="W1793" s="2" t="s">
        <v>6621</v>
      </c>
      <c r="X1793" s="1">
        <v>45658</v>
      </c>
      <c r="Y1793" s="2">
        <v>4861300</v>
      </c>
      <c r="Z1793" s="2">
        <v>0</v>
      </c>
      <c r="AA1793" s="2">
        <v>4861300</v>
      </c>
    </row>
    <row r="1794" spans="1:27" x14ac:dyDescent="0.3">
      <c r="A1794" s="3">
        <v>26</v>
      </c>
      <c r="B1794" s="2" t="str">
        <f>"13300000400"</f>
        <v>13300000400</v>
      </c>
      <c r="C1794" s="2" t="s">
        <v>6622</v>
      </c>
      <c r="D1794" t="s">
        <v>29</v>
      </c>
      <c r="E1794" s="2" t="s">
        <v>30</v>
      </c>
      <c r="F1794" s="2">
        <v>37211</v>
      </c>
      <c r="G1794" s="2" t="s">
        <v>200</v>
      </c>
      <c r="H1794" t="s">
        <v>6623</v>
      </c>
      <c r="I1794" s="6">
        <v>34878</v>
      </c>
      <c r="J1794" s="2" t="s">
        <v>6624</v>
      </c>
      <c r="K1794" s="2">
        <v>0</v>
      </c>
      <c r="L1794" t="s">
        <v>35</v>
      </c>
      <c r="M1794" t="s">
        <v>29</v>
      </c>
      <c r="N1794" t="s">
        <v>30</v>
      </c>
      <c r="O1794">
        <v>37219</v>
      </c>
      <c r="P1794" t="s">
        <v>6625</v>
      </c>
      <c r="Q1794" s="2">
        <v>195.03</v>
      </c>
      <c r="R1794" s="2">
        <v>0</v>
      </c>
      <c r="S1794" s="2">
        <v>0</v>
      </c>
      <c r="T1794" t="s">
        <v>6626</v>
      </c>
      <c r="U1794" s="6">
        <v>30365</v>
      </c>
      <c r="V1794" s="2">
        <v>47037018901</v>
      </c>
      <c r="W1794" s="2" t="s">
        <v>68</v>
      </c>
      <c r="X1794" s="1">
        <v>45658</v>
      </c>
      <c r="Y1794" s="2">
        <v>2252800</v>
      </c>
      <c r="Z1794" s="2">
        <v>0</v>
      </c>
      <c r="AA1794" s="2">
        <v>2252800</v>
      </c>
    </row>
    <row r="1795" spans="1:27" x14ac:dyDescent="0.3">
      <c r="A1795" s="3">
        <v>26</v>
      </c>
      <c r="B1795" s="2" t="str">
        <f>"16000017500"</f>
        <v>16000017500</v>
      </c>
      <c r="C1795" s="2" t="s">
        <v>6627</v>
      </c>
      <c r="D1795" t="s">
        <v>1117</v>
      </c>
      <c r="E1795" s="2" t="s">
        <v>30</v>
      </c>
      <c r="F1795" s="2">
        <v>37027</v>
      </c>
      <c r="G1795" s="2" t="s">
        <v>200</v>
      </c>
      <c r="H1795" t="s">
        <v>206</v>
      </c>
      <c r="I1795" s="6">
        <v>29117</v>
      </c>
      <c r="J1795" s="2" t="s">
        <v>6628</v>
      </c>
      <c r="K1795" s="2" t="s">
        <v>34</v>
      </c>
      <c r="L1795" t="s">
        <v>35</v>
      </c>
      <c r="M1795" t="s">
        <v>29</v>
      </c>
      <c r="N1795" t="s">
        <v>30</v>
      </c>
      <c r="O1795">
        <v>37219</v>
      </c>
      <c r="P1795" t="s">
        <v>6629</v>
      </c>
      <c r="Q1795" s="2">
        <v>7.01</v>
      </c>
      <c r="R1795" s="2">
        <v>0</v>
      </c>
      <c r="S1795" s="2">
        <v>0</v>
      </c>
      <c r="T1795" t="s">
        <v>6628</v>
      </c>
      <c r="U1795" s="6">
        <v>29117</v>
      </c>
      <c r="V1795" s="2">
        <v>47037018803</v>
      </c>
      <c r="W1795" s="2" t="s">
        <v>68</v>
      </c>
      <c r="X1795" s="1">
        <v>45658</v>
      </c>
      <c r="Y1795" s="2">
        <v>1500800</v>
      </c>
      <c r="Z1795" s="2">
        <v>0</v>
      </c>
      <c r="AA1795" s="2">
        <v>1500800</v>
      </c>
    </row>
    <row r="1796" spans="1:27" x14ac:dyDescent="0.3">
      <c r="A1796" s="3">
        <v>26</v>
      </c>
      <c r="B1796" s="2" t="str">
        <f>"16100022500"</f>
        <v>16100022500</v>
      </c>
      <c r="C1796" s="2" t="s">
        <v>6630</v>
      </c>
      <c r="D1796" t="s">
        <v>29</v>
      </c>
      <c r="E1796" s="2" t="s">
        <v>30</v>
      </c>
      <c r="F1796" s="2">
        <v>37211</v>
      </c>
      <c r="G1796" s="2" t="s">
        <v>64</v>
      </c>
      <c r="H1796" t="s">
        <v>206</v>
      </c>
      <c r="I1796" s="6">
        <v>34667</v>
      </c>
      <c r="J1796" s="2" t="s">
        <v>6631</v>
      </c>
      <c r="K1796" s="2" t="s">
        <v>34</v>
      </c>
      <c r="L1796" t="s">
        <v>35</v>
      </c>
      <c r="M1796" t="s">
        <v>29</v>
      </c>
      <c r="N1796" t="s">
        <v>30</v>
      </c>
      <c r="O1796">
        <v>37219</v>
      </c>
      <c r="P1796" t="s">
        <v>6632</v>
      </c>
      <c r="Q1796" s="2">
        <v>21.06</v>
      </c>
      <c r="R1796" s="2">
        <v>0</v>
      </c>
      <c r="S1796" s="2">
        <v>0</v>
      </c>
      <c r="T1796" t="s">
        <v>6633</v>
      </c>
      <c r="U1796" s="6">
        <v>31418</v>
      </c>
      <c r="V1796" s="2">
        <v>47037018905</v>
      </c>
      <c r="W1796" s="2" t="s">
        <v>68</v>
      </c>
      <c r="X1796" s="1">
        <v>45658</v>
      </c>
      <c r="Y1796" s="2">
        <v>1579500</v>
      </c>
      <c r="Z1796" s="2">
        <v>0</v>
      </c>
      <c r="AA1796" s="2">
        <v>1579500</v>
      </c>
    </row>
    <row r="1797" spans="1:27" x14ac:dyDescent="0.3">
      <c r="A1797" s="3">
        <v>26</v>
      </c>
      <c r="B1797" s="2" t="str">
        <f>"16002003900"</f>
        <v>16002003900</v>
      </c>
      <c r="C1797" s="2" t="s">
        <v>6634</v>
      </c>
      <c r="D1797" t="s">
        <v>29</v>
      </c>
      <c r="E1797" s="2" t="s">
        <v>30</v>
      </c>
      <c r="F1797" s="2">
        <v>37220</v>
      </c>
      <c r="G1797" s="2" t="s">
        <v>64</v>
      </c>
      <c r="H1797" t="s">
        <v>211</v>
      </c>
      <c r="I1797" s="6">
        <v>29678</v>
      </c>
      <c r="J1797" s="2" t="s">
        <v>6635</v>
      </c>
      <c r="K1797" s="2">
        <v>171</v>
      </c>
      <c r="L1797" t="s">
        <v>35</v>
      </c>
      <c r="M1797" t="s">
        <v>29</v>
      </c>
      <c r="N1797" t="s">
        <v>30</v>
      </c>
      <c r="O1797">
        <v>37219</v>
      </c>
      <c r="P1797" t="s">
        <v>6636</v>
      </c>
      <c r="Q1797" s="2">
        <v>0.12</v>
      </c>
      <c r="R1797" s="2">
        <v>8</v>
      </c>
      <c r="S1797" s="2">
        <v>256</v>
      </c>
      <c r="T1797" t="s">
        <v>6637</v>
      </c>
      <c r="U1797" s="6">
        <v>20359</v>
      </c>
      <c r="V1797" s="2">
        <v>47037018801</v>
      </c>
      <c r="W1797" s="2" t="s">
        <v>68</v>
      </c>
      <c r="X1797" s="1">
        <v>45658</v>
      </c>
      <c r="Y1797" s="2">
        <v>1500</v>
      </c>
      <c r="Z1797" s="2">
        <v>0</v>
      </c>
      <c r="AA1797" s="2">
        <v>1500</v>
      </c>
    </row>
    <row r="1798" spans="1:27" x14ac:dyDescent="0.3">
      <c r="A1798" s="3">
        <v>26</v>
      </c>
      <c r="B1798" s="2" t="str">
        <f>"14707000400"</f>
        <v>14707000400</v>
      </c>
      <c r="C1798" s="2" t="s">
        <v>1116</v>
      </c>
      <c r="D1798" t="s">
        <v>29</v>
      </c>
      <c r="E1798" s="2" t="s">
        <v>30</v>
      </c>
      <c r="F1798" s="2">
        <v>37211</v>
      </c>
      <c r="G1798" s="2" t="s">
        <v>64</v>
      </c>
      <c r="H1798" t="s">
        <v>211</v>
      </c>
      <c r="I1798" s="6">
        <v>40772</v>
      </c>
      <c r="J1798" s="2" t="s">
        <v>6638</v>
      </c>
      <c r="K1798" s="2">
        <v>378</v>
      </c>
      <c r="L1798" t="s">
        <v>35</v>
      </c>
      <c r="M1798" t="s">
        <v>29</v>
      </c>
      <c r="N1798" t="s">
        <v>30</v>
      </c>
      <c r="O1798">
        <v>37219</v>
      </c>
      <c r="P1798" t="s">
        <v>6639</v>
      </c>
      <c r="Q1798" s="2">
        <v>0.15</v>
      </c>
      <c r="R1798" s="2">
        <v>71</v>
      </c>
      <c r="S1798" s="2">
        <v>183</v>
      </c>
      <c r="T1798" t="s">
        <v>6640</v>
      </c>
      <c r="U1798" s="6">
        <v>32924</v>
      </c>
      <c r="V1798" s="2">
        <v>47037018902</v>
      </c>
      <c r="W1798" s="2" t="s">
        <v>68</v>
      </c>
      <c r="X1798" s="1">
        <v>45658</v>
      </c>
      <c r="Y1798" s="2">
        <v>1500</v>
      </c>
      <c r="Z1798" s="2">
        <v>0</v>
      </c>
      <c r="AA1798" s="2">
        <v>1500</v>
      </c>
    </row>
    <row r="1799" spans="1:27" x14ac:dyDescent="0.3">
      <c r="A1799" s="3">
        <v>26</v>
      </c>
      <c r="B1799" s="2" t="str">
        <f>"14612015100"</f>
        <v>14612015100</v>
      </c>
      <c r="C1799" s="2" t="s">
        <v>6641</v>
      </c>
      <c r="D1799" t="s">
        <v>29</v>
      </c>
      <c r="E1799" s="2" t="s">
        <v>30</v>
      </c>
      <c r="F1799" s="2">
        <v>37220</v>
      </c>
      <c r="G1799" s="2" t="s">
        <v>253</v>
      </c>
      <c r="H1799" t="s">
        <v>6642</v>
      </c>
      <c r="I1799" s="6">
        <v>19567</v>
      </c>
      <c r="J1799" s="2" t="s">
        <v>6643</v>
      </c>
      <c r="K1799" s="2" t="s">
        <v>34</v>
      </c>
      <c r="L1799" t="s">
        <v>35</v>
      </c>
      <c r="M1799" t="s">
        <v>29</v>
      </c>
      <c r="N1799" t="s">
        <v>30</v>
      </c>
      <c r="O1799">
        <v>37219</v>
      </c>
      <c r="P1799" t="s">
        <v>6644</v>
      </c>
      <c r="Q1799" s="2">
        <v>16.57</v>
      </c>
      <c r="R1799" s="2">
        <v>0</v>
      </c>
      <c r="S1799" s="2">
        <v>0</v>
      </c>
      <c r="T1799" t="s">
        <v>6643</v>
      </c>
      <c r="U1799" s="6">
        <v>19567</v>
      </c>
      <c r="V1799" s="2">
        <v>47037018801</v>
      </c>
      <c r="W1799" s="2" t="s">
        <v>68</v>
      </c>
      <c r="X1799" s="1">
        <v>45658</v>
      </c>
      <c r="Y1799" s="2">
        <v>973000</v>
      </c>
      <c r="Z1799" s="2">
        <v>0</v>
      </c>
      <c r="AA1799" s="2">
        <v>973000</v>
      </c>
    </row>
    <row r="1800" spans="1:27" x14ac:dyDescent="0.3">
      <c r="A1800" s="3">
        <v>26</v>
      </c>
      <c r="B1800" s="2" t="str">
        <f>"16012000400"</f>
        <v>16012000400</v>
      </c>
      <c r="C1800" s="2" t="s">
        <v>6645</v>
      </c>
      <c r="D1800" t="s">
        <v>1117</v>
      </c>
      <c r="E1800" s="2" t="s">
        <v>30</v>
      </c>
      <c r="F1800" s="2">
        <v>37027</v>
      </c>
      <c r="G1800" s="2" t="s">
        <v>253</v>
      </c>
      <c r="H1800" t="s">
        <v>6646</v>
      </c>
      <c r="I1800" s="6">
        <v>23342</v>
      </c>
      <c r="J1800" s="2" t="s">
        <v>6647</v>
      </c>
      <c r="K1800" s="2" t="s">
        <v>34</v>
      </c>
      <c r="L1800" t="s">
        <v>35</v>
      </c>
      <c r="M1800" t="s">
        <v>29</v>
      </c>
      <c r="N1800" t="s">
        <v>30</v>
      </c>
      <c r="O1800">
        <v>37219</v>
      </c>
      <c r="P1800" t="s">
        <v>6648</v>
      </c>
      <c r="Q1800" s="2">
        <v>11.6</v>
      </c>
      <c r="R1800" s="2">
        <v>0</v>
      </c>
      <c r="S1800" s="2">
        <v>0</v>
      </c>
      <c r="T1800" t="s">
        <v>6647</v>
      </c>
      <c r="U1800" s="6">
        <v>23342</v>
      </c>
      <c r="V1800" s="2">
        <v>47037018803</v>
      </c>
      <c r="W1800" s="2" t="s">
        <v>68</v>
      </c>
      <c r="X1800" s="1">
        <v>45658</v>
      </c>
      <c r="Y1800" s="2">
        <v>1195000</v>
      </c>
      <c r="Z1800" s="2">
        <v>0</v>
      </c>
      <c r="AA1800" s="2">
        <v>1195000</v>
      </c>
    </row>
    <row r="1801" spans="1:27" x14ac:dyDescent="0.3">
      <c r="A1801" s="3">
        <v>26</v>
      </c>
      <c r="B1801" s="2" t="str">
        <f>"14701016300"</f>
        <v>14701016300</v>
      </c>
      <c r="C1801" s="2" t="s">
        <v>6649</v>
      </c>
      <c r="D1801" t="s">
        <v>29</v>
      </c>
      <c r="E1801" s="2" t="s">
        <v>30</v>
      </c>
      <c r="F1801" s="2">
        <v>37211</v>
      </c>
      <c r="G1801" s="2" t="s">
        <v>253</v>
      </c>
      <c r="H1801" t="s">
        <v>6650</v>
      </c>
      <c r="I1801" s="6">
        <v>21832</v>
      </c>
      <c r="J1801" s="2" t="s">
        <v>6651</v>
      </c>
      <c r="K1801" s="2" t="s">
        <v>34</v>
      </c>
      <c r="L1801" t="s">
        <v>35</v>
      </c>
      <c r="M1801" t="s">
        <v>29</v>
      </c>
      <c r="N1801" t="s">
        <v>30</v>
      </c>
      <c r="O1801">
        <v>37219</v>
      </c>
      <c r="P1801" t="s">
        <v>6652</v>
      </c>
      <c r="Q1801" s="2">
        <v>10.64</v>
      </c>
      <c r="R1801" s="2">
        <v>0</v>
      </c>
      <c r="S1801" s="2">
        <v>0</v>
      </c>
      <c r="T1801" t="s">
        <v>6651</v>
      </c>
      <c r="U1801" s="6">
        <v>21832</v>
      </c>
      <c r="V1801" s="2">
        <v>47037018902</v>
      </c>
      <c r="W1801" s="2" t="s">
        <v>68</v>
      </c>
      <c r="X1801" s="1">
        <v>45658</v>
      </c>
      <c r="Y1801" s="2">
        <v>601700</v>
      </c>
      <c r="Z1801" s="2">
        <v>0</v>
      </c>
      <c r="AA1801" s="2">
        <v>601700</v>
      </c>
    </row>
    <row r="1802" spans="1:27" x14ac:dyDescent="0.3">
      <c r="A1802" s="3">
        <v>26</v>
      </c>
      <c r="B1802" s="2" t="str">
        <f>"11803000800"</f>
        <v>11803000800</v>
      </c>
      <c r="C1802" s="2" t="s">
        <v>4501</v>
      </c>
      <c r="D1802" t="s">
        <v>29</v>
      </c>
      <c r="E1802" s="2" t="s">
        <v>30</v>
      </c>
      <c r="F1802" s="2">
        <v>37204</v>
      </c>
      <c r="G1802" s="2" t="s">
        <v>2495</v>
      </c>
      <c r="H1802" t="s">
        <v>6653</v>
      </c>
      <c r="I1802" s="6">
        <v>18694</v>
      </c>
      <c r="J1802" s="2" t="s">
        <v>6654</v>
      </c>
      <c r="K1802" s="2">
        <v>0</v>
      </c>
      <c r="L1802" t="s">
        <v>35</v>
      </c>
      <c r="M1802" t="s">
        <v>29</v>
      </c>
      <c r="N1802" t="s">
        <v>30</v>
      </c>
      <c r="O1802">
        <v>37219</v>
      </c>
      <c r="P1802" t="s">
        <v>6655</v>
      </c>
      <c r="Q1802" s="2">
        <v>15.65</v>
      </c>
      <c r="R1802" s="2">
        <v>0</v>
      </c>
      <c r="S1802" s="2">
        <v>0</v>
      </c>
      <c r="T1802" t="s">
        <v>278</v>
      </c>
      <c r="U1802" s="6">
        <v>36581</v>
      </c>
      <c r="V1802" s="2">
        <v>47037017200</v>
      </c>
      <c r="W1802" s="2" t="s">
        <v>6621</v>
      </c>
      <c r="X1802" s="1">
        <v>45658</v>
      </c>
      <c r="Y1802" s="2">
        <v>2504000</v>
      </c>
      <c r="Z1802" s="2">
        <v>0</v>
      </c>
      <c r="AA1802" s="2">
        <v>2504000</v>
      </c>
    </row>
    <row r="1803" spans="1:27" x14ac:dyDescent="0.3">
      <c r="A1803" s="3">
        <v>26</v>
      </c>
      <c r="B1803" s="2" t="str">
        <f>"11816003800"</f>
        <v>11816003800</v>
      </c>
      <c r="C1803" s="2" t="s">
        <v>6656</v>
      </c>
      <c r="D1803" t="s">
        <v>29</v>
      </c>
      <c r="E1803" s="2" t="s">
        <v>30</v>
      </c>
      <c r="F1803" s="2">
        <v>37204</v>
      </c>
      <c r="G1803" s="2" t="s">
        <v>152</v>
      </c>
      <c r="H1803" t="s">
        <v>6657</v>
      </c>
      <c r="I1803" s="6">
        <v>25510</v>
      </c>
      <c r="J1803" s="2" t="s">
        <v>6658</v>
      </c>
      <c r="K1803" s="2" t="s">
        <v>34</v>
      </c>
      <c r="L1803" t="s">
        <v>35</v>
      </c>
      <c r="M1803" t="s">
        <v>29</v>
      </c>
      <c r="N1803" t="s">
        <v>30</v>
      </c>
      <c r="O1803">
        <v>37219</v>
      </c>
      <c r="P1803" t="s">
        <v>6659</v>
      </c>
      <c r="Q1803" s="2">
        <v>2.5099999999999998</v>
      </c>
      <c r="R1803" s="2">
        <v>480</v>
      </c>
      <c r="S1803" s="2">
        <v>210</v>
      </c>
      <c r="T1803" t="s">
        <v>6658</v>
      </c>
      <c r="U1803" s="6">
        <v>25510</v>
      </c>
      <c r="V1803" s="2">
        <v>47037980200</v>
      </c>
      <c r="W1803" s="2" t="s">
        <v>68</v>
      </c>
      <c r="X1803" s="1">
        <v>45658</v>
      </c>
      <c r="Y1803" s="2">
        <v>2733400</v>
      </c>
      <c r="Z1803" s="2">
        <v>0</v>
      </c>
      <c r="AA1803" s="2">
        <v>2733400</v>
      </c>
    </row>
    <row r="1804" spans="1:27" x14ac:dyDescent="0.3">
      <c r="A1804" s="3">
        <v>26</v>
      </c>
      <c r="B1804" s="2" t="str">
        <f>"11811017700"</f>
        <v>11811017700</v>
      </c>
      <c r="C1804" s="2" t="s">
        <v>6660</v>
      </c>
      <c r="D1804" t="s">
        <v>29</v>
      </c>
      <c r="E1804" s="2" t="s">
        <v>30</v>
      </c>
      <c r="F1804" s="2">
        <v>37204</v>
      </c>
      <c r="G1804" s="2" t="s">
        <v>152</v>
      </c>
      <c r="H1804" t="s">
        <v>280</v>
      </c>
      <c r="I1804" s="6">
        <v>31947</v>
      </c>
      <c r="J1804" s="2" t="s">
        <v>6661</v>
      </c>
      <c r="K1804" s="2">
        <v>41400</v>
      </c>
      <c r="L1804" t="s">
        <v>35</v>
      </c>
      <c r="M1804" t="s">
        <v>29</v>
      </c>
      <c r="N1804" t="s">
        <v>30</v>
      </c>
      <c r="O1804">
        <v>37219</v>
      </c>
      <c r="P1804" t="s">
        <v>6662</v>
      </c>
      <c r="Q1804" s="2">
        <v>0.61</v>
      </c>
      <c r="R1804" s="2">
        <v>30</v>
      </c>
      <c r="S1804" s="2">
        <v>350</v>
      </c>
      <c r="T1804" t="s">
        <v>6661</v>
      </c>
      <c r="U1804" s="6">
        <v>31947</v>
      </c>
      <c r="V1804" s="2">
        <v>47037980200</v>
      </c>
      <c r="W1804" s="2" t="s">
        <v>68</v>
      </c>
      <c r="X1804" s="1">
        <v>45658</v>
      </c>
      <c r="Y1804" s="2">
        <v>398600</v>
      </c>
      <c r="Z1804" s="2">
        <v>0</v>
      </c>
      <c r="AA1804" s="2">
        <v>398600</v>
      </c>
    </row>
    <row r="1805" spans="1:27" x14ac:dyDescent="0.3">
      <c r="A1805" s="3">
        <v>26</v>
      </c>
      <c r="B1805" s="2" t="str">
        <f>"14707000800"</f>
        <v>14707000800</v>
      </c>
      <c r="C1805" s="2" t="s">
        <v>6663</v>
      </c>
      <c r="D1805" t="s">
        <v>29</v>
      </c>
      <c r="E1805" s="2" t="s">
        <v>30</v>
      </c>
      <c r="F1805" s="2">
        <v>37211</v>
      </c>
      <c r="G1805" s="2" t="s">
        <v>64</v>
      </c>
      <c r="H1805" t="s">
        <v>280</v>
      </c>
      <c r="I1805" s="6">
        <v>38800</v>
      </c>
      <c r="J1805" s="2" t="s">
        <v>6664</v>
      </c>
      <c r="K1805" s="2">
        <v>112000</v>
      </c>
      <c r="L1805" t="s">
        <v>35</v>
      </c>
      <c r="M1805" t="s">
        <v>29</v>
      </c>
      <c r="N1805" t="s">
        <v>30</v>
      </c>
      <c r="O1805">
        <v>37219</v>
      </c>
      <c r="P1805" t="s">
        <v>6665</v>
      </c>
      <c r="Q1805" s="2">
        <v>0.67</v>
      </c>
      <c r="R1805" s="2">
        <v>85</v>
      </c>
      <c r="S1805" s="2">
        <v>332</v>
      </c>
      <c r="T1805" t="s">
        <v>6666</v>
      </c>
      <c r="U1805" s="6">
        <v>33371</v>
      </c>
      <c r="V1805" s="2">
        <v>47037018902</v>
      </c>
      <c r="W1805" s="2" t="s">
        <v>68</v>
      </c>
      <c r="X1805" s="1">
        <v>45658</v>
      </c>
      <c r="Y1805" s="2">
        <v>225000</v>
      </c>
      <c r="Z1805" s="2">
        <v>0</v>
      </c>
      <c r="AA1805" s="2">
        <v>225000</v>
      </c>
    </row>
    <row r="1806" spans="1:27" x14ac:dyDescent="0.3">
      <c r="A1806" s="3">
        <v>26</v>
      </c>
      <c r="B1806" s="2" t="str">
        <f>"14707001200"</f>
        <v>14707001200</v>
      </c>
      <c r="C1806" s="2" t="s">
        <v>6667</v>
      </c>
      <c r="D1806" t="s">
        <v>29</v>
      </c>
      <c r="E1806" s="2" t="s">
        <v>30</v>
      </c>
      <c r="F1806" s="2">
        <v>37211</v>
      </c>
      <c r="G1806" s="2" t="s">
        <v>64</v>
      </c>
      <c r="H1806" t="s">
        <v>280</v>
      </c>
      <c r="I1806" s="6">
        <v>38651</v>
      </c>
      <c r="J1806" s="2" t="s">
        <v>6668</v>
      </c>
      <c r="K1806" s="2">
        <v>117500</v>
      </c>
      <c r="L1806" t="s">
        <v>35</v>
      </c>
      <c r="M1806" t="s">
        <v>29</v>
      </c>
      <c r="N1806" t="s">
        <v>30</v>
      </c>
      <c r="O1806">
        <v>37219</v>
      </c>
      <c r="P1806" t="s">
        <v>6669</v>
      </c>
      <c r="Q1806" s="2">
        <v>0.88</v>
      </c>
      <c r="R1806" s="2">
        <v>85</v>
      </c>
      <c r="S1806" s="2">
        <v>350</v>
      </c>
      <c r="T1806" t="s">
        <v>6670</v>
      </c>
      <c r="U1806" s="6">
        <v>33179</v>
      </c>
      <c r="V1806" s="2">
        <v>47037018902</v>
      </c>
      <c r="W1806" s="2" t="s">
        <v>68</v>
      </c>
      <c r="X1806" s="1">
        <v>45658</v>
      </c>
      <c r="Y1806" s="2">
        <v>225000</v>
      </c>
      <c r="Z1806" s="2">
        <v>0</v>
      </c>
      <c r="AA1806" s="2">
        <v>225000</v>
      </c>
    </row>
    <row r="1807" spans="1:27" x14ac:dyDescent="0.3">
      <c r="A1807" s="3">
        <v>26</v>
      </c>
      <c r="B1807" s="2" t="str">
        <f>"14706019800"</f>
        <v>14706019800</v>
      </c>
      <c r="C1807" s="2" t="s">
        <v>6671</v>
      </c>
      <c r="D1807" t="s">
        <v>29</v>
      </c>
      <c r="E1807" s="2" t="s">
        <v>30</v>
      </c>
      <c r="F1807" s="2">
        <v>37211</v>
      </c>
      <c r="G1807" s="2" t="s">
        <v>64</v>
      </c>
      <c r="H1807" t="s">
        <v>280</v>
      </c>
      <c r="I1807" s="6">
        <v>37834</v>
      </c>
      <c r="J1807" s="2" t="s">
        <v>6672</v>
      </c>
      <c r="K1807" s="2" t="s">
        <v>34</v>
      </c>
      <c r="L1807" t="s">
        <v>35</v>
      </c>
      <c r="M1807" t="s">
        <v>29</v>
      </c>
      <c r="N1807" t="s">
        <v>30</v>
      </c>
      <c r="O1807">
        <v>37219</v>
      </c>
      <c r="P1807" t="s">
        <v>6673</v>
      </c>
      <c r="Q1807" s="2">
        <v>0.95</v>
      </c>
      <c r="R1807" s="2">
        <v>80</v>
      </c>
      <c r="S1807" s="2">
        <v>440</v>
      </c>
      <c r="T1807" t="s">
        <v>6674</v>
      </c>
      <c r="U1807" s="6">
        <v>26233</v>
      </c>
      <c r="V1807" s="2">
        <v>47037018902</v>
      </c>
      <c r="W1807" s="2" t="s">
        <v>68</v>
      </c>
      <c r="X1807" s="1">
        <v>45658</v>
      </c>
      <c r="Y1807" s="2">
        <v>267200</v>
      </c>
      <c r="Z1807" s="2">
        <v>0</v>
      </c>
      <c r="AA1807" s="2">
        <v>267200</v>
      </c>
    </row>
    <row r="1808" spans="1:27" x14ac:dyDescent="0.3">
      <c r="A1808" s="3">
        <v>26</v>
      </c>
      <c r="B1808" s="2" t="str">
        <f>"14706010701"</f>
        <v>14706010701</v>
      </c>
      <c r="C1808" s="2" t="s">
        <v>6675</v>
      </c>
      <c r="D1808" t="s">
        <v>29</v>
      </c>
      <c r="E1808" s="2" t="s">
        <v>30</v>
      </c>
      <c r="F1808" s="2">
        <v>37211</v>
      </c>
      <c r="G1808" s="2" t="s">
        <v>64</v>
      </c>
      <c r="H1808" t="s">
        <v>280</v>
      </c>
      <c r="I1808" s="6">
        <v>37819</v>
      </c>
      <c r="J1808" s="2" t="s">
        <v>6676</v>
      </c>
      <c r="K1808" s="2">
        <v>0</v>
      </c>
      <c r="L1808" t="s">
        <v>35</v>
      </c>
      <c r="M1808" t="s">
        <v>29</v>
      </c>
      <c r="N1808" t="s">
        <v>30</v>
      </c>
      <c r="O1808">
        <v>37219</v>
      </c>
      <c r="P1808" t="s">
        <v>6677</v>
      </c>
      <c r="Q1808" s="2">
        <v>0.48</v>
      </c>
      <c r="R1808" s="2">
        <v>88</v>
      </c>
      <c r="S1808" s="2">
        <v>266</v>
      </c>
      <c r="T1808" t="s">
        <v>6678</v>
      </c>
      <c r="U1808" s="6">
        <v>24447</v>
      </c>
      <c r="V1808" s="2">
        <v>47037018902</v>
      </c>
      <c r="W1808" s="2" t="s">
        <v>68</v>
      </c>
      <c r="X1808" s="1">
        <v>45658</v>
      </c>
      <c r="Y1808" s="2">
        <v>247500</v>
      </c>
      <c r="Z1808" s="2">
        <v>0</v>
      </c>
      <c r="AA1808" s="2">
        <v>247500</v>
      </c>
    </row>
    <row r="1809" spans="1:27" x14ac:dyDescent="0.3">
      <c r="A1809" s="3">
        <v>26</v>
      </c>
      <c r="B1809" s="2" t="str">
        <f>"16008006300"</f>
        <v>16008006300</v>
      </c>
      <c r="C1809" s="2" t="s">
        <v>6679</v>
      </c>
      <c r="D1809" t="s">
        <v>29</v>
      </c>
      <c r="E1809" s="2" t="s">
        <v>30</v>
      </c>
      <c r="F1809" s="2">
        <v>37220</v>
      </c>
      <c r="G1809" s="2" t="s">
        <v>64</v>
      </c>
      <c r="H1809" t="s">
        <v>280</v>
      </c>
      <c r="I1809" s="6">
        <v>39906</v>
      </c>
      <c r="J1809" s="2" t="s">
        <v>6680</v>
      </c>
      <c r="K1809" s="2">
        <v>0</v>
      </c>
      <c r="L1809" t="s">
        <v>35</v>
      </c>
      <c r="M1809" t="s">
        <v>29</v>
      </c>
      <c r="N1809" t="s">
        <v>30</v>
      </c>
      <c r="O1809">
        <v>37219</v>
      </c>
      <c r="P1809" t="s">
        <v>6681</v>
      </c>
      <c r="Q1809" s="2">
        <v>0.56999999999999995</v>
      </c>
      <c r="R1809" s="2">
        <v>75</v>
      </c>
      <c r="S1809" s="2">
        <v>253</v>
      </c>
      <c r="T1809" t="s">
        <v>6682</v>
      </c>
      <c r="U1809" s="6">
        <v>24764</v>
      </c>
      <c r="V1809" s="2">
        <v>47037018801</v>
      </c>
      <c r="W1809" s="2" t="s">
        <v>68</v>
      </c>
      <c r="X1809" s="1">
        <v>45658</v>
      </c>
      <c r="Y1809" s="2">
        <v>175000</v>
      </c>
      <c r="Z1809" s="2">
        <v>0</v>
      </c>
      <c r="AA1809" s="2">
        <v>175000</v>
      </c>
    </row>
    <row r="1810" spans="1:27" x14ac:dyDescent="0.3">
      <c r="A1810" s="3">
        <v>26</v>
      </c>
      <c r="B1810" s="2" t="str">
        <f>"16008006400"</f>
        <v>16008006400</v>
      </c>
      <c r="C1810" s="2" t="s">
        <v>6683</v>
      </c>
      <c r="D1810" t="s">
        <v>29</v>
      </c>
      <c r="E1810" s="2" t="s">
        <v>30</v>
      </c>
      <c r="F1810" s="2">
        <v>37220</v>
      </c>
      <c r="G1810" s="2" t="s">
        <v>64</v>
      </c>
      <c r="H1810" t="s">
        <v>280</v>
      </c>
      <c r="I1810" s="6">
        <v>39911</v>
      </c>
      <c r="J1810" s="2" t="s">
        <v>6684</v>
      </c>
      <c r="K1810" s="2">
        <v>0</v>
      </c>
      <c r="L1810" t="s">
        <v>35</v>
      </c>
      <c r="M1810" t="s">
        <v>29</v>
      </c>
      <c r="N1810" t="s">
        <v>30</v>
      </c>
      <c r="O1810">
        <v>37219</v>
      </c>
      <c r="P1810" t="s">
        <v>6685</v>
      </c>
      <c r="Q1810" s="2">
        <v>0.89</v>
      </c>
      <c r="R1810" s="2">
        <v>136</v>
      </c>
      <c r="S1810" s="2">
        <v>253</v>
      </c>
      <c r="T1810" t="s">
        <v>6686</v>
      </c>
      <c r="U1810" s="6">
        <v>24917</v>
      </c>
      <c r="V1810" s="2">
        <v>47037018801</v>
      </c>
      <c r="W1810" s="2" t="s">
        <v>68</v>
      </c>
      <c r="X1810" s="1">
        <v>45658</v>
      </c>
      <c r="Y1810" s="2">
        <v>350000</v>
      </c>
      <c r="Z1810" s="2">
        <v>0</v>
      </c>
      <c r="AA1810" s="2">
        <v>350000</v>
      </c>
    </row>
    <row r="1811" spans="1:27" x14ac:dyDescent="0.3">
      <c r="A1811" s="3">
        <v>26</v>
      </c>
      <c r="B1811" s="2" t="str">
        <f>"14706011200"</f>
        <v>14706011200</v>
      </c>
      <c r="C1811" s="2" t="s">
        <v>6687</v>
      </c>
      <c r="D1811" t="s">
        <v>29</v>
      </c>
      <c r="E1811" s="2" t="s">
        <v>30</v>
      </c>
      <c r="F1811" s="2">
        <v>37211</v>
      </c>
      <c r="G1811" s="2" t="s">
        <v>64</v>
      </c>
      <c r="H1811" t="s">
        <v>280</v>
      </c>
      <c r="I1811" s="6">
        <v>39597</v>
      </c>
      <c r="J1811" s="2" t="s">
        <v>6688</v>
      </c>
      <c r="K1811" s="2">
        <v>0</v>
      </c>
      <c r="L1811" t="s">
        <v>35</v>
      </c>
      <c r="M1811" t="s">
        <v>29</v>
      </c>
      <c r="N1811" t="s">
        <v>30</v>
      </c>
      <c r="O1811">
        <v>37219</v>
      </c>
      <c r="P1811" t="s">
        <v>6689</v>
      </c>
      <c r="Q1811" s="2">
        <v>0.59</v>
      </c>
      <c r="R1811" s="2">
        <v>121</v>
      </c>
      <c r="S1811" s="2">
        <v>252</v>
      </c>
      <c r="T1811" t="s">
        <v>6690</v>
      </c>
      <c r="U1811" s="6">
        <v>22592</v>
      </c>
      <c r="V1811" s="2">
        <v>47037018902</v>
      </c>
      <c r="W1811" s="2" t="s">
        <v>68</v>
      </c>
      <c r="X1811" s="1">
        <v>45658</v>
      </c>
      <c r="Y1811" s="2">
        <v>247500</v>
      </c>
      <c r="Z1811" s="2">
        <v>0</v>
      </c>
      <c r="AA1811" s="2">
        <v>247500</v>
      </c>
    </row>
    <row r="1812" spans="1:27" x14ac:dyDescent="0.3">
      <c r="A1812" s="3">
        <v>26</v>
      </c>
      <c r="B1812" s="2" t="str">
        <f>"14706010900"</f>
        <v>14706010900</v>
      </c>
      <c r="C1812" s="2" t="s">
        <v>6691</v>
      </c>
      <c r="D1812" t="s">
        <v>29</v>
      </c>
      <c r="E1812" s="2" t="s">
        <v>30</v>
      </c>
      <c r="F1812" s="2">
        <v>37211</v>
      </c>
      <c r="G1812" s="2" t="s">
        <v>64</v>
      </c>
      <c r="H1812" t="s">
        <v>280</v>
      </c>
      <c r="I1812" s="6">
        <v>38847</v>
      </c>
      <c r="J1812" s="2" t="s">
        <v>6692</v>
      </c>
      <c r="K1812" s="2">
        <v>170000</v>
      </c>
      <c r="L1812" t="s">
        <v>35</v>
      </c>
      <c r="M1812" t="s">
        <v>29</v>
      </c>
      <c r="N1812" t="s">
        <v>30</v>
      </c>
      <c r="O1812">
        <v>37219</v>
      </c>
      <c r="P1812" t="s">
        <v>6693</v>
      </c>
      <c r="Q1812" s="2">
        <v>0.36</v>
      </c>
      <c r="R1812" s="2">
        <v>78</v>
      </c>
      <c r="S1812" s="2">
        <v>254</v>
      </c>
      <c r="T1812" t="s">
        <v>6694</v>
      </c>
      <c r="U1812" s="6">
        <v>24478</v>
      </c>
      <c r="V1812" s="2">
        <v>47037018902</v>
      </c>
      <c r="W1812" s="2" t="s">
        <v>68</v>
      </c>
      <c r="X1812" s="1">
        <v>45658</v>
      </c>
      <c r="Y1812" s="2">
        <v>225000</v>
      </c>
      <c r="Z1812" s="2">
        <v>0</v>
      </c>
      <c r="AA1812" s="2">
        <v>225000</v>
      </c>
    </row>
    <row r="1813" spans="1:27" x14ac:dyDescent="0.3">
      <c r="A1813" s="3">
        <v>26</v>
      </c>
      <c r="B1813" s="2" t="str">
        <f>"14706011000"</f>
        <v>14706011000</v>
      </c>
      <c r="C1813" s="2" t="s">
        <v>6695</v>
      </c>
      <c r="D1813" t="s">
        <v>29</v>
      </c>
      <c r="E1813" s="2" t="s">
        <v>30</v>
      </c>
      <c r="F1813" s="2">
        <v>37211</v>
      </c>
      <c r="G1813" s="2" t="s">
        <v>64</v>
      </c>
      <c r="H1813" t="s">
        <v>280</v>
      </c>
      <c r="I1813" s="6">
        <v>39598</v>
      </c>
      <c r="J1813" s="2" t="s">
        <v>6696</v>
      </c>
      <c r="K1813" s="2">
        <v>0</v>
      </c>
      <c r="L1813" t="s">
        <v>35</v>
      </c>
      <c r="M1813" t="s">
        <v>29</v>
      </c>
      <c r="N1813" t="s">
        <v>30</v>
      </c>
      <c r="O1813">
        <v>37219</v>
      </c>
      <c r="P1813" t="s">
        <v>6697</v>
      </c>
      <c r="Q1813" s="2">
        <v>0.4</v>
      </c>
      <c r="R1813" s="2">
        <v>87</v>
      </c>
      <c r="S1813" s="2">
        <v>245</v>
      </c>
      <c r="T1813" t="s">
        <v>6698</v>
      </c>
      <c r="U1813" s="6">
        <v>24324</v>
      </c>
      <c r="V1813" s="2">
        <v>47037018902</v>
      </c>
      <c r="W1813" s="2" t="s">
        <v>68</v>
      </c>
      <c r="X1813" s="1">
        <v>45658</v>
      </c>
      <c r="Y1813" s="2">
        <v>225000</v>
      </c>
      <c r="Z1813" s="2">
        <v>0</v>
      </c>
      <c r="AA1813" s="2">
        <v>225000</v>
      </c>
    </row>
    <row r="1814" spans="1:27" x14ac:dyDescent="0.3">
      <c r="A1814" s="3">
        <v>26</v>
      </c>
      <c r="B1814" s="2" t="str">
        <f>"14706011100"</f>
        <v>14706011100</v>
      </c>
      <c r="C1814" s="2" t="s">
        <v>6699</v>
      </c>
      <c r="D1814" t="s">
        <v>29</v>
      </c>
      <c r="E1814" s="2" t="s">
        <v>30</v>
      </c>
      <c r="F1814" s="2">
        <v>37211</v>
      </c>
      <c r="G1814" s="2" t="s">
        <v>64</v>
      </c>
      <c r="H1814" t="s">
        <v>280</v>
      </c>
      <c r="I1814" s="6">
        <v>39505</v>
      </c>
      <c r="J1814" s="2" t="s">
        <v>6700</v>
      </c>
      <c r="K1814" s="2">
        <v>0</v>
      </c>
      <c r="L1814" t="s">
        <v>35</v>
      </c>
      <c r="M1814" t="s">
        <v>29</v>
      </c>
      <c r="N1814" t="s">
        <v>30</v>
      </c>
      <c r="O1814">
        <v>37219</v>
      </c>
      <c r="P1814" t="s">
        <v>6701</v>
      </c>
      <c r="Q1814" s="2">
        <v>0.38</v>
      </c>
      <c r="R1814" s="2">
        <v>91</v>
      </c>
      <c r="S1814" s="2">
        <v>252</v>
      </c>
      <c r="T1814" t="s">
        <v>6702</v>
      </c>
      <c r="U1814" s="6">
        <v>22654</v>
      </c>
      <c r="V1814" s="2">
        <v>47037018902</v>
      </c>
      <c r="W1814" s="2" t="s">
        <v>68</v>
      </c>
      <c r="X1814" s="1">
        <v>45658</v>
      </c>
      <c r="Y1814" s="2">
        <v>225000</v>
      </c>
      <c r="Z1814" s="2">
        <v>0</v>
      </c>
      <c r="AA1814" s="2">
        <v>225000</v>
      </c>
    </row>
    <row r="1815" spans="1:27" x14ac:dyDescent="0.3">
      <c r="A1815" s="3">
        <v>26</v>
      </c>
      <c r="B1815" s="2" t="str">
        <f>"14706019600"</f>
        <v>14706019600</v>
      </c>
      <c r="C1815" s="2" t="s">
        <v>6703</v>
      </c>
      <c r="D1815" t="s">
        <v>29</v>
      </c>
      <c r="E1815" s="2" t="s">
        <v>30</v>
      </c>
      <c r="F1815" s="2">
        <v>37211</v>
      </c>
      <c r="G1815" s="2" t="s">
        <v>64</v>
      </c>
      <c r="H1815" t="s">
        <v>280</v>
      </c>
      <c r="I1815" s="6">
        <v>37795</v>
      </c>
      <c r="J1815" s="2" t="s">
        <v>6704</v>
      </c>
      <c r="K1815" s="2" t="s">
        <v>34</v>
      </c>
      <c r="L1815" t="s">
        <v>35</v>
      </c>
      <c r="M1815" t="s">
        <v>29</v>
      </c>
      <c r="N1815" t="s">
        <v>30</v>
      </c>
      <c r="O1815">
        <v>37219</v>
      </c>
      <c r="P1815" t="s">
        <v>6705</v>
      </c>
      <c r="Q1815" s="2">
        <v>0.66</v>
      </c>
      <c r="R1815" s="2">
        <v>85</v>
      </c>
      <c r="S1815" s="2">
        <v>379</v>
      </c>
      <c r="T1815" t="s">
        <v>6706</v>
      </c>
      <c r="U1815" s="6">
        <v>25345</v>
      </c>
      <c r="V1815" s="2">
        <v>47037018902</v>
      </c>
      <c r="W1815" s="2" t="s">
        <v>68</v>
      </c>
      <c r="X1815" s="1">
        <v>45658</v>
      </c>
      <c r="Y1815" s="2">
        <v>235100</v>
      </c>
      <c r="Z1815" s="2">
        <v>0</v>
      </c>
      <c r="AA1815" s="2">
        <v>235100</v>
      </c>
    </row>
    <row r="1816" spans="1:27" x14ac:dyDescent="0.3">
      <c r="A1816" s="3">
        <v>26</v>
      </c>
      <c r="B1816" s="2" t="str">
        <f>"14706012900"</f>
        <v>14706012900</v>
      </c>
      <c r="C1816" s="2" t="s">
        <v>6707</v>
      </c>
      <c r="D1816" t="s">
        <v>29</v>
      </c>
      <c r="E1816" s="2" t="s">
        <v>30</v>
      </c>
      <c r="F1816" s="2">
        <v>37211</v>
      </c>
      <c r="G1816" s="2" t="s">
        <v>64</v>
      </c>
      <c r="H1816" t="s">
        <v>280</v>
      </c>
      <c r="I1816" s="6">
        <v>38800</v>
      </c>
      <c r="J1816" s="2" t="s">
        <v>6708</v>
      </c>
      <c r="K1816" s="2">
        <v>208000</v>
      </c>
      <c r="L1816" t="s">
        <v>35</v>
      </c>
      <c r="M1816" t="s">
        <v>29</v>
      </c>
      <c r="N1816" t="s">
        <v>30</v>
      </c>
      <c r="O1816">
        <v>37219</v>
      </c>
      <c r="P1816" t="s">
        <v>6709</v>
      </c>
      <c r="Q1816" s="2">
        <v>0.33</v>
      </c>
      <c r="R1816" s="2">
        <v>50</v>
      </c>
      <c r="S1816" s="2">
        <v>214</v>
      </c>
      <c r="T1816" t="s">
        <v>6710</v>
      </c>
      <c r="U1816" s="6">
        <v>26144</v>
      </c>
      <c r="V1816" s="2">
        <v>47037018902</v>
      </c>
      <c r="W1816" s="2" t="s">
        <v>68</v>
      </c>
      <c r="X1816" s="1">
        <v>45658</v>
      </c>
      <c r="Y1816" s="2">
        <v>213800</v>
      </c>
      <c r="Z1816" s="2">
        <v>0</v>
      </c>
      <c r="AA1816" s="2">
        <v>213800</v>
      </c>
    </row>
    <row r="1817" spans="1:27" x14ac:dyDescent="0.3">
      <c r="A1817" s="3">
        <v>26</v>
      </c>
      <c r="B1817" s="2" t="str">
        <f>"14706019700"</f>
        <v>14706019700</v>
      </c>
      <c r="C1817" s="2" t="s">
        <v>6711</v>
      </c>
      <c r="D1817" t="s">
        <v>29</v>
      </c>
      <c r="E1817" s="2" t="s">
        <v>30</v>
      </c>
      <c r="F1817" s="2">
        <v>37211</v>
      </c>
      <c r="G1817" s="2" t="s">
        <v>64</v>
      </c>
      <c r="H1817" t="s">
        <v>280</v>
      </c>
      <c r="I1817" s="6">
        <v>37805</v>
      </c>
      <c r="J1817" s="2" t="s">
        <v>6712</v>
      </c>
      <c r="K1817" s="2" t="s">
        <v>34</v>
      </c>
      <c r="L1817" t="s">
        <v>35</v>
      </c>
      <c r="M1817" t="s">
        <v>29</v>
      </c>
      <c r="N1817" t="s">
        <v>30</v>
      </c>
      <c r="O1817">
        <v>37219</v>
      </c>
      <c r="P1817" t="s">
        <v>6713</v>
      </c>
      <c r="Q1817" s="2">
        <v>0.82</v>
      </c>
      <c r="R1817" s="2">
        <v>85</v>
      </c>
      <c r="S1817" s="2">
        <v>440</v>
      </c>
      <c r="T1817" t="s">
        <v>6714</v>
      </c>
      <c r="U1817" s="6">
        <v>27045</v>
      </c>
      <c r="V1817" s="2">
        <v>47037018902</v>
      </c>
      <c r="W1817" s="2" t="s">
        <v>68</v>
      </c>
      <c r="X1817" s="1">
        <v>45658</v>
      </c>
      <c r="Y1817" s="2">
        <v>256500</v>
      </c>
      <c r="Z1817" s="2">
        <v>0</v>
      </c>
      <c r="AA1817" s="2">
        <v>256500</v>
      </c>
    </row>
    <row r="1818" spans="1:27" x14ac:dyDescent="0.3">
      <c r="A1818" s="3">
        <v>26</v>
      </c>
      <c r="B1818" s="2" t="str">
        <f>"14706019900"</f>
        <v>14706019900</v>
      </c>
      <c r="C1818" s="2" t="s">
        <v>6715</v>
      </c>
      <c r="D1818" t="s">
        <v>29</v>
      </c>
      <c r="E1818" s="2" t="s">
        <v>30</v>
      </c>
      <c r="F1818" s="2">
        <v>37211</v>
      </c>
      <c r="G1818" s="2" t="s">
        <v>64</v>
      </c>
      <c r="H1818" t="s">
        <v>280</v>
      </c>
      <c r="I1818" s="6">
        <v>37789</v>
      </c>
      <c r="J1818" s="2" t="s">
        <v>6716</v>
      </c>
      <c r="K1818" s="2">
        <v>0</v>
      </c>
      <c r="L1818" t="s">
        <v>35</v>
      </c>
      <c r="M1818" t="s">
        <v>29</v>
      </c>
      <c r="N1818" t="s">
        <v>30</v>
      </c>
      <c r="O1818">
        <v>37219</v>
      </c>
      <c r="P1818" t="s">
        <v>6717</v>
      </c>
      <c r="Q1818" s="2">
        <v>0.73</v>
      </c>
      <c r="R1818" s="2">
        <v>85</v>
      </c>
      <c r="S1818" s="2">
        <v>394</v>
      </c>
      <c r="T1818" t="s">
        <v>6718</v>
      </c>
      <c r="U1818" s="6">
        <v>25290</v>
      </c>
      <c r="V1818" s="2">
        <v>47037018902</v>
      </c>
      <c r="W1818" s="2" t="s">
        <v>68</v>
      </c>
      <c r="X1818" s="1">
        <v>45658</v>
      </c>
      <c r="Y1818" s="2">
        <v>256500</v>
      </c>
      <c r="Z1818" s="2">
        <v>0</v>
      </c>
      <c r="AA1818" s="2">
        <v>256500</v>
      </c>
    </row>
    <row r="1819" spans="1:27" x14ac:dyDescent="0.3">
      <c r="A1819" s="3">
        <v>26</v>
      </c>
      <c r="B1819" s="2" t="str">
        <f>"14706020000"</f>
        <v>14706020000</v>
      </c>
      <c r="C1819" s="2" t="s">
        <v>6719</v>
      </c>
      <c r="D1819" t="s">
        <v>29</v>
      </c>
      <c r="E1819" s="2" t="s">
        <v>30</v>
      </c>
      <c r="F1819" s="2">
        <v>37211</v>
      </c>
      <c r="G1819" s="2" t="s">
        <v>64</v>
      </c>
      <c r="H1819" t="s">
        <v>280</v>
      </c>
      <c r="I1819" s="6">
        <v>37789</v>
      </c>
      <c r="J1819" s="2" t="s">
        <v>6720</v>
      </c>
      <c r="K1819" s="2">
        <v>0</v>
      </c>
      <c r="L1819" t="s">
        <v>35</v>
      </c>
      <c r="M1819" t="s">
        <v>29</v>
      </c>
      <c r="N1819" t="s">
        <v>30</v>
      </c>
      <c r="O1819">
        <v>37219</v>
      </c>
      <c r="P1819" t="s">
        <v>6721</v>
      </c>
      <c r="Q1819" s="2">
        <v>0.83</v>
      </c>
      <c r="R1819" s="2">
        <v>211</v>
      </c>
      <c r="S1819" s="2">
        <v>231</v>
      </c>
      <c r="T1819" t="s">
        <v>6722</v>
      </c>
      <c r="U1819" s="6">
        <v>25896</v>
      </c>
      <c r="V1819" s="2">
        <v>47037018902</v>
      </c>
      <c r="W1819" s="2" t="s">
        <v>68</v>
      </c>
      <c r="X1819" s="1">
        <v>45658</v>
      </c>
      <c r="Y1819" s="2">
        <v>256500</v>
      </c>
      <c r="Z1819" s="2">
        <v>0</v>
      </c>
      <c r="AA1819" s="2">
        <v>256500</v>
      </c>
    </row>
    <row r="1820" spans="1:27" x14ac:dyDescent="0.3">
      <c r="A1820" s="3">
        <v>26</v>
      </c>
      <c r="B1820" s="2" t="str">
        <f>"14703001200"</f>
        <v>14703001200</v>
      </c>
      <c r="C1820" s="2" t="s">
        <v>6723</v>
      </c>
      <c r="D1820" t="s">
        <v>29</v>
      </c>
      <c r="E1820" s="2" t="s">
        <v>30</v>
      </c>
      <c r="F1820" s="2">
        <v>37211</v>
      </c>
      <c r="G1820" s="2" t="s">
        <v>64</v>
      </c>
      <c r="H1820" t="s">
        <v>280</v>
      </c>
      <c r="I1820" s="6">
        <v>37845</v>
      </c>
      <c r="J1820" s="2" t="s">
        <v>6724</v>
      </c>
      <c r="K1820" s="2" t="s">
        <v>34</v>
      </c>
      <c r="L1820" t="s">
        <v>35</v>
      </c>
      <c r="M1820" t="s">
        <v>29</v>
      </c>
      <c r="N1820" t="s">
        <v>30</v>
      </c>
      <c r="O1820">
        <v>37219</v>
      </c>
      <c r="P1820" t="s">
        <v>6725</v>
      </c>
      <c r="Q1820" s="2">
        <v>0.36</v>
      </c>
      <c r="R1820" s="2">
        <v>44</v>
      </c>
      <c r="S1820" s="2">
        <v>202</v>
      </c>
      <c r="T1820" t="s">
        <v>6726</v>
      </c>
      <c r="U1820" s="6">
        <v>27001</v>
      </c>
      <c r="V1820" s="2">
        <v>47037018902</v>
      </c>
      <c r="W1820" s="2" t="s">
        <v>68</v>
      </c>
      <c r="X1820" s="1">
        <v>45658</v>
      </c>
      <c r="Y1820" s="2">
        <v>225000</v>
      </c>
      <c r="Z1820" s="2">
        <v>0</v>
      </c>
      <c r="AA1820" s="2">
        <v>225000</v>
      </c>
    </row>
    <row r="1821" spans="1:27" x14ac:dyDescent="0.3">
      <c r="A1821" s="3">
        <v>26</v>
      </c>
      <c r="B1821" s="2" t="str">
        <f>"14702019200"</f>
        <v>14702019200</v>
      </c>
      <c r="C1821" s="2" t="s">
        <v>6727</v>
      </c>
      <c r="D1821" t="s">
        <v>29</v>
      </c>
      <c r="E1821" s="2" t="s">
        <v>30</v>
      </c>
      <c r="F1821" s="2">
        <v>37211</v>
      </c>
      <c r="G1821" s="2" t="s">
        <v>64</v>
      </c>
      <c r="H1821" t="s">
        <v>280</v>
      </c>
      <c r="I1821" s="6">
        <v>37860</v>
      </c>
      <c r="J1821" s="2" t="s">
        <v>6728</v>
      </c>
      <c r="K1821" s="2" t="s">
        <v>34</v>
      </c>
      <c r="L1821" t="s">
        <v>35</v>
      </c>
      <c r="M1821" t="s">
        <v>29</v>
      </c>
      <c r="N1821" t="s">
        <v>30</v>
      </c>
      <c r="O1821">
        <v>37219</v>
      </c>
      <c r="P1821" t="s">
        <v>6729</v>
      </c>
      <c r="Q1821" s="2">
        <v>0.41</v>
      </c>
      <c r="R1821" s="2">
        <v>78</v>
      </c>
      <c r="S1821" s="2">
        <v>158</v>
      </c>
      <c r="T1821" t="s">
        <v>6730</v>
      </c>
      <c r="U1821" s="6">
        <v>26937</v>
      </c>
      <c r="V1821" s="2">
        <v>47037018902</v>
      </c>
      <c r="W1821" s="2" t="s">
        <v>68</v>
      </c>
      <c r="X1821" s="1">
        <v>45658</v>
      </c>
      <c r="Y1821" s="2">
        <v>225000</v>
      </c>
      <c r="Z1821" s="2">
        <v>0</v>
      </c>
      <c r="AA1821" s="2">
        <v>225000</v>
      </c>
    </row>
    <row r="1822" spans="1:27" x14ac:dyDescent="0.3">
      <c r="A1822" s="3">
        <v>26</v>
      </c>
      <c r="B1822" s="2" t="str">
        <f>"14707000300"</f>
        <v>14707000300</v>
      </c>
      <c r="C1822" s="2" t="s">
        <v>6731</v>
      </c>
      <c r="D1822" t="s">
        <v>29</v>
      </c>
      <c r="E1822" s="2" t="s">
        <v>30</v>
      </c>
      <c r="F1822" s="2">
        <v>37211</v>
      </c>
      <c r="G1822" s="2" t="s">
        <v>64</v>
      </c>
      <c r="H1822" t="s">
        <v>280</v>
      </c>
      <c r="I1822" s="6">
        <v>37876</v>
      </c>
      <c r="J1822" s="2" t="s">
        <v>6732</v>
      </c>
      <c r="K1822" s="2" t="s">
        <v>34</v>
      </c>
      <c r="L1822" t="s">
        <v>35</v>
      </c>
      <c r="M1822" t="s">
        <v>29</v>
      </c>
      <c r="N1822" t="s">
        <v>30</v>
      </c>
      <c r="O1822">
        <v>37219</v>
      </c>
      <c r="P1822" t="s">
        <v>6733</v>
      </c>
      <c r="Q1822" s="2">
        <v>0.64</v>
      </c>
      <c r="R1822" s="2">
        <v>46</v>
      </c>
      <c r="S1822" s="2">
        <v>202</v>
      </c>
      <c r="T1822" t="s">
        <v>6734</v>
      </c>
      <c r="U1822" s="6">
        <v>24294</v>
      </c>
      <c r="V1822" s="2">
        <v>47037018902</v>
      </c>
      <c r="W1822" s="2" t="s">
        <v>68</v>
      </c>
      <c r="X1822" s="1">
        <v>45658</v>
      </c>
      <c r="Y1822" s="2">
        <v>247500</v>
      </c>
      <c r="Z1822" s="2">
        <v>0</v>
      </c>
      <c r="AA1822" s="2">
        <v>247500</v>
      </c>
    </row>
    <row r="1823" spans="1:27" x14ac:dyDescent="0.3">
      <c r="A1823" s="3">
        <v>26</v>
      </c>
      <c r="B1823" s="2" t="str">
        <f>"14707000100"</f>
        <v>14707000100</v>
      </c>
      <c r="C1823" s="2" t="s">
        <v>6735</v>
      </c>
      <c r="D1823" t="s">
        <v>29</v>
      </c>
      <c r="E1823" s="2" t="s">
        <v>30</v>
      </c>
      <c r="F1823" s="2">
        <v>37211</v>
      </c>
      <c r="G1823" s="2" t="s">
        <v>64</v>
      </c>
      <c r="H1823" t="s">
        <v>280</v>
      </c>
      <c r="I1823" s="6">
        <v>38365</v>
      </c>
      <c r="J1823" s="2" t="s">
        <v>6736</v>
      </c>
      <c r="K1823" s="2">
        <v>130000</v>
      </c>
      <c r="L1823" t="s">
        <v>35</v>
      </c>
      <c r="M1823" t="s">
        <v>29</v>
      </c>
      <c r="N1823" t="s">
        <v>30</v>
      </c>
      <c r="O1823">
        <v>37219</v>
      </c>
      <c r="P1823" t="s">
        <v>6737</v>
      </c>
      <c r="Q1823" s="2">
        <v>0.55000000000000004</v>
      </c>
      <c r="R1823" s="2">
        <v>80</v>
      </c>
      <c r="S1823" s="2">
        <v>266</v>
      </c>
      <c r="T1823" t="s">
        <v>6738</v>
      </c>
      <c r="U1823" s="6">
        <v>27381</v>
      </c>
      <c r="V1823" s="2">
        <v>47037018902</v>
      </c>
      <c r="W1823" s="2" t="s">
        <v>68</v>
      </c>
      <c r="X1823" s="1">
        <v>45658</v>
      </c>
      <c r="Y1823" s="2">
        <v>247500</v>
      </c>
      <c r="Z1823" s="2">
        <v>0</v>
      </c>
      <c r="AA1823" s="2">
        <v>247500</v>
      </c>
    </row>
    <row r="1824" spans="1:27" x14ac:dyDescent="0.3">
      <c r="A1824" s="3">
        <v>26</v>
      </c>
      <c r="B1824" s="2" t="str">
        <f>"14706010700"</f>
        <v>14706010700</v>
      </c>
      <c r="C1824" s="2" t="s">
        <v>6739</v>
      </c>
      <c r="D1824" t="s">
        <v>29</v>
      </c>
      <c r="E1824" s="2" t="s">
        <v>30</v>
      </c>
      <c r="F1824" s="2">
        <v>37211</v>
      </c>
      <c r="G1824" s="2" t="s">
        <v>64</v>
      </c>
      <c r="H1824" t="s">
        <v>280</v>
      </c>
      <c r="I1824" s="6">
        <v>37768</v>
      </c>
      <c r="J1824" s="2" t="s">
        <v>6740</v>
      </c>
      <c r="K1824" s="2" t="s">
        <v>34</v>
      </c>
      <c r="L1824" t="s">
        <v>35</v>
      </c>
      <c r="M1824" t="s">
        <v>29</v>
      </c>
      <c r="N1824" t="s">
        <v>30</v>
      </c>
      <c r="O1824">
        <v>37219</v>
      </c>
      <c r="P1824" t="s">
        <v>6741</v>
      </c>
      <c r="Q1824" s="2">
        <v>0.48</v>
      </c>
      <c r="R1824" s="2">
        <v>78</v>
      </c>
      <c r="S1824" s="2">
        <v>274</v>
      </c>
      <c r="T1824" t="s">
        <v>6742</v>
      </c>
      <c r="U1824" s="6">
        <v>24811</v>
      </c>
      <c r="V1824" s="2">
        <v>47037018902</v>
      </c>
      <c r="W1824" s="2" t="s">
        <v>68</v>
      </c>
      <c r="X1824" s="1">
        <v>45658</v>
      </c>
      <c r="Y1824" s="2">
        <v>247500</v>
      </c>
      <c r="Z1824" s="2">
        <v>0</v>
      </c>
      <c r="AA1824" s="2">
        <v>247500</v>
      </c>
    </row>
    <row r="1825" spans="1:27" x14ac:dyDescent="0.3">
      <c r="A1825" s="3">
        <v>26</v>
      </c>
      <c r="B1825" s="2" t="str">
        <f>"14707000200"</f>
        <v>14707000200</v>
      </c>
      <c r="C1825" s="2" t="s">
        <v>6743</v>
      </c>
      <c r="D1825" t="s">
        <v>29</v>
      </c>
      <c r="E1825" s="2" t="s">
        <v>30</v>
      </c>
      <c r="F1825" s="2">
        <v>37211</v>
      </c>
      <c r="G1825" s="2" t="s">
        <v>64</v>
      </c>
      <c r="H1825" t="s">
        <v>280</v>
      </c>
      <c r="I1825" s="6">
        <v>38835</v>
      </c>
      <c r="J1825" s="2" t="s">
        <v>6744</v>
      </c>
      <c r="K1825" s="2">
        <v>154000</v>
      </c>
      <c r="L1825" t="s">
        <v>35</v>
      </c>
      <c r="M1825" t="s">
        <v>29</v>
      </c>
      <c r="N1825" t="s">
        <v>30</v>
      </c>
      <c r="O1825">
        <v>37219</v>
      </c>
      <c r="P1825" t="s">
        <v>6745</v>
      </c>
      <c r="Q1825" s="2">
        <v>0.43</v>
      </c>
      <c r="R1825" s="2">
        <v>46</v>
      </c>
      <c r="S1825" s="2">
        <v>235</v>
      </c>
      <c r="T1825" t="s">
        <v>6746</v>
      </c>
      <c r="U1825" s="6">
        <v>24911</v>
      </c>
      <c r="V1825" s="2">
        <v>47037018902</v>
      </c>
      <c r="W1825" s="2" t="s">
        <v>68</v>
      </c>
      <c r="X1825" s="1">
        <v>45658</v>
      </c>
      <c r="Y1825" s="2">
        <v>225000</v>
      </c>
      <c r="Z1825" s="2">
        <v>0</v>
      </c>
      <c r="AA1825" s="2">
        <v>225000</v>
      </c>
    </row>
    <row r="1826" spans="1:27" x14ac:dyDescent="0.3">
      <c r="A1826" s="3">
        <v>26</v>
      </c>
      <c r="B1826" s="2" t="str">
        <f>"14706010800"</f>
        <v>14706010800</v>
      </c>
      <c r="C1826" s="2" t="s">
        <v>6747</v>
      </c>
      <c r="D1826" t="s">
        <v>29</v>
      </c>
      <c r="E1826" s="2" t="s">
        <v>30</v>
      </c>
      <c r="F1826" s="2">
        <v>37211</v>
      </c>
      <c r="G1826" s="2" t="s">
        <v>64</v>
      </c>
      <c r="H1826" t="s">
        <v>280</v>
      </c>
      <c r="I1826" s="6">
        <v>39601</v>
      </c>
      <c r="J1826" s="2" t="s">
        <v>6748</v>
      </c>
      <c r="K1826" s="2">
        <v>0</v>
      </c>
      <c r="L1826" t="s">
        <v>35</v>
      </c>
      <c r="M1826" t="s">
        <v>29</v>
      </c>
      <c r="N1826" t="s">
        <v>30</v>
      </c>
      <c r="O1826">
        <v>37219</v>
      </c>
      <c r="P1826" t="s">
        <v>6749</v>
      </c>
      <c r="Q1826" s="2">
        <v>0.68</v>
      </c>
      <c r="R1826" s="2">
        <v>93</v>
      </c>
      <c r="S1826" s="2">
        <v>274</v>
      </c>
      <c r="T1826" t="s">
        <v>6750</v>
      </c>
      <c r="U1826" s="6">
        <v>22773</v>
      </c>
      <c r="V1826" s="2">
        <v>47037018902</v>
      </c>
      <c r="W1826" s="2" t="s">
        <v>68</v>
      </c>
      <c r="X1826" s="1">
        <v>45658</v>
      </c>
      <c r="Y1826" s="2">
        <v>247500</v>
      </c>
      <c r="Z1826" s="2">
        <v>0</v>
      </c>
      <c r="AA1826" s="2">
        <v>247500</v>
      </c>
    </row>
    <row r="1827" spans="1:27" x14ac:dyDescent="0.3">
      <c r="A1827" s="3">
        <v>26</v>
      </c>
      <c r="B1827" s="2" t="str">
        <f>"14703001100"</f>
        <v>14703001100</v>
      </c>
      <c r="C1827" s="2" t="s">
        <v>6751</v>
      </c>
      <c r="D1827" t="s">
        <v>29</v>
      </c>
      <c r="E1827" s="2" t="s">
        <v>30</v>
      </c>
      <c r="F1827" s="2">
        <v>37211</v>
      </c>
      <c r="G1827" s="2" t="s">
        <v>194</v>
      </c>
      <c r="H1827" t="s">
        <v>280</v>
      </c>
      <c r="I1827" s="6">
        <v>45079</v>
      </c>
      <c r="J1827" s="2" t="s">
        <v>6752</v>
      </c>
      <c r="K1827" s="2" t="s">
        <v>34</v>
      </c>
      <c r="L1827" t="s">
        <v>1104</v>
      </c>
      <c r="M1827" t="s">
        <v>29</v>
      </c>
      <c r="N1827" t="s">
        <v>30</v>
      </c>
      <c r="O1827">
        <v>37208</v>
      </c>
      <c r="P1827" t="s">
        <v>6753</v>
      </c>
      <c r="Q1827" s="2">
        <v>0.3</v>
      </c>
      <c r="R1827" s="2">
        <v>86</v>
      </c>
      <c r="S1827" s="2">
        <v>173</v>
      </c>
      <c r="T1827" t="s">
        <v>6754</v>
      </c>
      <c r="U1827" s="6">
        <v>25647</v>
      </c>
      <c r="V1827" s="2">
        <v>47037018902</v>
      </c>
      <c r="W1827" s="2" t="s">
        <v>68</v>
      </c>
      <c r="X1827" s="1">
        <v>45658</v>
      </c>
      <c r="Y1827" s="2">
        <v>225000</v>
      </c>
      <c r="Z1827" s="2">
        <v>0</v>
      </c>
      <c r="AA1827" s="2">
        <v>225000</v>
      </c>
    </row>
    <row r="1828" spans="1:27" x14ac:dyDescent="0.3">
      <c r="A1828" s="3">
        <v>26</v>
      </c>
      <c r="B1828" s="2" t="str">
        <f>"14706021600"</f>
        <v>14706021600</v>
      </c>
      <c r="C1828" s="2" t="s">
        <v>6755</v>
      </c>
      <c r="D1828" t="s">
        <v>29</v>
      </c>
      <c r="E1828" s="2" t="s">
        <v>30</v>
      </c>
      <c r="F1828" s="2">
        <v>37211</v>
      </c>
      <c r="G1828" s="2" t="s">
        <v>64</v>
      </c>
      <c r="H1828" t="s">
        <v>280</v>
      </c>
      <c r="I1828" s="6">
        <v>38799</v>
      </c>
      <c r="J1828" s="2" t="s">
        <v>6756</v>
      </c>
      <c r="K1828" s="2">
        <v>170000</v>
      </c>
      <c r="L1828" t="s">
        <v>35</v>
      </c>
      <c r="M1828" t="s">
        <v>29</v>
      </c>
      <c r="N1828" t="s">
        <v>30</v>
      </c>
      <c r="O1828">
        <v>37219</v>
      </c>
      <c r="P1828" t="s">
        <v>6757</v>
      </c>
      <c r="Q1828" s="2">
        <v>0.32</v>
      </c>
      <c r="R1828" s="2">
        <v>110</v>
      </c>
      <c r="S1828" s="2">
        <v>166</v>
      </c>
      <c r="T1828" t="s">
        <v>6758</v>
      </c>
      <c r="U1828" s="6">
        <v>26842</v>
      </c>
      <c r="V1828" s="2">
        <v>47037018902</v>
      </c>
      <c r="W1828" s="2" t="s">
        <v>68</v>
      </c>
      <c r="X1828" s="1">
        <v>45658</v>
      </c>
      <c r="Y1828" s="2">
        <v>270000</v>
      </c>
      <c r="Z1828" s="2">
        <v>0</v>
      </c>
      <c r="AA1828" s="2">
        <v>270000</v>
      </c>
    </row>
    <row r="1829" spans="1:27" x14ac:dyDescent="0.3">
      <c r="A1829" s="3">
        <v>26</v>
      </c>
      <c r="B1829" s="2" t="str">
        <f>"14710002600"</f>
        <v>14710002600</v>
      </c>
      <c r="C1829" s="2" t="s">
        <v>6759</v>
      </c>
      <c r="D1829" t="s">
        <v>29</v>
      </c>
      <c r="E1829" s="2" t="s">
        <v>30</v>
      </c>
      <c r="F1829" s="2">
        <v>37211</v>
      </c>
      <c r="G1829" s="2" t="s">
        <v>64</v>
      </c>
      <c r="H1829" t="s">
        <v>280</v>
      </c>
      <c r="I1829" s="6">
        <v>38799</v>
      </c>
      <c r="J1829" s="2" t="s">
        <v>6760</v>
      </c>
      <c r="K1829" s="2">
        <v>148000</v>
      </c>
      <c r="L1829" t="s">
        <v>35</v>
      </c>
      <c r="M1829" t="s">
        <v>29</v>
      </c>
      <c r="N1829" t="s">
        <v>30</v>
      </c>
      <c r="O1829">
        <v>37219</v>
      </c>
      <c r="P1829" t="s">
        <v>6761</v>
      </c>
      <c r="Q1829" s="2">
        <v>0.47</v>
      </c>
      <c r="R1829" s="2">
        <v>52</v>
      </c>
      <c r="S1829" s="2">
        <v>135</v>
      </c>
      <c r="T1829" t="s">
        <v>6762</v>
      </c>
      <c r="U1829" s="6">
        <v>26612</v>
      </c>
      <c r="V1829" s="2">
        <v>47037018902</v>
      </c>
      <c r="W1829" s="2" t="s">
        <v>68</v>
      </c>
      <c r="X1829" s="1">
        <v>45658</v>
      </c>
      <c r="Y1829" s="2">
        <v>270000</v>
      </c>
      <c r="Z1829" s="2">
        <v>0</v>
      </c>
      <c r="AA1829" s="2">
        <v>270000</v>
      </c>
    </row>
    <row r="1830" spans="1:27" x14ac:dyDescent="0.3">
      <c r="A1830" s="3">
        <v>26</v>
      </c>
      <c r="B1830" s="2" t="str">
        <f>"14710006200"</f>
        <v>14710006200</v>
      </c>
      <c r="C1830" s="2" t="s">
        <v>6763</v>
      </c>
      <c r="D1830" t="s">
        <v>29</v>
      </c>
      <c r="E1830" s="2" t="s">
        <v>30</v>
      </c>
      <c r="F1830" s="2">
        <v>37211</v>
      </c>
      <c r="G1830" s="2" t="s">
        <v>64</v>
      </c>
      <c r="H1830" t="s">
        <v>280</v>
      </c>
      <c r="I1830" s="6">
        <v>38898</v>
      </c>
      <c r="J1830" s="2" t="s">
        <v>6764</v>
      </c>
      <c r="K1830" s="2">
        <v>168000</v>
      </c>
      <c r="L1830" t="s">
        <v>35</v>
      </c>
      <c r="M1830" t="s">
        <v>29</v>
      </c>
      <c r="N1830" t="s">
        <v>30</v>
      </c>
      <c r="O1830">
        <v>37219</v>
      </c>
      <c r="P1830" t="s">
        <v>6765</v>
      </c>
      <c r="Q1830" s="2">
        <v>0.32</v>
      </c>
      <c r="R1830" s="2">
        <v>139</v>
      </c>
      <c r="S1830" s="2">
        <v>140</v>
      </c>
      <c r="T1830" t="s">
        <v>6766</v>
      </c>
      <c r="U1830" s="6">
        <v>27232</v>
      </c>
      <c r="V1830" s="2">
        <v>47037018902</v>
      </c>
      <c r="W1830" s="2" t="s">
        <v>68</v>
      </c>
      <c r="X1830" s="1">
        <v>45658</v>
      </c>
      <c r="Y1830" s="2">
        <v>270000</v>
      </c>
      <c r="Z1830" s="2">
        <v>0</v>
      </c>
      <c r="AA1830" s="2">
        <v>270000</v>
      </c>
    </row>
    <row r="1831" spans="1:27" x14ac:dyDescent="0.3">
      <c r="A1831" s="3">
        <v>26</v>
      </c>
      <c r="B1831" s="2" t="str">
        <f>"14710007900"</f>
        <v>14710007900</v>
      </c>
      <c r="C1831" s="2" t="s">
        <v>6767</v>
      </c>
      <c r="D1831" t="s">
        <v>29</v>
      </c>
      <c r="E1831" s="2" t="s">
        <v>30</v>
      </c>
      <c r="F1831" s="2">
        <v>37211</v>
      </c>
      <c r="G1831" s="2" t="s">
        <v>64</v>
      </c>
      <c r="H1831" t="s">
        <v>280</v>
      </c>
      <c r="I1831" s="6">
        <v>38834</v>
      </c>
      <c r="J1831" s="2" t="s">
        <v>6768</v>
      </c>
      <c r="K1831" s="2">
        <v>168000</v>
      </c>
      <c r="L1831" t="s">
        <v>35</v>
      </c>
      <c r="M1831" t="s">
        <v>29</v>
      </c>
      <c r="N1831" t="s">
        <v>30</v>
      </c>
      <c r="O1831">
        <v>37219</v>
      </c>
      <c r="P1831" t="s">
        <v>6769</v>
      </c>
      <c r="Q1831" s="2">
        <v>0.53</v>
      </c>
      <c r="R1831" s="2">
        <v>100</v>
      </c>
      <c r="S1831" s="2">
        <v>302</v>
      </c>
      <c r="T1831" t="s">
        <v>6770</v>
      </c>
      <c r="U1831" s="6">
        <v>26633</v>
      </c>
      <c r="V1831" s="2">
        <v>47037018905</v>
      </c>
      <c r="W1831" s="2" t="s">
        <v>68</v>
      </c>
      <c r="X1831" s="1">
        <v>45658</v>
      </c>
      <c r="Y1831" s="2">
        <v>281300</v>
      </c>
      <c r="Z1831" s="2">
        <v>0</v>
      </c>
      <c r="AA1831" s="2">
        <v>281300</v>
      </c>
    </row>
    <row r="1832" spans="1:27" x14ac:dyDescent="0.3">
      <c r="A1832" s="3">
        <v>26</v>
      </c>
      <c r="B1832" s="2" t="str">
        <f>"11811016201"</f>
        <v>11811016201</v>
      </c>
      <c r="C1832" s="2" t="s">
        <v>4378</v>
      </c>
      <c r="D1832" t="s">
        <v>29</v>
      </c>
      <c r="E1832" s="2" t="s">
        <v>30</v>
      </c>
      <c r="F1832" s="2">
        <v>37204</v>
      </c>
      <c r="G1832" s="2" t="s">
        <v>1485</v>
      </c>
      <c r="H1832" t="s">
        <v>280</v>
      </c>
      <c r="I1832" s="6">
        <v>23545</v>
      </c>
      <c r="J1832" s="2" t="s">
        <v>6771</v>
      </c>
      <c r="K1832" s="2" t="s">
        <v>34</v>
      </c>
      <c r="L1832" t="s">
        <v>35</v>
      </c>
      <c r="M1832" t="s">
        <v>29</v>
      </c>
      <c r="N1832" t="s">
        <v>30</v>
      </c>
      <c r="O1832">
        <v>37219</v>
      </c>
      <c r="P1832" t="s">
        <v>6772</v>
      </c>
      <c r="Q1832" s="2">
        <v>0.36</v>
      </c>
      <c r="R1832" s="2">
        <v>121</v>
      </c>
      <c r="S1832" s="2">
        <v>150</v>
      </c>
      <c r="T1832" t="s">
        <v>6771</v>
      </c>
      <c r="U1832" s="6">
        <v>23545</v>
      </c>
      <c r="V1832" s="2">
        <v>47037017200</v>
      </c>
      <c r="W1832" s="2" t="s">
        <v>68</v>
      </c>
      <c r="X1832" s="1">
        <v>45658</v>
      </c>
      <c r="Y1832" s="2">
        <v>94100</v>
      </c>
      <c r="Z1832" s="2">
        <v>0</v>
      </c>
      <c r="AA1832" s="2">
        <v>94100</v>
      </c>
    </row>
    <row r="1833" spans="1:27" x14ac:dyDescent="0.3">
      <c r="A1833" s="3">
        <v>26</v>
      </c>
      <c r="B1833" s="2" t="str">
        <f>"14706012800"</f>
        <v>14706012800</v>
      </c>
      <c r="C1833" s="2" t="s">
        <v>6773</v>
      </c>
      <c r="D1833" t="s">
        <v>29</v>
      </c>
      <c r="E1833" s="2" t="s">
        <v>30</v>
      </c>
      <c r="F1833" s="2">
        <v>37211</v>
      </c>
      <c r="G1833" s="2" t="s">
        <v>194</v>
      </c>
      <c r="H1833" t="s">
        <v>1084</v>
      </c>
      <c r="I1833" s="6">
        <v>45420</v>
      </c>
      <c r="J1833" s="2" t="s">
        <v>6774</v>
      </c>
      <c r="K1833" s="2">
        <v>0</v>
      </c>
      <c r="L1833" t="s">
        <v>85</v>
      </c>
      <c r="M1833" t="s">
        <v>29</v>
      </c>
      <c r="N1833" t="s">
        <v>30</v>
      </c>
      <c r="O1833">
        <v>37219</v>
      </c>
      <c r="P1833" t="s">
        <v>6775</v>
      </c>
      <c r="Q1833" s="2">
        <v>0.43</v>
      </c>
      <c r="R1833" s="2">
        <v>42</v>
      </c>
      <c r="S1833" s="2">
        <v>214</v>
      </c>
      <c r="T1833" t="s">
        <v>6776</v>
      </c>
      <c r="U1833" s="6">
        <v>26859</v>
      </c>
      <c r="V1833" s="2">
        <v>47037018902</v>
      </c>
      <c r="W1833" s="2" t="s">
        <v>68</v>
      </c>
      <c r="X1833" s="1">
        <v>45658</v>
      </c>
      <c r="Y1833" s="2">
        <v>213800</v>
      </c>
      <c r="Z1833" s="2">
        <v>0</v>
      </c>
      <c r="AA1833" s="2">
        <v>213800</v>
      </c>
    </row>
    <row r="1834" spans="1:27" x14ac:dyDescent="0.3">
      <c r="A1834" s="3">
        <v>26</v>
      </c>
      <c r="B1834" s="2" t="str">
        <f>"14710005100"</f>
        <v>14710005100</v>
      </c>
      <c r="C1834" s="2" t="s">
        <v>6777</v>
      </c>
      <c r="D1834" t="s">
        <v>29</v>
      </c>
      <c r="E1834" s="2" t="s">
        <v>30</v>
      </c>
      <c r="F1834" s="2">
        <v>37211</v>
      </c>
      <c r="G1834" s="2" t="s">
        <v>64</v>
      </c>
      <c r="H1834" t="s">
        <v>1084</v>
      </c>
      <c r="I1834" s="6">
        <v>44447</v>
      </c>
      <c r="J1834" s="2" t="s">
        <v>6778</v>
      </c>
      <c r="K1834" s="2">
        <v>0</v>
      </c>
      <c r="L1834" t="s">
        <v>315</v>
      </c>
      <c r="M1834" t="s">
        <v>29</v>
      </c>
      <c r="N1834" t="s">
        <v>30</v>
      </c>
      <c r="O1834">
        <v>37208</v>
      </c>
      <c r="P1834" t="s">
        <v>6779</v>
      </c>
      <c r="Q1834" s="2">
        <v>0.34</v>
      </c>
      <c r="R1834" s="2">
        <v>81</v>
      </c>
      <c r="S1834" s="2">
        <v>151</v>
      </c>
      <c r="T1834" t="s">
        <v>6780</v>
      </c>
      <c r="U1834" s="6">
        <v>26806</v>
      </c>
      <c r="V1834" s="2">
        <v>47037018902</v>
      </c>
      <c r="W1834" s="2" t="s">
        <v>68</v>
      </c>
      <c r="X1834" s="1">
        <v>45658</v>
      </c>
      <c r="Y1834" s="2">
        <v>225000</v>
      </c>
      <c r="Z1834" s="2">
        <v>0</v>
      </c>
      <c r="AA1834" s="2">
        <v>225000</v>
      </c>
    </row>
    <row r="1835" spans="1:27" x14ac:dyDescent="0.3">
      <c r="A1835" s="3">
        <v>26</v>
      </c>
      <c r="B1835" s="2" t="str">
        <f>"14707000600"</f>
        <v>14707000600</v>
      </c>
      <c r="C1835" s="2" t="s">
        <v>6781</v>
      </c>
      <c r="D1835" t="s">
        <v>29</v>
      </c>
      <c r="E1835" s="2" t="s">
        <v>30</v>
      </c>
      <c r="F1835" s="2">
        <v>37211</v>
      </c>
      <c r="G1835" s="2" t="s">
        <v>64</v>
      </c>
      <c r="H1835" t="s">
        <v>379</v>
      </c>
      <c r="I1835" s="6">
        <v>44076</v>
      </c>
      <c r="J1835" s="2" t="s">
        <v>6782</v>
      </c>
      <c r="K1835" s="2" t="s">
        <v>34</v>
      </c>
      <c r="L1835" t="s">
        <v>315</v>
      </c>
      <c r="M1835" t="s">
        <v>29</v>
      </c>
      <c r="N1835" t="s">
        <v>30</v>
      </c>
      <c r="O1835">
        <v>37208</v>
      </c>
      <c r="P1835" t="s">
        <v>6783</v>
      </c>
      <c r="Q1835" s="2">
        <v>0.65</v>
      </c>
      <c r="R1835" s="2">
        <v>85</v>
      </c>
      <c r="S1835" s="2">
        <v>311</v>
      </c>
      <c r="T1835" t="s">
        <v>6784</v>
      </c>
      <c r="U1835" s="6">
        <v>33036</v>
      </c>
      <c r="V1835" s="2">
        <v>47037018902</v>
      </c>
      <c r="W1835" s="2" t="s">
        <v>68</v>
      </c>
      <c r="X1835" s="1">
        <v>45658</v>
      </c>
      <c r="Y1835" s="2">
        <v>225000</v>
      </c>
      <c r="Z1835" s="2">
        <v>0</v>
      </c>
      <c r="AA1835" s="2">
        <v>225000</v>
      </c>
    </row>
    <row r="1836" spans="1:27" x14ac:dyDescent="0.3">
      <c r="A1836" s="3">
        <v>26</v>
      </c>
      <c r="B1836" s="2" t="str">
        <f>"14707000700"</f>
        <v>14707000700</v>
      </c>
      <c r="C1836" s="2" t="s">
        <v>6785</v>
      </c>
      <c r="D1836" t="s">
        <v>29</v>
      </c>
      <c r="E1836" s="2" t="s">
        <v>30</v>
      </c>
      <c r="F1836" s="2">
        <v>37211</v>
      </c>
      <c r="G1836" s="2" t="s">
        <v>64</v>
      </c>
      <c r="H1836" t="s">
        <v>379</v>
      </c>
      <c r="I1836" s="6">
        <v>44077</v>
      </c>
      <c r="J1836" s="2" t="s">
        <v>6786</v>
      </c>
      <c r="K1836" s="2" t="s">
        <v>34</v>
      </c>
      <c r="L1836" t="s">
        <v>315</v>
      </c>
      <c r="M1836" t="s">
        <v>29</v>
      </c>
      <c r="N1836" t="s">
        <v>30</v>
      </c>
      <c r="O1836">
        <v>37208</v>
      </c>
      <c r="P1836" t="s">
        <v>6787</v>
      </c>
      <c r="Q1836" s="2">
        <v>0.67</v>
      </c>
      <c r="R1836" s="2">
        <v>85</v>
      </c>
      <c r="S1836" s="2">
        <v>332</v>
      </c>
      <c r="T1836" t="s">
        <v>6788</v>
      </c>
      <c r="U1836" s="6">
        <v>33267</v>
      </c>
      <c r="V1836" s="2">
        <v>47037018902</v>
      </c>
      <c r="W1836" s="2" t="s">
        <v>68</v>
      </c>
      <c r="X1836" s="1">
        <v>45658</v>
      </c>
      <c r="Y1836" s="2">
        <v>225000</v>
      </c>
      <c r="Z1836" s="2">
        <v>0</v>
      </c>
      <c r="AA1836" s="2">
        <v>225000</v>
      </c>
    </row>
    <row r="1837" spans="1:27" x14ac:dyDescent="0.3">
      <c r="A1837" s="3">
        <v>26</v>
      </c>
      <c r="B1837" s="2" t="str">
        <f>"14707000900"</f>
        <v>14707000900</v>
      </c>
      <c r="C1837" s="2" t="s">
        <v>6789</v>
      </c>
      <c r="D1837" t="s">
        <v>29</v>
      </c>
      <c r="E1837" s="2" t="s">
        <v>30</v>
      </c>
      <c r="F1837" s="2">
        <v>37211</v>
      </c>
      <c r="G1837" s="2" t="s">
        <v>64</v>
      </c>
      <c r="H1837" t="s">
        <v>379</v>
      </c>
      <c r="I1837" s="6">
        <v>44118</v>
      </c>
      <c r="J1837" s="2" t="s">
        <v>6790</v>
      </c>
      <c r="K1837" s="2" t="s">
        <v>34</v>
      </c>
      <c r="L1837" t="s">
        <v>1104</v>
      </c>
      <c r="M1837" t="s">
        <v>29</v>
      </c>
      <c r="N1837" t="s">
        <v>30</v>
      </c>
      <c r="O1837">
        <v>37208</v>
      </c>
      <c r="P1837" t="s">
        <v>6791</v>
      </c>
      <c r="Q1837" s="2">
        <v>0.65</v>
      </c>
      <c r="R1837" s="2">
        <v>85</v>
      </c>
      <c r="S1837" s="2">
        <v>313</v>
      </c>
      <c r="T1837" t="s">
        <v>6792</v>
      </c>
      <c r="U1837" s="6">
        <v>33025</v>
      </c>
      <c r="V1837" s="2">
        <v>47037018902</v>
      </c>
      <c r="W1837" s="2" t="s">
        <v>68</v>
      </c>
      <c r="X1837" s="1">
        <v>45658</v>
      </c>
      <c r="Y1837" s="2">
        <v>225000</v>
      </c>
      <c r="Z1837" s="2">
        <v>0</v>
      </c>
      <c r="AA1837" s="2">
        <v>225000</v>
      </c>
    </row>
    <row r="1838" spans="1:27" x14ac:dyDescent="0.3">
      <c r="A1838" s="3">
        <v>26</v>
      </c>
      <c r="B1838" s="2" t="str">
        <f>"14707001100"</f>
        <v>14707001100</v>
      </c>
      <c r="C1838" s="2" t="s">
        <v>6793</v>
      </c>
      <c r="D1838" t="s">
        <v>29</v>
      </c>
      <c r="E1838" s="2" t="s">
        <v>30</v>
      </c>
      <c r="F1838" s="2">
        <v>37211</v>
      </c>
      <c r="G1838" s="2" t="s">
        <v>194</v>
      </c>
      <c r="H1838" t="s">
        <v>379</v>
      </c>
      <c r="I1838" s="6">
        <v>44797</v>
      </c>
      <c r="J1838" s="2" t="s">
        <v>6794</v>
      </c>
      <c r="K1838" s="2" t="s">
        <v>34</v>
      </c>
      <c r="L1838" t="s">
        <v>1104</v>
      </c>
      <c r="M1838" t="s">
        <v>29</v>
      </c>
      <c r="N1838" t="s">
        <v>30</v>
      </c>
      <c r="O1838">
        <v>37208</v>
      </c>
      <c r="P1838" t="s">
        <v>6795</v>
      </c>
      <c r="Q1838" s="2">
        <v>0.63</v>
      </c>
      <c r="R1838" s="2">
        <v>85</v>
      </c>
      <c r="S1838" s="2">
        <v>347</v>
      </c>
      <c r="T1838" t="s">
        <v>6796</v>
      </c>
      <c r="U1838" s="6">
        <v>33156</v>
      </c>
      <c r="V1838" s="2">
        <v>47037018902</v>
      </c>
      <c r="W1838" s="2" t="s">
        <v>68</v>
      </c>
      <c r="X1838" s="1">
        <v>45658</v>
      </c>
      <c r="Y1838" s="2">
        <v>225000</v>
      </c>
      <c r="Z1838" s="2">
        <v>0</v>
      </c>
      <c r="AA1838" s="2">
        <v>225000</v>
      </c>
    </row>
    <row r="1839" spans="1:27" x14ac:dyDescent="0.3">
      <c r="A1839" s="3">
        <v>26</v>
      </c>
      <c r="B1839" s="2" t="str">
        <f>"14710004900"</f>
        <v>14710004900</v>
      </c>
      <c r="C1839" s="2" t="s">
        <v>6797</v>
      </c>
      <c r="D1839" t="s">
        <v>29</v>
      </c>
      <c r="E1839" s="2" t="s">
        <v>30</v>
      </c>
      <c r="F1839" s="2">
        <v>37211</v>
      </c>
      <c r="G1839" s="2" t="s">
        <v>64</v>
      </c>
      <c r="H1839" t="s">
        <v>379</v>
      </c>
      <c r="I1839" s="6">
        <v>44396</v>
      </c>
      <c r="J1839" s="2" t="s">
        <v>6798</v>
      </c>
      <c r="K1839" s="2" t="s">
        <v>34</v>
      </c>
      <c r="L1839" t="s">
        <v>315</v>
      </c>
      <c r="M1839" t="s">
        <v>29</v>
      </c>
      <c r="N1839" t="s">
        <v>30</v>
      </c>
      <c r="O1839">
        <v>37208</v>
      </c>
      <c r="P1839" t="s">
        <v>6799</v>
      </c>
      <c r="Q1839" s="2">
        <v>0.27</v>
      </c>
      <c r="R1839" s="2">
        <v>90</v>
      </c>
      <c r="S1839" s="2">
        <v>139</v>
      </c>
      <c r="T1839" t="s">
        <v>6800</v>
      </c>
      <c r="U1839" s="6">
        <v>23617</v>
      </c>
      <c r="V1839" s="2">
        <v>47037018902</v>
      </c>
      <c r="W1839" s="2" t="s">
        <v>68</v>
      </c>
      <c r="X1839" s="1">
        <v>45658</v>
      </c>
      <c r="Y1839" s="2">
        <v>225000</v>
      </c>
      <c r="Z1839" s="2">
        <v>0</v>
      </c>
      <c r="AA1839" s="2">
        <v>225000</v>
      </c>
    </row>
    <row r="1840" spans="1:27" x14ac:dyDescent="0.3">
      <c r="A1840" s="3">
        <v>26</v>
      </c>
      <c r="B1840" s="2" t="str">
        <f>"14710004800"</f>
        <v>14710004800</v>
      </c>
      <c r="C1840" s="2" t="s">
        <v>6801</v>
      </c>
      <c r="D1840" t="s">
        <v>29</v>
      </c>
      <c r="E1840" s="2" t="s">
        <v>30</v>
      </c>
      <c r="F1840" s="2">
        <v>37211</v>
      </c>
      <c r="G1840" s="2" t="s">
        <v>64</v>
      </c>
      <c r="H1840" t="s">
        <v>379</v>
      </c>
      <c r="I1840" s="6">
        <v>44515</v>
      </c>
      <c r="J1840" s="2" t="s">
        <v>6802</v>
      </c>
      <c r="K1840" s="2" t="s">
        <v>34</v>
      </c>
      <c r="L1840" t="s">
        <v>315</v>
      </c>
      <c r="M1840" t="s">
        <v>29</v>
      </c>
      <c r="N1840" t="s">
        <v>30</v>
      </c>
      <c r="O1840">
        <v>37208</v>
      </c>
      <c r="P1840" t="s">
        <v>6803</v>
      </c>
      <c r="Q1840" s="2">
        <v>0.28999999999999998</v>
      </c>
      <c r="R1840" s="2">
        <v>89</v>
      </c>
      <c r="S1840" s="2">
        <v>139</v>
      </c>
      <c r="T1840" t="s">
        <v>6804</v>
      </c>
      <c r="U1840" s="6">
        <v>25008</v>
      </c>
      <c r="V1840" s="2">
        <v>47037018902</v>
      </c>
      <c r="W1840" s="2" t="s">
        <v>68</v>
      </c>
      <c r="X1840" s="1">
        <v>45658</v>
      </c>
      <c r="Y1840" s="2">
        <v>225000</v>
      </c>
      <c r="Z1840" s="2">
        <v>0</v>
      </c>
      <c r="AA1840" s="2">
        <v>225000</v>
      </c>
    </row>
    <row r="1841" spans="1:27" x14ac:dyDescent="0.3">
      <c r="A1841" s="3">
        <v>26</v>
      </c>
      <c r="B1841" s="2" t="str">
        <f>"14710007500"</f>
        <v>14710007500</v>
      </c>
      <c r="C1841" s="2" t="s">
        <v>6805</v>
      </c>
      <c r="D1841" t="s">
        <v>29</v>
      </c>
      <c r="E1841" s="2" t="s">
        <v>30</v>
      </c>
      <c r="F1841" s="2">
        <v>37211</v>
      </c>
      <c r="G1841" s="2" t="s">
        <v>194</v>
      </c>
      <c r="H1841" t="s">
        <v>379</v>
      </c>
      <c r="I1841" s="6">
        <v>45412</v>
      </c>
      <c r="J1841" s="2" t="s">
        <v>6806</v>
      </c>
      <c r="K1841" s="2" t="s">
        <v>34</v>
      </c>
      <c r="L1841" t="s">
        <v>315</v>
      </c>
      <c r="M1841" t="s">
        <v>29</v>
      </c>
      <c r="N1841" t="s">
        <v>30</v>
      </c>
      <c r="O1841">
        <v>37208</v>
      </c>
      <c r="P1841" t="s">
        <v>6807</v>
      </c>
      <c r="Q1841" s="2">
        <v>0.32</v>
      </c>
      <c r="R1841" s="2">
        <v>105</v>
      </c>
      <c r="S1841" s="2">
        <v>133</v>
      </c>
      <c r="T1841" t="s">
        <v>6808</v>
      </c>
      <c r="U1841" s="6">
        <v>31785</v>
      </c>
      <c r="V1841" s="2">
        <v>47037018902</v>
      </c>
      <c r="W1841" s="2" t="s">
        <v>68</v>
      </c>
      <c r="X1841" s="1">
        <v>45658</v>
      </c>
      <c r="Y1841" s="2">
        <v>270000</v>
      </c>
      <c r="Z1841" s="2">
        <v>0</v>
      </c>
      <c r="AA1841" s="2">
        <v>270000</v>
      </c>
    </row>
    <row r="1842" spans="1:27" x14ac:dyDescent="0.3">
      <c r="A1842" s="3">
        <v>26</v>
      </c>
      <c r="B1842" s="2" t="str">
        <f>"14706012500"</f>
        <v>14706012500</v>
      </c>
      <c r="C1842" s="2" t="s">
        <v>6809</v>
      </c>
      <c r="D1842" t="s">
        <v>29</v>
      </c>
      <c r="E1842" s="2" t="s">
        <v>30</v>
      </c>
      <c r="F1842" s="2">
        <v>37211</v>
      </c>
      <c r="G1842" s="2" t="s">
        <v>194</v>
      </c>
      <c r="H1842" t="s">
        <v>379</v>
      </c>
      <c r="I1842" s="6">
        <v>45555</v>
      </c>
      <c r="J1842" s="2" t="s">
        <v>6810</v>
      </c>
      <c r="K1842" s="2" t="s">
        <v>34</v>
      </c>
      <c r="L1842" t="s">
        <v>315</v>
      </c>
      <c r="M1842" t="s">
        <v>29</v>
      </c>
      <c r="N1842" t="s">
        <v>30</v>
      </c>
      <c r="O1842">
        <v>37208</v>
      </c>
      <c r="P1842" t="s">
        <v>6811</v>
      </c>
      <c r="Q1842" s="2">
        <v>0.3</v>
      </c>
      <c r="R1842" s="2">
        <v>54</v>
      </c>
      <c r="S1842" s="2">
        <v>130</v>
      </c>
      <c r="T1842" t="s">
        <v>6812</v>
      </c>
      <c r="U1842" s="6">
        <v>26800</v>
      </c>
      <c r="V1842" s="2">
        <v>47037018902</v>
      </c>
      <c r="W1842" s="2" t="s">
        <v>68</v>
      </c>
      <c r="X1842" s="1">
        <v>45658</v>
      </c>
      <c r="Y1842" s="2">
        <v>571400</v>
      </c>
      <c r="Z1842" s="2">
        <v>357600</v>
      </c>
      <c r="AA1842" s="2">
        <v>213800</v>
      </c>
    </row>
    <row r="1843" spans="1:27" x14ac:dyDescent="0.3">
      <c r="A1843" s="3">
        <v>26</v>
      </c>
      <c r="B1843" s="2" t="str">
        <f>"14706012600"</f>
        <v>14706012600</v>
      </c>
      <c r="C1843" s="2" t="s">
        <v>6813</v>
      </c>
      <c r="D1843" t="s">
        <v>29</v>
      </c>
      <c r="E1843" s="2" t="s">
        <v>30</v>
      </c>
      <c r="F1843" s="2">
        <v>37211</v>
      </c>
      <c r="G1843" s="2" t="s">
        <v>194</v>
      </c>
      <c r="H1843" t="s">
        <v>379</v>
      </c>
      <c r="I1843" s="6">
        <v>45345</v>
      </c>
      <c r="J1843" s="2" t="s">
        <v>6814</v>
      </c>
      <c r="K1843" s="2">
        <v>0</v>
      </c>
      <c r="L1843" t="s">
        <v>1104</v>
      </c>
      <c r="M1843" t="s">
        <v>29</v>
      </c>
      <c r="N1843" t="s">
        <v>30</v>
      </c>
      <c r="O1843">
        <v>37208</v>
      </c>
      <c r="P1843" t="s">
        <v>6815</v>
      </c>
      <c r="Q1843" s="2">
        <v>0.3</v>
      </c>
      <c r="R1843" s="2">
        <v>44</v>
      </c>
      <c r="S1843" s="2">
        <v>158</v>
      </c>
      <c r="T1843" t="s">
        <v>6816</v>
      </c>
      <c r="U1843" s="6">
        <v>27239</v>
      </c>
      <c r="V1843" s="2">
        <v>47037018902</v>
      </c>
      <c r="W1843" s="2" t="s">
        <v>68</v>
      </c>
      <c r="X1843" s="1">
        <v>45658</v>
      </c>
      <c r="Y1843" s="2">
        <v>139000</v>
      </c>
      <c r="Z1843" s="2">
        <v>0</v>
      </c>
      <c r="AA1843" s="2">
        <v>139000</v>
      </c>
    </row>
    <row r="1844" spans="1:27" x14ac:dyDescent="0.3">
      <c r="A1844" s="3">
        <v>26</v>
      </c>
      <c r="B1844" s="2" t="str">
        <f>"14710005000"</f>
        <v>14710005000</v>
      </c>
      <c r="C1844" s="2" t="s">
        <v>6817</v>
      </c>
      <c r="D1844" t="s">
        <v>29</v>
      </c>
      <c r="E1844" s="2" t="s">
        <v>30</v>
      </c>
      <c r="F1844" s="2">
        <v>37211</v>
      </c>
      <c r="G1844" s="2" t="s">
        <v>64</v>
      </c>
      <c r="H1844" t="s">
        <v>379</v>
      </c>
      <c r="I1844" s="6">
        <v>44463</v>
      </c>
      <c r="J1844" s="2" t="s">
        <v>6818</v>
      </c>
      <c r="K1844" s="2" t="s">
        <v>34</v>
      </c>
      <c r="L1844" t="s">
        <v>315</v>
      </c>
      <c r="M1844" t="s">
        <v>29</v>
      </c>
      <c r="N1844" t="s">
        <v>30</v>
      </c>
      <c r="O1844">
        <v>37208</v>
      </c>
      <c r="P1844" t="s">
        <v>6819</v>
      </c>
      <c r="Q1844" s="2">
        <v>0.28999999999999998</v>
      </c>
      <c r="R1844" s="2">
        <v>90</v>
      </c>
      <c r="S1844" s="2">
        <v>137</v>
      </c>
      <c r="T1844" t="s">
        <v>6820</v>
      </c>
      <c r="U1844" s="6">
        <v>24684</v>
      </c>
      <c r="V1844" s="2">
        <v>47037018902</v>
      </c>
      <c r="W1844" s="2" t="s">
        <v>68</v>
      </c>
      <c r="X1844" s="1">
        <v>45658</v>
      </c>
      <c r="Y1844" s="2">
        <v>225000</v>
      </c>
      <c r="Z1844" s="2">
        <v>0</v>
      </c>
      <c r="AA1844" s="2">
        <v>225000</v>
      </c>
    </row>
    <row r="1845" spans="1:27" x14ac:dyDescent="0.3">
      <c r="A1845" s="3">
        <v>27</v>
      </c>
      <c r="B1845" s="2" t="str">
        <f>"14714019300"</f>
        <v>14714019300</v>
      </c>
      <c r="C1845" s="2" t="s">
        <v>6821</v>
      </c>
      <c r="D1845" t="s">
        <v>29</v>
      </c>
      <c r="E1845" s="2" t="s">
        <v>30</v>
      </c>
      <c r="F1845" s="2">
        <v>37211</v>
      </c>
      <c r="G1845" s="2" t="s">
        <v>64</v>
      </c>
      <c r="H1845" t="s">
        <v>99</v>
      </c>
      <c r="I1845" s="6">
        <v>29300</v>
      </c>
      <c r="J1845" s="2" t="s">
        <v>6822</v>
      </c>
      <c r="K1845" s="2" t="s">
        <v>34</v>
      </c>
      <c r="L1845" t="s">
        <v>35</v>
      </c>
      <c r="M1845" t="s">
        <v>29</v>
      </c>
      <c r="N1845" t="s">
        <v>30</v>
      </c>
      <c r="O1845">
        <v>37219</v>
      </c>
      <c r="P1845" t="s">
        <v>6823</v>
      </c>
      <c r="Q1845" s="2">
        <v>0.02</v>
      </c>
      <c r="R1845" s="2">
        <v>60</v>
      </c>
      <c r="S1845" s="2">
        <v>50</v>
      </c>
      <c r="T1845" t="s">
        <v>6824</v>
      </c>
      <c r="U1845" s="6">
        <v>26367</v>
      </c>
      <c r="V1845" s="2">
        <v>47037018905</v>
      </c>
      <c r="W1845" s="2" t="s">
        <v>68</v>
      </c>
      <c r="X1845" s="1">
        <v>45658</v>
      </c>
      <c r="Y1845" s="2">
        <v>500</v>
      </c>
      <c r="Z1845" s="2">
        <v>0</v>
      </c>
      <c r="AA1845" s="2">
        <v>500</v>
      </c>
    </row>
    <row r="1846" spans="1:27" x14ac:dyDescent="0.3">
      <c r="A1846" s="3">
        <v>27</v>
      </c>
      <c r="B1846" s="2" t="str">
        <f>"16102010000"</f>
        <v>16102010000</v>
      </c>
      <c r="C1846" s="2" t="s">
        <v>6821</v>
      </c>
      <c r="D1846" t="s">
        <v>29</v>
      </c>
      <c r="E1846" s="2" t="s">
        <v>30</v>
      </c>
      <c r="F1846" s="2">
        <v>37211</v>
      </c>
      <c r="G1846" s="2" t="s">
        <v>64</v>
      </c>
      <c r="H1846" t="s">
        <v>99</v>
      </c>
      <c r="I1846" s="6">
        <v>29300</v>
      </c>
      <c r="J1846" s="2" t="s">
        <v>6825</v>
      </c>
      <c r="K1846" s="2" t="s">
        <v>34</v>
      </c>
      <c r="L1846" t="s">
        <v>35</v>
      </c>
      <c r="M1846" t="s">
        <v>29</v>
      </c>
      <c r="N1846" t="s">
        <v>30</v>
      </c>
      <c r="O1846">
        <v>37219</v>
      </c>
      <c r="P1846" t="s">
        <v>6826</v>
      </c>
      <c r="Q1846" s="2">
        <v>0.05</v>
      </c>
      <c r="R1846" s="2">
        <v>60</v>
      </c>
      <c r="S1846" s="2">
        <v>50</v>
      </c>
      <c r="T1846" t="s">
        <v>6827</v>
      </c>
      <c r="U1846" s="6">
        <v>25847</v>
      </c>
      <c r="V1846" s="2">
        <v>47037018905</v>
      </c>
      <c r="W1846" s="2" t="s">
        <v>68</v>
      </c>
      <c r="X1846" s="1">
        <v>45658</v>
      </c>
      <c r="Y1846" s="2">
        <v>500</v>
      </c>
      <c r="Z1846" s="2">
        <v>0</v>
      </c>
      <c r="AA1846" s="2">
        <v>500</v>
      </c>
    </row>
    <row r="1847" spans="1:27" x14ac:dyDescent="0.3">
      <c r="A1847" s="3">
        <v>27</v>
      </c>
      <c r="B1847" s="2" t="str">
        <f>"16205028400"</f>
        <v>16205028400</v>
      </c>
      <c r="C1847" s="2" t="s">
        <v>6828</v>
      </c>
      <c r="D1847" t="s">
        <v>1945</v>
      </c>
      <c r="E1847" s="2" t="s">
        <v>30</v>
      </c>
      <c r="F1847" s="2">
        <v>37013</v>
      </c>
      <c r="G1847" s="2" t="s">
        <v>64</v>
      </c>
      <c r="H1847" t="s">
        <v>99</v>
      </c>
      <c r="I1847" s="6">
        <v>41198</v>
      </c>
      <c r="J1847" s="2" t="s">
        <v>6829</v>
      </c>
      <c r="K1847" s="2">
        <v>701</v>
      </c>
      <c r="L1847" t="s">
        <v>35</v>
      </c>
      <c r="M1847" t="s">
        <v>29</v>
      </c>
      <c r="N1847" t="s">
        <v>30</v>
      </c>
      <c r="O1847">
        <v>37219</v>
      </c>
      <c r="P1847" t="s">
        <v>6830</v>
      </c>
      <c r="Q1847" s="2">
        <v>0.02</v>
      </c>
      <c r="R1847" s="2">
        <v>53</v>
      </c>
      <c r="S1847" s="2">
        <v>185</v>
      </c>
      <c r="T1847" t="s">
        <v>6831</v>
      </c>
      <c r="U1847" s="6">
        <v>26831</v>
      </c>
      <c r="V1847" s="2">
        <v>47037019110</v>
      </c>
      <c r="W1847" s="2" t="s">
        <v>68</v>
      </c>
      <c r="X1847" s="1">
        <v>45658</v>
      </c>
      <c r="Y1847" s="2">
        <v>500</v>
      </c>
      <c r="Z1847" s="2">
        <v>0</v>
      </c>
      <c r="AA1847" s="2">
        <v>500</v>
      </c>
    </row>
    <row r="1848" spans="1:27" x14ac:dyDescent="0.3">
      <c r="A1848" s="3">
        <v>27</v>
      </c>
      <c r="B1848" s="2" t="str">
        <f>"14809013200"</f>
        <v>14809013200</v>
      </c>
      <c r="C1848" s="2" t="s">
        <v>6832</v>
      </c>
      <c r="D1848" t="s">
        <v>29</v>
      </c>
      <c r="E1848" s="2" t="s">
        <v>30</v>
      </c>
      <c r="F1848" s="2">
        <v>37211</v>
      </c>
      <c r="G1848" s="2" t="s">
        <v>64</v>
      </c>
      <c r="H1848" t="s">
        <v>99</v>
      </c>
      <c r="I1848" s="6">
        <v>40863</v>
      </c>
      <c r="J1848" s="2" t="s">
        <v>6833</v>
      </c>
      <c r="K1848" s="2">
        <v>2412</v>
      </c>
      <c r="L1848" t="s">
        <v>35</v>
      </c>
      <c r="M1848" t="s">
        <v>29</v>
      </c>
      <c r="N1848" t="s">
        <v>30</v>
      </c>
      <c r="O1848">
        <v>37219</v>
      </c>
      <c r="P1848" t="s">
        <v>6834</v>
      </c>
      <c r="Q1848" s="2">
        <v>0.21</v>
      </c>
      <c r="R1848" s="2">
        <v>191</v>
      </c>
      <c r="S1848" s="2">
        <v>119</v>
      </c>
      <c r="T1848" t="s">
        <v>6835</v>
      </c>
      <c r="U1848" s="6">
        <v>16009</v>
      </c>
      <c r="V1848" s="2">
        <v>47037019004</v>
      </c>
      <c r="W1848" s="2" t="s">
        <v>68</v>
      </c>
      <c r="X1848" s="1">
        <v>45658</v>
      </c>
      <c r="Y1848" s="2">
        <v>900</v>
      </c>
      <c r="Z1848" s="2">
        <v>0</v>
      </c>
      <c r="AA1848" s="2">
        <v>900</v>
      </c>
    </row>
    <row r="1849" spans="1:27" x14ac:dyDescent="0.3">
      <c r="A1849" s="3">
        <v>27</v>
      </c>
      <c r="B1849" s="2" t="str">
        <f>"14708017400"</f>
        <v>14708017400</v>
      </c>
      <c r="C1849" s="2" t="s">
        <v>6836</v>
      </c>
      <c r="D1849" t="s">
        <v>29</v>
      </c>
      <c r="E1849" s="2" t="s">
        <v>30</v>
      </c>
      <c r="F1849" s="2">
        <v>37211</v>
      </c>
      <c r="G1849" s="2" t="s">
        <v>64</v>
      </c>
      <c r="H1849" t="s">
        <v>99</v>
      </c>
      <c r="I1849" s="6">
        <v>41444</v>
      </c>
      <c r="J1849" s="2" t="s">
        <v>6837</v>
      </c>
      <c r="K1849" s="2">
        <v>0</v>
      </c>
      <c r="L1849" t="s">
        <v>35</v>
      </c>
      <c r="M1849" t="s">
        <v>29</v>
      </c>
      <c r="N1849" t="s">
        <v>30</v>
      </c>
      <c r="O1849">
        <v>37219</v>
      </c>
      <c r="P1849" t="s">
        <v>6838</v>
      </c>
      <c r="Q1849" s="2">
        <v>0.13</v>
      </c>
      <c r="R1849" s="2">
        <v>0</v>
      </c>
      <c r="S1849" s="2">
        <v>145</v>
      </c>
      <c r="T1849" t="s">
        <v>6839</v>
      </c>
      <c r="U1849" s="6">
        <v>29308</v>
      </c>
      <c r="V1849" s="2">
        <v>47037019004</v>
      </c>
      <c r="W1849" s="2" t="s">
        <v>68</v>
      </c>
      <c r="X1849" s="1">
        <v>45658</v>
      </c>
      <c r="Y1849" s="2">
        <v>45000</v>
      </c>
      <c r="Z1849" s="2">
        <v>0</v>
      </c>
      <c r="AA1849" s="2">
        <v>45000</v>
      </c>
    </row>
    <row r="1850" spans="1:27" x14ac:dyDescent="0.3">
      <c r="A1850" s="3">
        <v>27</v>
      </c>
      <c r="B1850" s="2" t="str">
        <f>"14712006600"</f>
        <v>14712006600</v>
      </c>
      <c r="C1850" s="2" t="s">
        <v>6840</v>
      </c>
      <c r="D1850" t="s">
        <v>29</v>
      </c>
      <c r="E1850" s="2" t="s">
        <v>30</v>
      </c>
      <c r="F1850" s="2">
        <v>37211</v>
      </c>
      <c r="G1850" s="2" t="s">
        <v>147</v>
      </c>
      <c r="H1850" t="s">
        <v>6841</v>
      </c>
      <c r="I1850" s="6">
        <v>24022</v>
      </c>
      <c r="J1850" s="2" t="s">
        <v>6842</v>
      </c>
      <c r="K1850" s="2" t="s">
        <v>34</v>
      </c>
      <c r="L1850" t="s">
        <v>35</v>
      </c>
      <c r="M1850" t="s">
        <v>29</v>
      </c>
      <c r="N1850" t="s">
        <v>30</v>
      </c>
      <c r="O1850">
        <v>37219</v>
      </c>
      <c r="P1850" t="s">
        <v>6843</v>
      </c>
      <c r="Q1850" s="2">
        <v>1.03</v>
      </c>
      <c r="R1850" s="2">
        <v>0</v>
      </c>
      <c r="S1850" s="2">
        <v>0</v>
      </c>
      <c r="T1850" t="s">
        <v>6842</v>
      </c>
      <c r="U1850" s="6">
        <v>24022</v>
      </c>
      <c r="V1850" s="2">
        <v>47037019004</v>
      </c>
      <c r="W1850" s="2" t="s">
        <v>68</v>
      </c>
      <c r="X1850" s="1">
        <v>45658</v>
      </c>
      <c r="Y1850" s="2">
        <v>628100</v>
      </c>
      <c r="Z1850" s="2">
        <v>0</v>
      </c>
      <c r="AA1850" s="2">
        <v>628100</v>
      </c>
    </row>
    <row r="1851" spans="1:27" x14ac:dyDescent="0.3">
      <c r="A1851" s="3">
        <v>27</v>
      </c>
      <c r="B1851" s="2" t="str">
        <f>"16104006800"</f>
        <v>16104006800</v>
      </c>
      <c r="C1851" s="2" t="s">
        <v>6844</v>
      </c>
      <c r="D1851" t="s">
        <v>29</v>
      </c>
      <c r="E1851" s="2" t="s">
        <v>30</v>
      </c>
      <c r="F1851" s="2">
        <v>37211</v>
      </c>
      <c r="G1851" s="2" t="s">
        <v>152</v>
      </c>
      <c r="H1851" t="s">
        <v>176</v>
      </c>
      <c r="I1851" s="6">
        <v>20747</v>
      </c>
      <c r="J1851" s="2" t="s">
        <v>6845</v>
      </c>
      <c r="K1851" s="2" t="s">
        <v>34</v>
      </c>
      <c r="L1851" t="s">
        <v>178</v>
      </c>
      <c r="M1851" t="s">
        <v>29</v>
      </c>
      <c r="N1851" t="s">
        <v>30</v>
      </c>
      <c r="O1851">
        <v>37246</v>
      </c>
      <c r="P1851" t="s">
        <v>6846</v>
      </c>
      <c r="Q1851" s="2">
        <v>0.09</v>
      </c>
      <c r="R1851" s="2">
        <v>65</v>
      </c>
      <c r="S1851" s="2">
        <v>65</v>
      </c>
      <c r="T1851" t="s">
        <v>6845</v>
      </c>
      <c r="U1851" s="6">
        <v>20747</v>
      </c>
      <c r="V1851" s="2">
        <v>47037019110</v>
      </c>
      <c r="W1851" s="2" t="s">
        <v>68</v>
      </c>
      <c r="X1851" s="1">
        <v>45658</v>
      </c>
      <c r="Y1851" s="2">
        <v>900</v>
      </c>
      <c r="Z1851" s="2">
        <v>0</v>
      </c>
      <c r="AA1851" s="2">
        <v>900</v>
      </c>
    </row>
    <row r="1852" spans="1:27" x14ac:dyDescent="0.3">
      <c r="A1852" s="3">
        <v>27</v>
      </c>
      <c r="B1852" s="2" t="str">
        <f>"14810006800"</f>
        <v>14810006800</v>
      </c>
      <c r="C1852" s="2" t="s">
        <v>6847</v>
      </c>
      <c r="D1852" t="s">
        <v>29</v>
      </c>
      <c r="E1852" s="2" t="s">
        <v>30</v>
      </c>
      <c r="F1852" s="2">
        <v>37211</v>
      </c>
      <c r="G1852" s="2" t="s">
        <v>152</v>
      </c>
      <c r="H1852" t="s">
        <v>176</v>
      </c>
      <c r="I1852" s="6">
        <v>20779</v>
      </c>
      <c r="J1852" s="2" t="s">
        <v>6848</v>
      </c>
      <c r="K1852" s="2" t="s">
        <v>34</v>
      </c>
      <c r="L1852" t="s">
        <v>178</v>
      </c>
      <c r="M1852" t="s">
        <v>29</v>
      </c>
      <c r="N1852" t="s">
        <v>30</v>
      </c>
      <c r="O1852">
        <v>37246</v>
      </c>
      <c r="P1852" t="s">
        <v>6849</v>
      </c>
      <c r="Q1852" s="2">
        <v>0.67</v>
      </c>
      <c r="R1852" s="2">
        <v>100</v>
      </c>
      <c r="S1852" s="2">
        <v>275</v>
      </c>
      <c r="T1852" t="s">
        <v>6848</v>
      </c>
      <c r="U1852" s="6">
        <v>20779</v>
      </c>
      <c r="V1852" s="2">
        <v>47037019108</v>
      </c>
      <c r="W1852" s="2" t="s">
        <v>68</v>
      </c>
      <c r="X1852" s="1">
        <v>45658</v>
      </c>
      <c r="Y1852" s="2">
        <v>74800</v>
      </c>
      <c r="Z1852" s="2">
        <v>0</v>
      </c>
      <c r="AA1852" s="2">
        <v>74800</v>
      </c>
    </row>
    <row r="1853" spans="1:27" x14ac:dyDescent="0.3">
      <c r="A1853" s="3">
        <v>27</v>
      </c>
      <c r="B1853" s="2" t="str">
        <f>"16106003200"</f>
        <v>16106003200</v>
      </c>
      <c r="C1853" s="2" t="s">
        <v>6850</v>
      </c>
      <c r="D1853" t="s">
        <v>29</v>
      </c>
      <c r="E1853" s="2" t="s">
        <v>30</v>
      </c>
      <c r="F1853" s="2">
        <v>37211</v>
      </c>
      <c r="G1853" s="2" t="s">
        <v>152</v>
      </c>
      <c r="H1853" t="s">
        <v>176</v>
      </c>
      <c r="I1853" s="6">
        <v>23586</v>
      </c>
      <c r="J1853" s="2" t="s">
        <v>6851</v>
      </c>
      <c r="K1853" s="2" t="s">
        <v>34</v>
      </c>
      <c r="L1853" t="s">
        <v>178</v>
      </c>
      <c r="M1853" t="s">
        <v>29</v>
      </c>
      <c r="N1853" t="s">
        <v>30</v>
      </c>
      <c r="O1853">
        <v>37246</v>
      </c>
      <c r="P1853" t="s">
        <v>6852</v>
      </c>
      <c r="Q1853" s="2">
        <v>0.5</v>
      </c>
      <c r="R1853" s="2">
        <v>90</v>
      </c>
      <c r="S1853" s="2">
        <v>240</v>
      </c>
      <c r="T1853" t="s">
        <v>6851</v>
      </c>
      <c r="U1853" s="6">
        <v>23586</v>
      </c>
      <c r="V1853" s="2">
        <v>47037019105</v>
      </c>
      <c r="W1853" s="2" t="s">
        <v>68</v>
      </c>
      <c r="X1853" s="1">
        <v>45658</v>
      </c>
      <c r="Y1853" s="2">
        <v>200000</v>
      </c>
      <c r="Z1853" s="2">
        <v>0</v>
      </c>
      <c r="AA1853" s="2">
        <v>200000</v>
      </c>
    </row>
    <row r="1854" spans="1:27" x14ac:dyDescent="0.3">
      <c r="A1854" s="3">
        <v>27</v>
      </c>
      <c r="B1854" s="2" t="str">
        <f>"14714004300"</f>
        <v>14714004300</v>
      </c>
      <c r="C1854" s="2" t="s">
        <v>6853</v>
      </c>
      <c r="D1854" t="s">
        <v>29</v>
      </c>
      <c r="E1854" s="2" t="s">
        <v>30</v>
      </c>
      <c r="F1854" s="2">
        <v>37211</v>
      </c>
      <c r="G1854" s="2" t="s">
        <v>152</v>
      </c>
      <c r="H1854" t="s">
        <v>176</v>
      </c>
      <c r="I1854" s="6">
        <v>20467</v>
      </c>
      <c r="J1854" s="2" t="s">
        <v>6854</v>
      </c>
      <c r="K1854" s="2" t="s">
        <v>34</v>
      </c>
      <c r="L1854" t="s">
        <v>178</v>
      </c>
      <c r="M1854" t="s">
        <v>29</v>
      </c>
      <c r="N1854" t="s">
        <v>30</v>
      </c>
      <c r="O1854">
        <v>37246</v>
      </c>
      <c r="P1854" t="s">
        <v>6855</v>
      </c>
      <c r="Q1854" s="2">
        <v>0.51</v>
      </c>
      <c r="R1854" s="2">
        <v>86</v>
      </c>
      <c r="S1854" s="2">
        <v>258</v>
      </c>
      <c r="T1854" t="s">
        <v>6854</v>
      </c>
      <c r="U1854" s="6">
        <v>20467</v>
      </c>
      <c r="V1854" s="2">
        <v>47037018904</v>
      </c>
      <c r="W1854" s="2" t="s">
        <v>68</v>
      </c>
      <c r="X1854" s="1">
        <v>45658</v>
      </c>
      <c r="Y1854" s="2">
        <v>200000</v>
      </c>
      <c r="Z1854" s="2">
        <v>0</v>
      </c>
      <c r="AA1854" s="2">
        <v>200000</v>
      </c>
    </row>
    <row r="1855" spans="1:27" x14ac:dyDescent="0.3">
      <c r="A1855" s="3">
        <v>27</v>
      </c>
      <c r="B1855" s="2" t="str">
        <f>"16202016500"</f>
        <v>16202016500</v>
      </c>
      <c r="C1855" s="2" t="s">
        <v>6828</v>
      </c>
      <c r="D1855" t="s">
        <v>1945</v>
      </c>
      <c r="E1855" s="2" t="s">
        <v>30</v>
      </c>
      <c r="F1855" s="2">
        <v>37013</v>
      </c>
      <c r="G1855" s="2" t="s">
        <v>64</v>
      </c>
      <c r="H1855" t="s">
        <v>211</v>
      </c>
      <c r="I1855" s="6">
        <v>29230</v>
      </c>
      <c r="J1855" s="2" t="s">
        <v>6856</v>
      </c>
      <c r="K1855" s="2">
        <v>132</v>
      </c>
      <c r="L1855" t="s">
        <v>35</v>
      </c>
      <c r="M1855" t="s">
        <v>29</v>
      </c>
      <c r="N1855" t="s">
        <v>30</v>
      </c>
      <c r="O1855">
        <v>37219</v>
      </c>
      <c r="P1855" t="s">
        <v>6857</v>
      </c>
      <c r="Q1855" s="2">
        <v>0.55000000000000004</v>
      </c>
      <c r="R1855" s="2">
        <v>330</v>
      </c>
      <c r="S1855" s="2">
        <v>134</v>
      </c>
      <c r="T1855" t="s">
        <v>6858</v>
      </c>
      <c r="U1855" s="6">
        <v>24772</v>
      </c>
      <c r="V1855" s="2">
        <v>47037019110</v>
      </c>
      <c r="W1855" s="2" t="s">
        <v>68</v>
      </c>
      <c r="X1855" s="1">
        <v>45658</v>
      </c>
      <c r="Y1855" s="2">
        <v>1100</v>
      </c>
      <c r="Z1855" s="2">
        <v>0</v>
      </c>
      <c r="AA1855" s="2">
        <v>1100</v>
      </c>
    </row>
    <row r="1856" spans="1:27" x14ac:dyDescent="0.3">
      <c r="A1856" s="3">
        <v>27</v>
      </c>
      <c r="B1856" s="2" t="str">
        <f>"16201003700"</f>
        <v>16201003700</v>
      </c>
      <c r="C1856" s="2" t="s">
        <v>6859</v>
      </c>
      <c r="D1856" t="s">
        <v>1945</v>
      </c>
      <c r="E1856" s="2" t="s">
        <v>30</v>
      </c>
      <c r="F1856" s="2">
        <v>37013</v>
      </c>
      <c r="G1856" s="2" t="s">
        <v>200</v>
      </c>
      <c r="H1856" t="s">
        <v>6860</v>
      </c>
      <c r="I1856" s="6">
        <v>27443</v>
      </c>
      <c r="J1856" s="2" t="s">
        <v>6861</v>
      </c>
      <c r="K1856" s="2">
        <v>125000</v>
      </c>
      <c r="L1856" t="s">
        <v>35</v>
      </c>
      <c r="M1856" t="s">
        <v>29</v>
      </c>
      <c r="N1856" t="s">
        <v>30</v>
      </c>
      <c r="O1856">
        <v>37219</v>
      </c>
      <c r="P1856" t="s">
        <v>6862</v>
      </c>
      <c r="Q1856" s="2">
        <v>27.38</v>
      </c>
      <c r="R1856" s="2">
        <v>0</v>
      </c>
      <c r="S1856" s="2">
        <v>0</v>
      </c>
      <c r="T1856" t="s">
        <v>6863</v>
      </c>
      <c r="U1856" s="6">
        <v>25451</v>
      </c>
      <c r="V1856" s="2">
        <v>47037019110</v>
      </c>
      <c r="W1856" s="2" t="s">
        <v>68</v>
      </c>
      <c r="X1856" s="1">
        <v>45658</v>
      </c>
      <c r="Y1856" s="2">
        <v>1993300</v>
      </c>
      <c r="Z1856" s="2">
        <v>0</v>
      </c>
      <c r="AA1856" s="2">
        <v>1993300</v>
      </c>
    </row>
    <row r="1857" spans="1:27" x14ac:dyDescent="0.3">
      <c r="A1857" s="3">
        <v>27</v>
      </c>
      <c r="B1857" s="2" t="str">
        <f>"16202024900"</f>
        <v>16202024900</v>
      </c>
      <c r="C1857" s="2" t="s">
        <v>6864</v>
      </c>
      <c r="D1857" t="s">
        <v>1945</v>
      </c>
      <c r="E1857" s="2" t="s">
        <v>30</v>
      </c>
      <c r="F1857" s="2">
        <v>37013</v>
      </c>
      <c r="G1857" s="2" t="s">
        <v>253</v>
      </c>
      <c r="H1857" t="s">
        <v>6865</v>
      </c>
      <c r="I1857" s="6">
        <v>22537</v>
      </c>
      <c r="J1857" s="2" t="s">
        <v>6866</v>
      </c>
      <c r="K1857" s="2" t="s">
        <v>34</v>
      </c>
      <c r="L1857" t="s">
        <v>35</v>
      </c>
      <c r="M1857" t="s">
        <v>29</v>
      </c>
      <c r="N1857" t="s">
        <v>30</v>
      </c>
      <c r="O1857">
        <v>37219</v>
      </c>
      <c r="P1857" t="s">
        <v>6867</v>
      </c>
      <c r="Q1857" s="2">
        <v>12.03</v>
      </c>
      <c r="R1857" s="2">
        <v>0</v>
      </c>
      <c r="S1857" s="2">
        <v>0</v>
      </c>
      <c r="T1857" t="s">
        <v>6866</v>
      </c>
      <c r="U1857" s="6">
        <v>22537</v>
      </c>
      <c r="V1857" s="2">
        <v>47037019109</v>
      </c>
      <c r="W1857" s="2" t="s">
        <v>68</v>
      </c>
      <c r="X1857" s="1">
        <v>45658</v>
      </c>
      <c r="Y1857" s="2">
        <v>926300</v>
      </c>
      <c r="Z1857" s="2">
        <v>0</v>
      </c>
      <c r="AA1857" s="2">
        <v>926300</v>
      </c>
    </row>
    <row r="1858" spans="1:27" x14ac:dyDescent="0.3">
      <c r="A1858" s="3">
        <v>27</v>
      </c>
      <c r="B1858" s="2" t="str">
        <f>"16103003200"</f>
        <v>16103003200</v>
      </c>
      <c r="C1858" s="2" t="s">
        <v>6868</v>
      </c>
      <c r="D1858" t="s">
        <v>29</v>
      </c>
      <c r="E1858" s="2" t="s">
        <v>30</v>
      </c>
      <c r="F1858" s="2">
        <v>37211</v>
      </c>
      <c r="G1858" s="2" t="s">
        <v>253</v>
      </c>
      <c r="H1858" t="s">
        <v>6869</v>
      </c>
      <c r="I1858" s="6">
        <v>21513</v>
      </c>
      <c r="J1858" s="2" t="s">
        <v>6870</v>
      </c>
      <c r="K1858" s="2" t="s">
        <v>34</v>
      </c>
      <c r="L1858" t="s">
        <v>35</v>
      </c>
      <c r="M1858" t="s">
        <v>29</v>
      </c>
      <c r="N1858" t="s">
        <v>30</v>
      </c>
      <c r="O1858">
        <v>37219</v>
      </c>
      <c r="P1858" t="s">
        <v>6871</v>
      </c>
      <c r="Q1858" s="2">
        <v>28.66</v>
      </c>
      <c r="R1858" s="2">
        <v>1088</v>
      </c>
      <c r="S1858" s="2">
        <v>0</v>
      </c>
      <c r="T1858" t="s">
        <v>6872</v>
      </c>
      <c r="U1858" s="6">
        <v>41610</v>
      </c>
      <c r="V1858" s="2">
        <v>47037018904</v>
      </c>
      <c r="W1858" s="2" t="s">
        <v>68</v>
      </c>
      <c r="X1858" s="1">
        <v>45658</v>
      </c>
      <c r="Y1858" s="2">
        <v>2294500</v>
      </c>
      <c r="Z1858" s="2">
        <v>0</v>
      </c>
      <c r="AA1858" s="2">
        <v>2294500</v>
      </c>
    </row>
    <row r="1859" spans="1:27" x14ac:dyDescent="0.3">
      <c r="A1859" s="3">
        <v>27</v>
      </c>
      <c r="B1859" s="2" t="str">
        <f>"14716002500"</f>
        <v>14716002500</v>
      </c>
      <c r="C1859" s="2" t="s">
        <v>6873</v>
      </c>
      <c r="D1859" t="s">
        <v>29</v>
      </c>
      <c r="E1859" s="2" t="s">
        <v>30</v>
      </c>
      <c r="F1859" s="2">
        <v>37211</v>
      </c>
      <c r="G1859" s="2" t="s">
        <v>253</v>
      </c>
      <c r="H1859" t="s">
        <v>6874</v>
      </c>
      <c r="I1859" s="6">
        <v>21187</v>
      </c>
      <c r="J1859" s="2" t="s">
        <v>6875</v>
      </c>
      <c r="K1859" s="2" t="s">
        <v>34</v>
      </c>
      <c r="L1859" t="s">
        <v>35</v>
      </c>
      <c r="M1859" t="s">
        <v>29</v>
      </c>
      <c r="N1859" t="s">
        <v>30</v>
      </c>
      <c r="O1859">
        <v>37219</v>
      </c>
      <c r="P1859" t="s">
        <v>6876</v>
      </c>
      <c r="Q1859" s="2">
        <v>17.79</v>
      </c>
      <c r="R1859" s="2">
        <v>0</v>
      </c>
      <c r="S1859" s="2">
        <v>0</v>
      </c>
      <c r="T1859" t="s">
        <v>278</v>
      </c>
      <c r="U1859" s="6">
        <v>36588</v>
      </c>
      <c r="V1859" s="2">
        <v>47037018904</v>
      </c>
      <c r="W1859" s="2" t="s">
        <v>68</v>
      </c>
      <c r="X1859" s="1">
        <v>45658</v>
      </c>
      <c r="Y1859" s="2">
        <v>7749300</v>
      </c>
      <c r="Z1859" s="2">
        <v>0</v>
      </c>
      <c r="AA1859" s="2">
        <v>7749300</v>
      </c>
    </row>
    <row r="1860" spans="1:27" x14ac:dyDescent="0.3">
      <c r="A1860" s="3">
        <v>27</v>
      </c>
      <c r="B1860" s="2" t="str">
        <f>"16100028000"</f>
        <v>16100028000</v>
      </c>
      <c r="C1860" s="2" t="s">
        <v>6877</v>
      </c>
      <c r="D1860" t="s">
        <v>29</v>
      </c>
      <c r="E1860" s="2" t="s">
        <v>30</v>
      </c>
      <c r="F1860" s="2">
        <v>37211</v>
      </c>
      <c r="G1860" s="2" t="s">
        <v>152</v>
      </c>
      <c r="H1860" t="s">
        <v>280</v>
      </c>
      <c r="I1860" s="6">
        <v>36439</v>
      </c>
      <c r="J1860" s="2" t="s">
        <v>6878</v>
      </c>
      <c r="K1860" s="2" t="s">
        <v>34</v>
      </c>
      <c r="L1860" t="s">
        <v>35</v>
      </c>
      <c r="M1860" t="s">
        <v>29</v>
      </c>
      <c r="N1860" t="s">
        <v>30</v>
      </c>
      <c r="O1860">
        <v>37219</v>
      </c>
      <c r="P1860" t="s">
        <v>6879</v>
      </c>
      <c r="Q1860" s="2">
        <v>2.66</v>
      </c>
      <c r="R1860" s="2">
        <v>345</v>
      </c>
      <c r="S1860" s="2">
        <v>286</v>
      </c>
      <c r="T1860" t="s">
        <v>6880</v>
      </c>
      <c r="U1860" s="6">
        <v>36378</v>
      </c>
      <c r="V1860" s="2">
        <v>47037019105</v>
      </c>
      <c r="W1860" s="2" t="s">
        <v>68</v>
      </c>
      <c r="X1860" s="1">
        <v>45658</v>
      </c>
      <c r="Y1860" s="2">
        <v>2317400</v>
      </c>
      <c r="Z1860" s="2">
        <v>0</v>
      </c>
      <c r="AA1860" s="2">
        <v>2317400</v>
      </c>
    </row>
    <row r="1861" spans="1:27" x14ac:dyDescent="0.3">
      <c r="A1861" s="3">
        <v>27</v>
      </c>
      <c r="B1861" s="2" t="str">
        <f>"14711004200"</f>
        <v>14711004200</v>
      </c>
      <c r="C1861" s="2" t="s">
        <v>6881</v>
      </c>
      <c r="D1861" t="s">
        <v>29</v>
      </c>
      <c r="E1861" s="2" t="s">
        <v>30</v>
      </c>
      <c r="F1861" s="2">
        <v>37211</v>
      </c>
      <c r="G1861" s="2" t="s">
        <v>64</v>
      </c>
      <c r="H1861" t="s">
        <v>5270</v>
      </c>
      <c r="I1861" s="6">
        <v>38313</v>
      </c>
      <c r="J1861" s="2" t="s">
        <v>6882</v>
      </c>
      <c r="K1861" s="2">
        <v>207500</v>
      </c>
      <c r="L1861" t="s">
        <v>35</v>
      </c>
      <c r="M1861" t="s">
        <v>29</v>
      </c>
      <c r="N1861" t="s">
        <v>30</v>
      </c>
      <c r="O1861">
        <v>37219</v>
      </c>
      <c r="P1861" t="s">
        <v>6883</v>
      </c>
      <c r="Q1861" s="2">
        <v>5.46</v>
      </c>
      <c r="R1861" s="2">
        <v>0</v>
      </c>
      <c r="S1861" s="2">
        <v>0</v>
      </c>
      <c r="T1861" t="s">
        <v>6884</v>
      </c>
      <c r="U1861" s="6">
        <v>13897</v>
      </c>
      <c r="V1861" s="2">
        <v>47037018904</v>
      </c>
      <c r="W1861" s="2" t="s">
        <v>68</v>
      </c>
      <c r="X1861" s="1">
        <v>45658</v>
      </c>
      <c r="Y1861" s="2">
        <v>554500</v>
      </c>
      <c r="Z1861" s="2">
        <v>0</v>
      </c>
      <c r="AA1861" s="2">
        <v>554500</v>
      </c>
    </row>
    <row r="1862" spans="1:27" x14ac:dyDescent="0.3">
      <c r="A1862" s="3">
        <v>28</v>
      </c>
      <c r="B1862" s="2" t="str">
        <f>"13400001200"</f>
        <v>13400001200</v>
      </c>
      <c r="C1862" s="2" t="s">
        <v>6885</v>
      </c>
      <c r="D1862" t="s">
        <v>29</v>
      </c>
      <c r="E1862" s="2" t="s">
        <v>30</v>
      </c>
      <c r="F1862" s="2">
        <v>37217</v>
      </c>
      <c r="G1862" s="2" t="s">
        <v>31</v>
      </c>
      <c r="H1862" t="s">
        <v>32</v>
      </c>
      <c r="I1862" s="6">
        <v>41976</v>
      </c>
      <c r="J1862" s="2" t="s">
        <v>6886</v>
      </c>
      <c r="K1862" s="2">
        <v>0</v>
      </c>
      <c r="L1862" t="s">
        <v>35</v>
      </c>
      <c r="M1862" t="s">
        <v>29</v>
      </c>
      <c r="N1862" t="s">
        <v>30</v>
      </c>
      <c r="O1862">
        <v>37219</v>
      </c>
      <c r="P1862" t="s">
        <v>6887</v>
      </c>
      <c r="Q1862" s="2">
        <v>2.57</v>
      </c>
      <c r="R1862" s="2">
        <v>0</v>
      </c>
      <c r="S1862" s="2">
        <v>0</v>
      </c>
      <c r="T1862" t="s">
        <v>6888</v>
      </c>
      <c r="U1862" s="6">
        <v>27960</v>
      </c>
      <c r="V1862" s="2">
        <v>47037015613</v>
      </c>
      <c r="W1862" s="2" t="s">
        <v>68</v>
      </c>
      <c r="X1862" s="1">
        <v>45658</v>
      </c>
      <c r="Y1862" s="2">
        <v>118200</v>
      </c>
      <c r="Z1862" s="2">
        <v>0</v>
      </c>
      <c r="AA1862" s="2">
        <v>118200</v>
      </c>
    </row>
    <row r="1863" spans="1:27" x14ac:dyDescent="0.3">
      <c r="A1863" s="3">
        <v>28</v>
      </c>
      <c r="B1863" s="2" t="str">
        <f>"13400014500"</f>
        <v>13400014500</v>
      </c>
      <c r="C1863" s="2" t="s">
        <v>6889</v>
      </c>
      <c r="D1863" t="s">
        <v>29</v>
      </c>
      <c r="E1863" s="2" t="s">
        <v>30</v>
      </c>
      <c r="F1863" s="2">
        <v>37211</v>
      </c>
      <c r="G1863" s="2" t="s">
        <v>6890</v>
      </c>
      <c r="H1863" t="s">
        <v>32</v>
      </c>
      <c r="I1863" s="6">
        <v>32531</v>
      </c>
      <c r="J1863" s="2" t="s">
        <v>6891</v>
      </c>
      <c r="K1863" s="2" t="s">
        <v>34</v>
      </c>
      <c r="L1863" t="s">
        <v>35</v>
      </c>
      <c r="M1863" t="s">
        <v>29</v>
      </c>
      <c r="N1863" t="s">
        <v>30</v>
      </c>
      <c r="O1863">
        <v>37219</v>
      </c>
      <c r="P1863" t="s">
        <v>6892</v>
      </c>
      <c r="Q1863" s="2">
        <v>163.13</v>
      </c>
      <c r="R1863" s="2">
        <v>0</v>
      </c>
      <c r="S1863" s="2">
        <v>0</v>
      </c>
      <c r="T1863" t="s">
        <v>278</v>
      </c>
      <c r="U1863" s="6">
        <v>34732</v>
      </c>
      <c r="V1863" s="2">
        <v>47037015613</v>
      </c>
      <c r="W1863" s="2" t="s">
        <v>68</v>
      </c>
      <c r="X1863" s="1">
        <v>45658</v>
      </c>
      <c r="Y1863" s="2">
        <v>4718600</v>
      </c>
      <c r="Z1863" s="2">
        <v>0</v>
      </c>
      <c r="AA1863" s="2">
        <v>4718600</v>
      </c>
    </row>
    <row r="1864" spans="1:27" x14ac:dyDescent="0.3">
      <c r="A1864" s="3">
        <v>28</v>
      </c>
      <c r="B1864" s="2" t="str">
        <f>"14900032100"</f>
        <v>14900032100</v>
      </c>
      <c r="C1864" s="2" t="s">
        <v>6893</v>
      </c>
      <c r="D1864" t="s">
        <v>29</v>
      </c>
      <c r="E1864" s="2" t="s">
        <v>30</v>
      </c>
      <c r="F1864" s="2">
        <v>37217</v>
      </c>
      <c r="G1864" s="2" t="s">
        <v>6894</v>
      </c>
      <c r="H1864" t="s">
        <v>32</v>
      </c>
      <c r="I1864" s="6">
        <v>43021</v>
      </c>
      <c r="J1864" s="2" t="s">
        <v>6895</v>
      </c>
      <c r="K1864" s="2">
        <v>0</v>
      </c>
      <c r="L1864" t="s">
        <v>35</v>
      </c>
      <c r="M1864" t="s">
        <v>29</v>
      </c>
      <c r="N1864" t="s">
        <v>30</v>
      </c>
      <c r="O1864">
        <v>37219</v>
      </c>
      <c r="P1864" t="s">
        <v>6896</v>
      </c>
      <c r="Q1864" s="2">
        <v>1.55</v>
      </c>
      <c r="R1864" s="2">
        <v>356</v>
      </c>
      <c r="S1864" s="2">
        <v>245</v>
      </c>
      <c r="T1864" t="s">
        <v>6897</v>
      </c>
      <c r="U1864" s="6">
        <v>37026</v>
      </c>
      <c r="V1864" s="2">
        <v>47037015626</v>
      </c>
      <c r="W1864" s="2" t="s">
        <v>68</v>
      </c>
      <c r="X1864" s="1">
        <v>45658</v>
      </c>
      <c r="Y1864" s="2">
        <v>1146600</v>
      </c>
      <c r="Z1864" s="2">
        <v>336400</v>
      </c>
      <c r="AA1864" s="2">
        <v>810200</v>
      </c>
    </row>
    <row r="1865" spans="1:27" x14ac:dyDescent="0.3">
      <c r="A1865" s="3">
        <v>28</v>
      </c>
      <c r="B1865" s="2" t="str">
        <f>"14900032300"</f>
        <v>14900032300</v>
      </c>
      <c r="C1865" s="2" t="s">
        <v>6898</v>
      </c>
      <c r="D1865" t="s">
        <v>29</v>
      </c>
      <c r="E1865" s="2" t="s">
        <v>30</v>
      </c>
      <c r="F1865" s="2">
        <v>37217</v>
      </c>
      <c r="G1865" s="2" t="s">
        <v>41</v>
      </c>
      <c r="H1865" t="s">
        <v>32</v>
      </c>
      <c r="I1865" s="6">
        <v>43021</v>
      </c>
      <c r="J1865" s="2" t="s">
        <v>6895</v>
      </c>
      <c r="K1865" s="2">
        <v>0</v>
      </c>
      <c r="L1865" t="s">
        <v>35</v>
      </c>
      <c r="M1865" t="s">
        <v>29</v>
      </c>
      <c r="N1865" t="s">
        <v>30</v>
      </c>
      <c r="O1865">
        <v>37219</v>
      </c>
      <c r="P1865" t="s">
        <v>6899</v>
      </c>
      <c r="Q1865" s="2">
        <v>0.9</v>
      </c>
      <c r="R1865" s="2">
        <v>160</v>
      </c>
      <c r="S1865" s="2">
        <v>215</v>
      </c>
      <c r="T1865" t="s">
        <v>6900</v>
      </c>
      <c r="U1865" s="6">
        <v>33402</v>
      </c>
      <c r="V1865" s="2">
        <v>47037015626</v>
      </c>
      <c r="W1865" s="2" t="s">
        <v>68</v>
      </c>
      <c r="X1865" s="1">
        <v>45658</v>
      </c>
      <c r="Y1865" s="2">
        <v>588100</v>
      </c>
      <c r="Z1865" s="2">
        <v>0</v>
      </c>
      <c r="AA1865" s="2">
        <v>588100</v>
      </c>
    </row>
    <row r="1866" spans="1:27" x14ac:dyDescent="0.3">
      <c r="A1866" s="3">
        <v>28</v>
      </c>
      <c r="B1866" s="2" t="str">
        <f>"14900032400"</f>
        <v>14900032400</v>
      </c>
      <c r="C1866" s="2" t="s">
        <v>6901</v>
      </c>
      <c r="D1866" t="s">
        <v>29</v>
      </c>
      <c r="E1866" s="2" t="s">
        <v>30</v>
      </c>
      <c r="F1866" s="2">
        <v>37217</v>
      </c>
      <c r="G1866" s="2" t="s">
        <v>41</v>
      </c>
      <c r="H1866" t="s">
        <v>32</v>
      </c>
      <c r="I1866" s="6">
        <v>43021</v>
      </c>
      <c r="J1866" s="2" t="s">
        <v>6895</v>
      </c>
      <c r="K1866" s="2">
        <v>0</v>
      </c>
      <c r="L1866" t="s">
        <v>35</v>
      </c>
      <c r="M1866" t="s">
        <v>29</v>
      </c>
      <c r="N1866" t="s">
        <v>30</v>
      </c>
      <c r="O1866">
        <v>37219</v>
      </c>
      <c r="P1866" t="s">
        <v>6902</v>
      </c>
      <c r="Q1866" s="2">
        <v>0.82</v>
      </c>
      <c r="R1866" s="2">
        <v>147</v>
      </c>
      <c r="S1866" s="2">
        <v>220</v>
      </c>
      <c r="T1866" t="s">
        <v>6900</v>
      </c>
      <c r="U1866" s="6">
        <v>33402</v>
      </c>
      <c r="V1866" s="2">
        <v>47037015626</v>
      </c>
      <c r="W1866" s="2" t="s">
        <v>68</v>
      </c>
      <c r="X1866" s="1">
        <v>45658</v>
      </c>
      <c r="Y1866" s="2">
        <v>535800</v>
      </c>
      <c r="Z1866" s="2">
        <v>0</v>
      </c>
      <c r="AA1866" s="2">
        <v>535800</v>
      </c>
    </row>
    <row r="1867" spans="1:27" x14ac:dyDescent="0.3">
      <c r="A1867" s="3">
        <v>28</v>
      </c>
      <c r="B1867" s="2" t="str">
        <f>"14900032600"</f>
        <v>14900032600</v>
      </c>
      <c r="C1867" s="2" t="s">
        <v>6903</v>
      </c>
      <c r="D1867" t="s">
        <v>29</v>
      </c>
      <c r="E1867" s="2" t="s">
        <v>30</v>
      </c>
      <c r="F1867" s="2">
        <v>37217</v>
      </c>
      <c r="G1867" s="2" t="s">
        <v>41</v>
      </c>
      <c r="H1867" t="s">
        <v>32</v>
      </c>
      <c r="I1867" s="6">
        <v>43021</v>
      </c>
      <c r="J1867" s="2" t="s">
        <v>6895</v>
      </c>
      <c r="K1867" s="2">
        <v>0</v>
      </c>
      <c r="L1867" t="s">
        <v>35</v>
      </c>
      <c r="M1867" t="s">
        <v>29</v>
      </c>
      <c r="N1867" t="s">
        <v>30</v>
      </c>
      <c r="O1867">
        <v>37219</v>
      </c>
      <c r="P1867" t="s">
        <v>6904</v>
      </c>
      <c r="Q1867" s="2">
        <v>1.55</v>
      </c>
      <c r="R1867" s="2">
        <v>402</v>
      </c>
      <c r="S1867" s="2">
        <v>365</v>
      </c>
      <c r="T1867" t="s">
        <v>6900</v>
      </c>
      <c r="U1867" s="6">
        <v>33402</v>
      </c>
      <c r="V1867" s="2">
        <v>47037015626</v>
      </c>
      <c r="W1867" s="2" t="s">
        <v>68</v>
      </c>
      <c r="X1867" s="1">
        <v>45658</v>
      </c>
      <c r="Y1867" s="2">
        <v>405100</v>
      </c>
      <c r="Z1867" s="2">
        <v>0</v>
      </c>
      <c r="AA1867" s="2">
        <v>405100</v>
      </c>
    </row>
    <row r="1868" spans="1:27" x14ac:dyDescent="0.3">
      <c r="A1868" s="3">
        <v>28</v>
      </c>
      <c r="B1868" s="2" t="str">
        <f>"14816007500"</f>
        <v>14816007500</v>
      </c>
      <c r="C1868" s="2" t="s">
        <v>6905</v>
      </c>
      <c r="D1868" t="s">
        <v>1945</v>
      </c>
      <c r="E1868" s="2" t="s">
        <v>30</v>
      </c>
      <c r="F1868" s="2">
        <v>37013</v>
      </c>
      <c r="G1868" s="2" t="s">
        <v>41</v>
      </c>
      <c r="H1868" t="s">
        <v>32</v>
      </c>
      <c r="I1868" s="6">
        <v>43263</v>
      </c>
      <c r="J1868" s="2" t="s">
        <v>6906</v>
      </c>
      <c r="K1868" s="2" t="s">
        <v>34</v>
      </c>
      <c r="L1868" t="s">
        <v>35</v>
      </c>
      <c r="M1868" t="s">
        <v>29</v>
      </c>
      <c r="N1868" t="s">
        <v>30</v>
      </c>
      <c r="O1868">
        <v>37219</v>
      </c>
      <c r="P1868" t="s">
        <v>6907</v>
      </c>
      <c r="Q1868" s="2">
        <v>0.66</v>
      </c>
      <c r="R1868" s="2">
        <v>175</v>
      </c>
      <c r="S1868" s="2">
        <v>195</v>
      </c>
      <c r="T1868" t="s">
        <v>6908</v>
      </c>
      <c r="U1868" s="6">
        <v>22160</v>
      </c>
      <c r="V1868" s="2">
        <v>47037015627</v>
      </c>
      <c r="W1868" s="2" t="s">
        <v>68</v>
      </c>
      <c r="X1868" s="1">
        <v>45658</v>
      </c>
      <c r="Y1868" s="2">
        <v>12900</v>
      </c>
      <c r="Z1868" s="2">
        <v>0</v>
      </c>
      <c r="AA1868" s="2">
        <v>12900</v>
      </c>
    </row>
    <row r="1869" spans="1:27" x14ac:dyDescent="0.3">
      <c r="A1869" s="3">
        <v>28</v>
      </c>
      <c r="B1869" s="2" t="str">
        <f>"14816007700"</f>
        <v>14816007700</v>
      </c>
      <c r="C1869" s="2" t="s">
        <v>6909</v>
      </c>
      <c r="D1869" t="s">
        <v>1945</v>
      </c>
      <c r="E1869" s="2" t="s">
        <v>30</v>
      </c>
      <c r="F1869" s="2">
        <v>37013</v>
      </c>
      <c r="G1869" s="2" t="s">
        <v>2490</v>
      </c>
      <c r="H1869" t="s">
        <v>32</v>
      </c>
      <c r="I1869" s="6">
        <v>42241</v>
      </c>
      <c r="J1869" s="2" t="s">
        <v>6910</v>
      </c>
      <c r="K1869" s="2">
        <v>0</v>
      </c>
      <c r="L1869" t="s">
        <v>35</v>
      </c>
      <c r="M1869" t="s">
        <v>29</v>
      </c>
      <c r="N1869" t="s">
        <v>30</v>
      </c>
      <c r="O1869">
        <v>37219</v>
      </c>
      <c r="P1869" t="s">
        <v>6911</v>
      </c>
      <c r="Q1869" s="2">
        <v>0.21</v>
      </c>
      <c r="R1869" s="2">
        <v>70</v>
      </c>
      <c r="S1869" s="2">
        <v>135</v>
      </c>
      <c r="T1869" t="s">
        <v>6912</v>
      </c>
      <c r="U1869" s="6">
        <v>24282</v>
      </c>
      <c r="V1869" s="2">
        <v>47037015627</v>
      </c>
      <c r="W1869" s="2" t="s">
        <v>68</v>
      </c>
      <c r="X1869" s="1">
        <v>45658</v>
      </c>
      <c r="Y1869" s="2">
        <v>8100</v>
      </c>
      <c r="Z1869" s="2">
        <v>4000</v>
      </c>
      <c r="AA1869" s="2">
        <v>4100</v>
      </c>
    </row>
    <row r="1870" spans="1:27" x14ac:dyDescent="0.3">
      <c r="A1870" s="3">
        <v>28</v>
      </c>
      <c r="B1870" s="2" t="str">
        <f>"16204000100"</f>
        <v>16204000100</v>
      </c>
      <c r="C1870" s="2" t="s">
        <v>6913</v>
      </c>
      <c r="D1870" t="s">
        <v>1945</v>
      </c>
      <c r="E1870" s="2" t="s">
        <v>30</v>
      </c>
      <c r="F1870" s="2">
        <v>37013</v>
      </c>
      <c r="G1870" s="2" t="s">
        <v>41</v>
      </c>
      <c r="H1870" t="s">
        <v>32</v>
      </c>
      <c r="I1870" s="6">
        <v>42241</v>
      </c>
      <c r="J1870" s="2" t="s">
        <v>6914</v>
      </c>
      <c r="K1870" s="2">
        <v>0</v>
      </c>
      <c r="L1870" t="s">
        <v>35</v>
      </c>
      <c r="M1870" t="s">
        <v>29</v>
      </c>
      <c r="N1870" t="s">
        <v>30</v>
      </c>
      <c r="O1870">
        <v>37219</v>
      </c>
      <c r="P1870" t="s">
        <v>6915</v>
      </c>
      <c r="Q1870" s="2">
        <v>0.18</v>
      </c>
      <c r="R1870" s="2">
        <v>69</v>
      </c>
      <c r="S1870" s="2">
        <v>130</v>
      </c>
      <c r="T1870" t="s">
        <v>6916</v>
      </c>
      <c r="U1870" s="6">
        <v>27135</v>
      </c>
      <c r="V1870" s="2">
        <v>47037015627</v>
      </c>
      <c r="W1870" s="2" t="s">
        <v>68</v>
      </c>
      <c r="X1870" s="1">
        <v>45658</v>
      </c>
      <c r="Y1870" s="2">
        <v>3500</v>
      </c>
      <c r="Z1870" s="2">
        <v>0</v>
      </c>
      <c r="AA1870" s="2">
        <v>3500</v>
      </c>
    </row>
    <row r="1871" spans="1:27" x14ac:dyDescent="0.3">
      <c r="A1871" s="3">
        <v>28</v>
      </c>
      <c r="B1871" s="2" t="str">
        <f>"14800029000"</f>
        <v>14800029000</v>
      </c>
      <c r="C1871" s="2" t="s">
        <v>6917</v>
      </c>
      <c r="D1871" t="s">
        <v>1945</v>
      </c>
      <c r="E1871" s="2" t="s">
        <v>30</v>
      </c>
      <c r="F1871" s="2">
        <v>37013</v>
      </c>
      <c r="G1871" s="2" t="s">
        <v>200</v>
      </c>
      <c r="H1871" t="s">
        <v>32</v>
      </c>
      <c r="I1871" s="6">
        <v>38198</v>
      </c>
      <c r="J1871" s="2" t="s">
        <v>6918</v>
      </c>
      <c r="K1871" s="2">
        <v>0</v>
      </c>
      <c r="L1871" t="s">
        <v>35</v>
      </c>
      <c r="M1871" t="s">
        <v>29</v>
      </c>
      <c r="N1871" t="s">
        <v>30</v>
      </c>
      <c r="O1871">
        <v>37219</v>
      </c>
      <c r="P1871" t="s">
        <v>6919</v>
      </c>
      <c r="Q1871" s="2">
        <v>4.47</v>
      </c>
      <c r="R1871" s="2">
        <v>0</v>
      </c>
      <c r="S1871" s="2">
        <v>750</v>
      </c>
      <c r="T1871" t="s">
        <v>6918</v>
      </c>
      <c r="U1871" s="6">
        <v>38198</v>
      </c>
      <c r="V1871" s="2">
        <v>47037015615</v>
      </c>
      <c r="W1871" s="2" t="s">
        <v>68</v>
      </c>
      <c r="X1871" s="1">
        <v>45658</v>
      </c>
      <c r="Y1871" s="2">
        <v>42500</v>
      </c>
      <c r="Z1871" s="2">
        <v>0</v>
      </c>
      <c r="AA1871" s="2">
        <v>42500</v>
      </c>
    </row>
    <row r="1872" spans="1:27" x14ac:dyDescent="0.3">
      <c r="A1872" s="3">
        <v>28</v>
      </c>
      <c r="B1872" s="2" t="str">
        <f>"14900032700"</f>
        <v>14900032700</v>
      </c>
      <c r="C1872" s="2" t="s">
        <v>6920</v>
      </c>
      <c r="D1872" t="s">
        <v>29</v>
      </c>
      <c r="E1872" s="2" t="s">
        <v>30</v>
      </c>
      <c r="F1872" s="2">
        <v>37217</v>
      </c>
      <c r="G1872" s="2" t="s">
        <v>6921</v>
      </c>
      <c r="H1872" t="s">
        <v>32</v>
      </c>
      <c r="I1872" s="6">
        <v>43021</v>
      </c>
      <c r="J1872" s="2" t="s">
        <v>6895</v>
      </c>
      <c r="K1872" s="2">
        <v>0</v>
      </c>
      <c r="L1872" t="s">
        <v>35</v>
      </c>
      <c r="M1872" t="s">
        <v>29</v>
      </c>
      <c r="N1872" t="s">
        <v>30</v>
      </c>
      <c r="O1872">
        <v>37219</v>
      </c>
      <c r="P1872" t="s">
        <v>6922</v>
      </c>
      <c r="Q1872" s="2">
        <v>20.6</v>
      </c>
      <c r="R1872" s="2">
        <v>0</v>
      </c>
      <c r="S1872" s="2">
        <v>0</v>
      </c>
      <c r="T1872" t="s">
        <v>6900</v>
      </c>
      <c r="U1872" s="6">
        <v>33402</v>
      </c>
      <c r="V1872" s="2">
        <v>47037015626</v>
      </c>
      <c r="W1872" s="2" t="s">
        <v>68</v>
      </c>
      <c r="X1872" s="1">
        <v>45658</v>
      </c>
      <c r="Y1872" s="2">
        <v>13522100</v>
      </c>
      <c r="Z1872" s="2">
        <v>8138100</v>
      </c>
      <c r="AA1872" s="2">
        <v>5384000</v>
      </c>
    </row>
    <row r="1873" spans="1:27" x14ac:dyDescent="0.3">
      <c r="A1873" s="3">
        <v>28</v>
      </c>
      <c r="B1873" s="2" t="str">
        <f>"13400028800"</f>
        <v>13400028800</v>
      </c>
      <c r="C1873" s="2" t="s">
        <v>6923</v>
      </c>
      <c r="D1873" t="s">
        <v>29</v>
      </c>
      <c r="E1873" s="2" t="s">
        <v>30</v>
      </c>
      <c r="F1873" s="2">
        <v>37211</v>
      </c>
      <c r="G1873" s="2" t="s">
        <v>41</v>
      </c>
      <c r="H1873" t="s">
        <v>99</v>
      </c>
      <c r="I1873" s="6">
        <v>40863</v>
      </c>
      <c r="J1873" s="2" t="s">
        <v>6924</v>
      </c>
      <c r="K1873" s="2">
        <v>1511</v>
      </c>
      <c r="L1873" t="s">
        <v>35</v>
      </c>
      <c r="M1873" t="s">
        <v>29</v>
      </c>
      <c r="N1873" t="s">
        <v>30</v>
      </c>
      <c r="O1873">
        <v>37219</v>
      </c>
      <c r="P1873" t="s">
        <v>6925</v>
      </c>
      <c r="Q1873" s="2">
        <v>1.34</v>
      </c>
      <c r="R1873" s="2">
        <v>232</v>
      </c>
      <c r="S1873" s="2">
        <v>400</v>
      </c>
      <c r="T1873" t="s">
        <v>6926</v>
      </c>
      <c r="U1873" s="6">
        <v>32169</v>
      </c>
      <c r="V1873" s="2">
        <v>47037015613</v>
      </c>
      <c r="W1873" s="2" t="s">
        <v>68</v>
      </c>
      <c r="X1873" s="1">
        <v>45658</v>
      </c>
      <c r="Y1873" s="2">
        <v>12800</v>
      </c>
      <c r="Z1873" s="2">
        <v>0</v>
      </c>
      <c r="AA1873" s="2">
        <v>12800</v>
      </c>
    </row>
    <row r="1874" spans="1:27" x14ac:dyDescent="0.3">
      <c r="A1874" s="3">
        <v>28</v>
      </c>
      <c r="B1874" s="2" t="str">
        <f>"14816007000"</f>
        <v>14816007000</v>
      </c>
      <c r="C1874" s="2" t="s">
        <v>6927</v>
      </c>
      <c r="D1874" t="s">
        <v>1945</v>
      </c>
      <c r="E1874" s="2" t="s">
        <v>30</v>
      </c>
      <c r="F1874" s="2">
        <v>37013</v>
      </c>
      <c r="G1874" s="2" t="s">
        <v>41</v>
      </c>
      <c r="H1874" t="s">
        <v>99</v>
      </c>
      <c r="I1874" s="6">
        <v>42139</v>
      </c>
      <c r="J1874" s="2" t="s">
        <v>6928</v>
      </c>
      <c r="K1874" s="2">
        <v>10456</v>
      </c>
      <c r="L1874" t="s">
        <v>35</v>
      </c>
      <c r="M1874" t="s">
        <v>29</v>
      </c>
      <c r="N1874" t="s">
        <v>30</v>
      </c>
      <c r="O1874">
        <v>37219</v>
      </c>
      <c r="P1874" t="s">
        <v>6929</v>
      </c>
      <c r="Q1874" s="2">
        <v>0.77</v>
      </c>
      <c r="R1874" s="2">
        <v>144</v>
      </c>
      <c r="S1874" s="2">
        <v>260</v>
      </c>
      <c r="T1874" t="s">
        <v>6930</v>
      </c>
      <c r="U1874" s="6">
        <v>24314</v>
      </c>
      <c r="V1874" s="2">
        <v>47037015627</v>
      </c>
      <c r="W1874" s="2" t="s">
        <v>68</v>
      </c>
      <c r="X1874" s="1">
        <v>45658</v>
      </c>
      <c r="Y1874" s="2">
        <v>55100</v>
      </c>
      <c r="Z1874" s="2">
        <v>0</v>
      </c>
      <c r="AA1874" s="2">
        <v>55100</v>
      </c>
    </row>
    <row r="1875" spans="1:27" x14ac:dyDescent="0.3">
      <c r="A1875" s="3">
        <v>28</v>
      </c>
      <c r="B1875" s="2" t="str">
        <f>"13400029300"</f>
        <v>13400029300</v>
      </c>
      <c r="C1875" s="2" t="s">
        <v>6931</v>
      </c>
      <c r="D1875" t="s">
        <v>29</v>
      </c>
      <c r="E1875" s="2" t="s">
        <v>30</v>
      </c>
      <c r="F1875" s="2">
        <v>37211</v>
      </c>
      <c r="G1875" s="2" t="s">
        <v>152</v>
      </c>
      <c r="H1875" t="s">
        <v>1131</v>
      </c>
      <c r="I1875" s="6">
        <v>33381</v>
      </c>
      <c r="J1875" s="2" t="s">
        <v>6932</v>
      </c>
      <c r="K1875" s="2" t="s">
        <v>34</v>
      </c>
      <c r="L1875" t="s">
        <v>35</v>
      </c>
      <c r="M1875" t="s">
        <v>29</v>
      </c>
      <c r="N1875" t="s">
        <v>30</v>
      </c>
      <c r="O1875">
        <v>37219</v>
      </c>
      <c r="P1875" t="s">
        <v>6933</v>
      </c>
      <c r="Q1875" s="2">
        <v>1.27</v>
      </c>
      <c r="R1875" s="2">
        <v>200</v>
      </c>
      <c r="S1875" s="2">
        <v>243</v>
      </c>
      <c r="T1875" t="s">
        <v>6932</v>
      </c>
      <c r="U1875" s="6">
        <v>33381</v>
      </c>
      <c r="V1875" s="2">
        <v>47037015613</v>
      </c>
      <c r="W1875" s="2" t="s">
        <v>68</v>
      </c>
      <c r="X1875" s="1">
        <v>45658</v>
      </c>
      <c r="Y1875" s="2">
        <v>115000</v>
      </c>
      <c r="Z1875" s="2">
        <v>0</v>
      </c>
      <c r="AA1875" s="2">
        <v>115000</v>
      </c>
    </row>
    <row r="1876" spans="1:27" x14ac:dyDescent="0.3">
      <c r="A1876" s="3">
        <v>28</v>
      </c>
      <c r="B1876" s="2" t="str">
        <f>"14816006000"</f>
        <v>14816006000</v>
      </c>
      <c r="C1876" s="2" t="s">
        <v>6934</v>
      </c>
      <c r="D1876" t="s">
        <v>1945</v>
      </c>
      <c r="E1876" s="2" t="s">
        <v>30</v>
      </c>
      <c r="F1876" s="2">
        <v>37013</v>
      </c>
      <c r="G1876" s="2" t="s">
        <v>901</v>
      </c>
      <c r="H1876" t="s">
        <v>6935</v>
      </c>
      <c r="I1876" s="6">
        <v>33949</v>
      </c>
      <c r="J1876" s="2" t="s">
        <v>6936</v>
      </c>
      <c r="K1876" s="2" t="s">
        <v>34</v>
      </c>
      <c r="L1876" t="s">
        <v>35</v>
      </c>
      <c r="M1876" t="s">
        <v>29</v>
      </c>
      <c r="N1876" t="s">
        <v>30</v>
      </c>
      <c r="O1876">
        <v>37219</v>
      </c>
      <c r="P1876" t="s">
        <v>6937</v>
      </c>
      <c r="Q1876" s="2">
        <v>1.1000000000000001</v>
      </c>
      <c r="R1876" s="2">
        <v>0</v>
      </c>
      <c r="S1876" s="2">
        <v>0</v>
      </c>
      <c r="T1876" t="s">
        <v>6938</v>
      </c>
      <c r="U1876" s="6">
        <v>27261</v>
      </c>
      <c r="V1876" s="2">
        <v>47037015627</v>
      </c>
      <c r="W1876" s="2" t="s">
        <v>68</v>
      </c>
      <c r="X1876" s="1">
        <v>45658</v>
      </c>
      <c r="Y1876" s="2">
        <v>26900</v>
      </c>
      <c r="Z1876" s="2">
        <v>0</v>
      </c>
      <c r="AA1876" s="2">
        <v>26900</v>
      </c>
    </row>
    <row r="1877" spans="1:27" x14ac:dyDescent="0.3">
      <c r="A1877" s="3">
        <v>28</v>
      </c>
      <c r="B1877" s="2" t="str">
        <f>"14802007900"</f>
        <v>14802007900</v>
      </c>
      <c r="C1877" s="2" t="s">
        <v>6939</v>
      </c>
      <c r="D1877" t="s">
        <v>29</v>
      </c>
      <c r="E1877" s="2" t="s">
        <v>30</v>
      </c>
      <c r="F1877" s="2">
        <v>37211</v>
      </c>
      <c r="G1877" s="2" t="s">
        <v>152</v>
      </c>
      <c r="H1877" t="s">
        <v>176</v>
      </c>
      <c r="I1877" s="6">
        <v>22078</v>
      </c>
      <c r="J1877" s="2" t="s">
        <v>6940</v>
      </c>
      <c r="K1877" s="2" t="s">
        <v>34</v>
      </c>
      <c r="L1877" t="s">
        <v>178</v>
      </c>
      <c r="M1877" t="s">
        <v>29</v>
      </c>
      <c r="N1877" t="s">
        <v>30</v>
      </c>
      <c r="O1877">
        <v>37246</v>
      </c>
      <c r="P1877" t="s">
        <v>6941</v>
      </c>
      <c r="Q1877" s="2">
        <v>0.88</v>
      </c>
      <c r="R1877" s="2">
        <v>174</v>
      </c>
      <c r="S1877" s="2">
        <v>370</v>
      </c>
      <c r="T1877" t="s">
        <v>6940</v>
      </c>
      <c r="U1877" s="6">
        <v>22078</v>
      </c>
      <c r="V1877" s="2">
        <v>47037015613</v>
      </c>
      <c r="W1877" s="2" t="s">
        <v>68</v>
      </c>
      <c r="X1877" s="1">
        <v>45658</v>
      </c>
      <c r="Y1877" s="2">
        <v>600</v>
      </c>
      <c r="Z1877" s="2">
        <v>0</v>
      </c>
      <c r="AA1877" s="2">
        <v>600</v>
      </c>
    </row>
    <row r="1878" spans="1:27" x14ac:dyDescent="0.3">
      <c r="A1878" s="3">
        <v>28</v>
      </c>
      <c r="B1878" s="2" t="str">
        <f>"14811000500"</f>
        <v>14811000500</v>
      </c>
      <c r="C1878" s="2" t="s">
        <v>6942</v>
      </c>
      <c r="D1878" t="s">
        <v>1945</v>
      </c>
      <c r="E1878" s="2" t="s">
        <v>30</v>
      </c>
      <c r="F1878" s="2">
        <v>37013</v>
      </c>
      <c r="G1878" s="2" t="s">
        <v>152</v>
      </c>
      <c r="H1878" t="s">
        <v>176</v>
      </c>
      <c r="I1878" s="6">
        <v>22936</v>
      </c>
      <c r="J1878" s="2" t="s">
        <v>6943</v>
      </c>
      <c r="K1878" s="2" t="s">
        <v>34</v>
      </c>
      <c r="L1878" t="s">
        <v>178</v>
      </c>
      <c r="M1878" t="s">
        <v>29</v>
      </c>
      <c r="N1878" t="s">
        <v>30</v>
      </c>
      <c r="O1878">
        <v>37246</v>
      </c>
      <c r="P1878" t="s">
        <v>6944</v>
      </c>
      <c r="Q1878" s="2">
        <v>0.39</v>
      </c>
      <c r="R1878" s="2">
        <v>68</v>
      </c>
      <c r="S1878" s="2">
        <v>224</v>
      </c>
      <c r="T1878" t="s">
        <v>6943</v>
      </c>
      <c r="U1878" s="6">
        <v>22936</v>
      </c>
      <c r="V1878" s="2">
        <v>47037015627</v>
      </c>
      <c r="W1878" s="2" t="s">
        <v>68</v>
      </c>
      <c r="X1878" s="1">
        <v>45658</v>
      </c>
      <c r="Y1878" s="2">
        <v>97800</v>
      </c>
      <c r="Z1878" s="2">
        <v>0</v>
      </c>
      <c r="AA1878" s="2">
        <v>97800</v>
      </c>
    </row>
    <row r="1879" spans="1:27" x14ac:dyDescent="0.3">
      <c r="A1879" s="3">
        <v>28</v>
      </c>
      <c r="B1879" s="2" t="str">
        <f>"14816006700"</f>
        <v>14816006700</v>
      </c>
      <c r="C1879" s="2" t="s">
        <v>6945</v>
      </c>
      <c r="D1879" t="s">
        <v>1945</v>
      </c>
      <c r="E1879" s="2" t="s">
        <v>30</v>
      </c>
      <c r="F1879" s="2">
        <v>37013</v>
      </c>
      <c r="G1879" s="2" t="s">
        <v>41</v>
      </c>
      <c r="H1879" t="s">
        <v>211</v>
      </c>
      <c r="I1879" s="6">
        <v>41618</v>
      </c>
      <c r="J1879" s="2" t="s">
        <v>6946</v>
      </c>
      <c r="K1879" s="2">
        <v>0</v>
      </c>
      <c r="L1879" t="s">
        <v>35</v>
      </c>
      <c r="M1879" t="s">
        <v>29</v>
      </c>
      <c r="N1879" t="s">
        <v>30</v>
      </c>
      <c r="O1879">
        <v>37219</v>
      </c>
      <c r="P1879" t="s">
        <v>6937</v>
      </c>
      <c r="Q1879" s="2">
        <v>3.35</v>
      </c>
      <c r="R1879" s="2">
        <v>0</v>
      </c>
      <c r="S1879" s="2">
        <v>0</v>
      </c>
      <c r="T1879" t="s">
        <v>6947</v>
      </c>
      <c r="U1879" s="6">
        <v>31670</v>
      </c>
      <c r="V1879" s="2">
        <v>47037015627</v>
      </c>
      <c r="W1879" s="2" t="s">
        <v>68</v>
      </c>
      <c r="X1879" s="1">
        <v>45658</v>
      </c>
      <c r="Y1879" s="2">
        <v>279100</v>
      </c>
      <c r="Z1879" s="2">
        <v>0</v>
      </c>
      <c r="AA1879" s="2">
        <v>279100</v>
      </c>
    </row>
    <row r="1880" spans="1:27" x14ac:dyDescent="0.3">
      <c r="A1880" s="3">
        <v>28</v>
      </c>
      <c r="B1880" s="2" t="str">
        <f>"14816006900"</f>
        <v>14816006900</v>
      </c>
      <c r="C1880" s="2" t="s">
        <v>6948</v>
      </c>
      <c r="D1880" t="s">
        <v>1945</v>
      </c>
      <c r="E1880" s="2" t="s">
        <v>30</v>
      </c>
      <c r="F1880" s="2">
        <v>37013</v>
      </c>
      <c r="G1880" s="2" t="s">
        <v>41</v>
      </c>
      <c r="H1880" t="s">
        <v>211</v>
      </c>
      <c r="I1880" s="6">
        <v>41621</v>
      </c>
      <c r="J1880" s="2" t="s">
        <v>6949</v>
      </c>
      <c r="K1880" s="2">
        <v>0</v>
      </c>
      <c r="L1880" t="s">
        <v>35</v>
      </c>
      <c r="M1880" t="s">
        <v>29</v>
      </c>
      <c r="N1880" t="s">
        <v>30</v>
      </c>
      <c r="O1880">
        <v>37219</v>
      </c>
      <c r="P1880" t="s">
        <v>6950</v>
      </c>
      <c r="Q1880" s="2">
        <v>1.86</v>
      </c>
      <c r="R1880" s="2">
        <v>0</v>
      </c>
      <c r="S1880" s="2">
        <v>0</v>
      </c>
      <c r="T1880" t="s">
        <v>6951</v>
      </c>
      <c r="U1880" s="6">
        <v>31212</v>
      </c>
      <c r="V1880" s="2">
        <v>47037015627</v>
      </c>
      <c r="W1880" s="2" t="s">
        <v>68</v>
      </c>
      <c r="X1880" s="1">
        <v>45658</v>
      </c>
      <c r="Y1880" s="2">
        <v>182300</v>
      </c>
      <c r="Z1880" s="2">
        <v>0</v>
      </c>
      <c r="AA1880" s="2">
        <v>182300</v>
      </c>
    </row>
    <row r="1881" spans="1:27" x14ac:dyDescent="0.3">
      <c r="A1881" s="3">
        <v>28</v>
      </c>
      <c r="B1881" s="2" t="str">
        <f>"13500008300"</f>
        <v>13500008300</v>
      </c>
      <c r="C1881" s="2" t="s">
        <v>6952</v>
      </c>
      <c r="D1881" t="s">
        <v>29</v>
      </c>
      <c r="E1881" s="2" t="s">
        <v>30</v>
      </c>
      <c r="F1881" s="2">
        <v>37217</v>
      </c>
      <c r="G1881" s="2" t="s">
        <v>41</v>
      </c>
      <c r="H1881" t="s">
        <v>1332</v>
      </c>
      <c r="I1881" s="6">
        <v>33193</v>
      </c>
      <c r="J1881" s="2" t="s">
        <v>6953</v>
      </c>
      <c r="K1881" s="2">
        <v>90000</v>
      </c>
      <c r="L1881" t="s">
        <v>35</v>
      </c>
      <c r="M1881" t="s">
        <v>29</v>
      </c>
      <c r="N1881" t="s">
        <v>30</v>
      </c>
      <c r="O1881">
        <v>37219</v>
      </c>
      <c r="P1881" t="s">
        <v>6954</v>
      </c>
      <c r="Q1881" s="2">
        <v>0.18</v>
      </c>
      <c r="R1881" s="2">
        <v>90</v>
      </c>
      <c r="S1881" s="2">
        <v>89</v>
      </c>
      <c r="T1881" t="s">
        <v>6955</v>
      </c>
      <c r="U1881" s="6">
        <v>10195</v>
      </c>
      <c r="V1881" s="2">
        <v>47037015613</v>
      </c>
      <c r="W1881" s="2" t="s">
        <v>68</v>
      </c>
      <c r="X1881" s="1">
        <v>45658</v>
      </c>
      <c r="Y1881" s="2">
        <v>72100</v>
      </c>
      <c r="Z1881" s="2">
        <v>0</v>
      </c>
      <c r="AA1881" s="2">
        <v>72100</v>
      </c>
    </row>
    <row r="1882" spans="1:27" x14ac:dyDescent="0.3">
      <c r="A1882" s="3">
        <v>28</v>
      </c>
      <c r="B1882" s="2" t="str">
        <f>"16200001300"</f>
        <v>16200001300</v>
      </c>
      <c r="C1882" s="2" t="s">
        <v>6956</v>
      </c>
      <c r="D1882" t="s">
        <v>1945</v>
      </c>
      <c r="E1882" s="2" t="s">
        <v>30</v>
      </c>
      <c r="F1882" s="2">
        <v>37013</v>
      </c>
      <c r="G1882" s="2" t="s">
        <v>253</v>
      </c>
      <c r="H1882" t="s">
        <v>6957</v>
      </c>
      <c r="I1882" s="6">
        <v>18499</v>
      </c>
      <c r="J1882" s="2" t="s">
        <v>6958</v>
      </c>
      <c r="K1882" s="2" t="s">
        <v>34</v>
      </c>
      <c r="L1882" t="s">
        <v>35</v>
      </c>
      <c r="M1882" t="s">
        <v>29</v>
      </c>
      <c r="N1882" t="s">
        <v>30</v>
      </c>
      <c r="O1882">
        <v>37219</v>
      </c>
      <c r="P1882" t="s">
        <v>6959</v>
      </c>
      <c r="Q1882" s="2">
        <v>7.71</v>
      </c>
      <c r="R1882" s="2">
        <v>0</v>
      </c>
      <c r="S1882" s="2">
        <v>0</v>
      </c>
      <c r="T1882" t="s">
        <v>6958</v>
      </c>
      <c r="U1882" s="6">
        <v>18499</v>
      </c>
      <c r="V1882" s="2">
        <v>47037015627</v>
      </c>
      <c r="W1882" s="2" t="s">
        <v>68</v>
      </c>
      <c r="X1882" s="1">
        <v>45658</v>
      </c>
      <c r="Y1882" s="2">
        <v>436500</v>
      </c>
      <c r="Z1882" s="2">
        <v>0</v>
      </c>
      <c r="AA1882" s="2">
        <v>436500</v>
      </c>
    </row>
    <row r="1883" spans="1:27" x14ac:dyDescent="0.3">
      <c r="A1883" s="3">
        <v>28</v>
      </c>
      <c r="B1883" s="2" t="str">
        <f>"14900018700"</f>
        <v>14900018700</v>
      </c>
      <c r="C1883" s="2" t="s">
        <v>6960</v>
      </c>
      <c r="D1883" t="s">
        <v>1945</v>
      </c>
      <c r="E1883" s="2" t="s">
        <v>30</v>
      </c>
      <c r="F1883" s="2">
        <v>37013</v>
      </c>
      <c r="G1883" s="2" t="s">
        <v>253</v>
      </c>
      <c r="H1883" t="s">
        <v>6961</v>
      </c>
      <c r="I1883" s="6">
        <v>24237</v>
      </c>
      <c r="J1883" s="2" t="s">
        <v>6962</v>
      </c>
      <c r="K1883" s="2" t="s">
        <v>34</v>
      </c>
      <c r="L1883" t="s">
        <v>35</v>
      </c>
      <c r="M1883" t="s">
        <v>29</v>
      </c>
      <c r="N1883" t="s">
        <v>30</v>
      </c>
      <c r="O1883">
        <v>37219</v>
      </c>
      <c r="P1883" t="s">
        <v>6963</v>
      </c>
      <c r="Q1883" s="2">
        <v>21.77</v>
      </c>
      <c r="R1883" s="2">
        <v>0</v>
      </c>
      <c r="S1883" s="2">
        <v>0</v>
      </c>
      <c r="T1883" t="s">
        <v>6962</v>
      </c>
      <c r="U1883" s="6">
        <v>24237</v>
      </c>
      <c r="V1883" s="2">
        <v>47037015627</v>
      </c>
      <c r="W1883" s="2" t="s">
        <v>68</v>
      </c>
      <c r="X1883" s="1">
        <v>45658</v>
      </c>
      <c r="Y1883" s="2">
        <v>1706700</v>
      </c>
      <c r="Z1883" s="2">
        <v>0</v>
      </c>
      <c r="AA1883" s="2">
        <v>1706700</v>
      </c>
    </row>
    <row r="1884" spans="1:27" x14ac:dyDescent="0.3">
      <c r="A1884" s="3">
        <v>28</v>
      </c>
      <c r="B1884" s="2" t="str">
        <f>"14900001600"</f>
        <v>14900001600</v>
      </c>
      <c r="C1884" s="2" t="s">
        <v>6964</v>
      </c>
      <c r="D1884" t="s">
        <v>1945</v>
      </c>
      <c r="E1884" s="2" t="s">
        <v>30</v>
      </c>
      <c r="F1884" s="2">
        <v>37013</v>
      </c>
      <c r="G1884" s="2" t="s">
        <v>64</v>
      </c>
      <c r="H1884" t="s">
        <v>6965</v>
      </c>
      <c r="I1884" s="6">
        <v>23103</v>
      </c>
      <c r="J1884" s="2" t="s">
        <v>6966</v>
      </c>
      <c r="K1884" s="2" t="s">
        <v>34</v>
      </c>
      <c r="L1884" t="s">
        <v>35</v>
      </c>
      <c r="M1884" t="s">
        <v>29</v>
      </c>
      <c r="N1884" t="s">
        <v>30</v>
      </c>
      <c r="O1884">
        <v>37219</v>
      </c>
      <c r="P1884" t="s">
        <v>6967</v>
      </c>
      <c r="Q1884" s="2">
        <v>11.4</v>
      </c>
      <c r="R1884" s="2">
        <v>0</v>
      </c>
      <c r="S1884" s="2">
        <v>0</v>
      </c>
      <c r="T1884" t="s">
        <v>6966</v>
      </c>
      <c r="U1884" s="6">
        <v>23103</v>
      </c>
      <c r="V1884" s="2">
        <v>47037015627</v>
      </c>
      <c r="W1884" s="2" t="s">
        <v>68</v>
      </c>
      <c r="X1884" s="1">
        <v>45658</v>
      </c>
      <c r="Y1884" s="2">
        <v>893700</v>
      </c>
      <c r="Z1884" s="2">
        <v>0</v>
      </c>
      <c r="AA1884" s="2">
        <v>893700</v>
      </c>
    </row>
    <row r="1885" spans="1:27" x14ac:dyDescent="0.3">
      <c r="A1885" s="3">
        <v>28</v>
      </c>
      <c r="B1885" s="2" t="str">
        <f>"13400029700"</f>
        <v>13400029700</v>
      </c>
      <c r="C1885" s="2" t="s">
        <v>6885</v>
      </c>
      <c r="D1885" t="s">
        <v>29</v>
      </c>
      <c r="E1885" s="2" t="s">
        <v>30</v>
      </c>
      <c r="F1885" s="2">
        <v>37217</v>
      </c>
      <c r="G1885" s="2" t="s">
        <v>64</v>
      </c>
      <c r="H1885" t="s">
        <v>2707</v>
      </c>
      <c r="I1885" s="6">
        <v>33721</v>
      </c>
      <c r="J1885" s="2" t="s">
        <v>6968</v>
      </c>
      <c r="K1885" s="2" t="s">
        <v>34</v>
      </c>
      <c r="L1885" t="s">
        <v>2689</v>
      </c>
      <c r="M1885" t="s">
        <v>29</v>
      </c>
      <c r="N1885" t="s">
        <v>30</v>
      </c>
      <c r="O1885">
        <v>37214</v>
      </c>
      <c r="P1885" t="s">
        <v>6969</v>
      </c>
      <c r="Q1885" s="2">
        <v>8.0299999999999994</v>
      </c>
      <c r="R1885" s="2">
        <v>0</v>
      </c>
      <c r="S1885" s="2">
        <v>0</v>
      </c>
      <c r="T1885" t="s">
        <v>3044</v>
      </c>
      <c r="U1885" s="6">
        <v>33721</v>
      </c>
      <c r="V1885" s="2">
        <v>47037015700</v>
      </c>
      <c r="W1885" s="2" t="s">
        <v>68</v>
      </c>
      <c r="X1885" s="1">
        <v>45658</v>
      </c>
      <c r="Y1885" s="2">
        <v>317300</v>
      </c>
      <c r="Z1885" s="2">
        <v>0</v>
      </c>
      <c r="AA1885" s="2">
        <v>317300</v>
      </c>
    </row>
    <row r="1886" spans="1:27" x14ac:dyDescent="0.3">
      <c r="A1886" s="3">
        <v>28</v>
      </c>
      <c r="B1886" s="2" t="str">
        <f>"13402001500"</f>
        <v>13402001500</v>
      </c>
      <c r="C1886" s="2" t="s">
        <v>6970</v>
      </c>
      <c r="D1886" t="s">
        <v>29</v>
      </c>
      <c r="E1886" s="2" t="s">
        <v>30</v>
      </c>
      <c r="F1886" s="2">
        <v>37217</v>
      </c>
      <c r="G1886" s="2" t="s">
        <v>64</v>
      </c>
      <c r="H1886" t="s">
        <v>2707</v>
      </c>
      <c r="I1886" s="6">
        <v>33298</v>
      </c>
      <c r="J1886" s="2" t="s">
        <v>6971</v>
      </c>
      <c r="K1886" s="2">
        <v>87000</v>
      </c>
      <c r="L1886" t="s">
        <v>2689</v>
      </c>
      <c r="M1886" t="s">
        <v>29</v>
      </c>
      <c r="N1886" t="s">
        <v>30</v>
      </c>
      <c r="O1886">
        <v>37214</v>
      </c>
      <c r="P1886" t="s">
        <v>6972</v>
      </c>
      <c r="Q1886" s="2">
        <v>0.89</v>
      </c>
      <c r="R1886" s="2">
        <v>113</v>
      </c>
      <c r="S1886" s="2">
        <v>350</v>
      </c>
      <c r="T1886" t="s">
        <v>6973</v>
      </c>
      <c r="U1886" s="6">
        <v>19507</v>
      </c>
      <c r="V1886" s="2">
        <v>47037015700</v>
      </c>
      <c r="W1886" s="2" t="s">
        <v>68</v>
      </c>
      <c r="X1886" s="1">
        <v>45658</v>
      </c>
      <c r="Y1886" s="2">
        <v>63400</v>
      </c>
      <c r="Z1886" s="2">
        <v>0</v>
      </c>
      <c r="AA1886" s="2">
        <v>63400</v>
      </c>
    </row>
    <row r="1887" spans="1:27" x14ac:dyDescent="0.3">
      <c r="A1887" s="3">
        <v>28</v>
      </c>
      <c r="B1887" s="2" t="str">
        <f>"13402001600"</f>
        <v>13402001600</v>
      </c>
      <c r="C1887" s="2" t="s">
        <v>6974</v>
      </c>
      <c r="D1887" t="s">
        <v>29</v>
      </c>
      <c r="E1887" s="2" t="s">
        <v>30</v>
      </c>
      <c r="F1887" s="2">
        <v>37217</v>
      </c>
      <c r="G1887" s="2" t="s">
        <v>64</v>
      </c>
      <c r="H1887" t="s">
        <v>2707</v>
      </c>
      <c r="I1887" s="6">
        <v>33191</v>
      </c>
      <c r="J1887" s="2" t="s">
        <v>6975</v>
      </c>
      <c r="K1887" s="2">
        <v>60000</v>
      </c>
      <c r="L1887" t="s">
        <v>2689</v>
      </c>
      <c r="M1887" t="s">
        <v>29</v>
      </c>
      <c r="N1887" t="s">
        <v>30</v>
      </c>
      <c r="O1887">
        <v>37214</v>
      </c>
      <c r="P1887" t="s">
        <v>6972</v>
      </c>
      <c r="Q1887" s="2">
        <v>5.68</v>
      </c>
      <c r="R1887" s="2">
        <v>0</v>
      </c>
      <c r="S1887" s="2">
        <v>0</v>
      </c>
      <c r="T1887" t="s">
        <v>6976</v>
      </c>
      <c r="U1887" s="6">
        <v>18011</v>
      </c>
      <c r="V1887" s="2">
        <v>47037015700</v>
      </c>
      <c r="W1887" s="2" t="s">
        <v>68</v>
      </c>
      <c r="X1887" s="1">
        <v>45658</v>
      </c>
      <c r="Y1887" s="2">
        <v>202900</v>
      </c>
      <c r="Z1887" s="2">
        <v>0</v>
      </c>
      <c r="AA1887" s="2">
        <v>202900</v>
      </c>
    </row>
    <row r="1888" spans="1:27" x14ac:dyDescent="0.3">
      <c r="A1888" s="3">
        <v>28</v>
      </c>
      <c r="B1888" s="2" t="str">
        <f>"13402001700"</f>
        <v>13402001700</v>
      </c>
      <c r="C1888" s="2" t="s">
        <v>6977</v>
      </c>
      <c r="D1888" t="s">
        <v>29</v>
      </c>
      <c r="E1888" s="2" t="s">
        <v>30</v>
      </c>
      <c r="F1888" s="2">
        <v>37217</v>
      </c>
      <c r="G1888" s="2" t="s">
        <v>64</v>
      </c>
      <c r="H1888" t="s">
        <v>2707</v>
      </c>
      <c r="I1888" s="6">
        <v>33191</v>
      </c>
      <c r="J1888" s="2" t="s">
        <v>6978</v>
      </c>
      <c r="K1888" s="2">
        <v>20000</v>
      </c>
      <c r="L1888" t="s">
        <v>2689</v>
      </c>
      <c r="M1888" t="s">
        <v>29</v>
      </c>
      <c r="N1888" t="s">
        <v>30</v>
      </c>
      <c r="O1888">
        <v>37214</v>
      </c>
      <c r="P1888" t="s">
        <v>6972</v>
      </c>
      <c r="Q1888" s="2">
        <v>3.78</v>
      </c>
      <c r="R1888" s="2">
        <v>0</v>
      </c>
      <c r="S1888" s="2">
        <v>0</v>
      </c>
      <c r="T1888" t="s">
        <v>6979</v>
      </c>
      <c r="U1888" s="6">
        <v>17924</v>
      </c>
      <c r="V1888" s="2">
        <v>47037015700</v>
      </c>
      <c r="W1888" s="2" t="s">
        <v>68</v>
      </c>
      <c r="X1888" s="1">
        <v>45658</v>
      </c>
      <c r="Y1888" s="2">
        <v>146200</v>
      </c>
      <c r="Z1888" s="2">
        <v>0</v>
      </c>
      <c r="AA1888" s="2">
        <v>146200</v>
      </c>
    </row>
    <row r="1889" spans="1:27" x14ac:dyDescent="0.3">
      <c r="A1889" s="3">
        <v>28</v>
      </c>
      <c r="B1889" s="2" t="str">
        <f>"13402001800"</f>
        <v>13402001800</v>
      </c>
      <c r="C1889" s="2" t="s">
        <v>6980</v>
      </c>
      <c r="D1889" t="s">
        <v>29</v>
      </c>
      <c r="E1889" s="2" t="s">
        <v>30</v>
      </c>
      <c r="F1889" s="2">
        <v>37217</v>
      </c>
      <c r="G1889" s="2" t="s">
        <v>64</v>
      </c>
      <c r="H1889" t="s">
        <v>2707</v>
      </c>
      <c r="I1889" s="6">
        <v>33207</v>
      </c>
      <c r="J1889" s="2" t="s">
        <v>6981</v>
      </c>
      <c r="K1889" s="2">
        <v>56000</v>
      </c>
      <c r="L1889" t="s">
        <v>2689</v>
      </c>
      <c r="M1889" t="s">
        <v>29</v>
      </c>
      <c r="N1889" t="s">
        <v>30</v>
      </c>
      <c r="O1889">
        <v>37214</v>
      </c>
      <c r="P1889" t="s">
        <v>6972</v>
      </c>
      <c r="Q1889" s="2">
        <v>1.92</v>
      </c>
      <c r="R1889" s="2">
        <v>0</v>
      </c>
      <c r="S1889" s="2">
        <v>0</v>
      </c>
      <c r="T1889" t="s">
        <v>6982</v>
      </c>
      <c r="U1889" s="6">
        <v>23026</v>
      </c>
      <c r="V1889" s="2">
        <v>47037015700</v>
      </c>
      <c r="W1889" s="2" t="s">
        <v>68</v>
      </c>
      <c r="X1889" s="1">
        <v>45658</v>
      </c>
      <c r="Y1889" s="2">
        <v>90800</v>
      </c>
      <c r="Z1889" s="2">
        <v>0</v>
      </c>
      <c r="AA1889" s="2">
        <v>90800</v>
      </c>
    </row>
    <row r="1890" spans="1:27" x14ac:dyDescent="0.3">
      <c r="A1890" s="3">
        <v>28</v>
      </c>
      <c r="B1890" s="2" t="str">
        <f>"13402001900"</f>
        <v>13402001900</v>
      </c>
      <c r="C1890" s="2" t="s">
        <v>6983</v>
      </c>
      <c r="D1890" t="s">
        <v>29</v>
      </c>
      <c r="E1890" s="2" t="s">
        <v>30</v>
      </c>
      <c r="F1890" s="2">
        <v>37217</v>
      </c>
      <c r="G1890" s="2" t="s">
        <v>64</v>
      </c>
      <c r="H1890" t="s">
        <v>2707</v>
      </c>
      <c r="I1890" s="6">
        <v>33134</v>
      </c>
      <c r="J1890" s="2" t="s">
        <v>6984</v>
      </c>
      <c r="K1890" s="2">
        <v>63500</v>
      </c>
      <c r="L1890" t="s">
        <v>2689</v>
      </c>
      <c r="M1890" t="s">
        <v>29</v>
      </c>
      <c r="N1890" t="s">
        <v>30</v>
      </c>
      <c r="O1890">
        <v>37214</v>
      </c>
      <c r="P1890" t="s">
        <v>6972</v>
      </c>
      <c r="Q1890" s="2">
        <v>1.92</v>
      </c>
      <c r="R1890" s="2">
        <v>0</v>
      </c>
      <c r="S1890" s="2">
        <v>0</v>
      </c>
      <c r="T1890" t="s">
        <v>6985</v>
      </c>
      <c r="U1890" s="6">
        <v>11762</v>
      </c>
      <c r="V1890" s="2">
        <v>47037015700</v>
      </c>
      <c r="W1890" s="2" t="s">
        <v>68</v>
      </c>
      <c r="X1890" s="1">
        <v>45658</v>
      </c>
      <c r="Y1890" s="2">
        <v>90800</v>
      </c>
      <c r="Z1890" s="2">
        <v>0</v>
      </c>
      <c r="AA1890" s="2">
        <v>90800</v>
      </c>
    </row>
    <row r="1891" spans="1:27" x14ac:dyDescent="0.3">
      <c r="A1891" s="3">
        <v>28</v>
      </c>
      <c r="B1891" s="2" t="str">
        <f>"13402002000"</f>
        <v>13402002000</v>
      </c>
      <c r="C1891" s="2" t="s">
        <v>6986</v>
      </c>
      <c r="D1891" t="s">
        <v>29</v>
      </c>
      <c r="E1891" s="2" t="s">
        <v>30</v>
      </c>
      <c r="F1891" s="2">
        <v>37217</v>
      </c>
      <c r="G1891" s="2" t="s">
        <v>64</v>
      </c>
      <c r="H1891" t="s">
        <v>2707</v>
      </c>
      <c r="I1891" s="6">
        <v>33333</v>
      </c>
      <c r="J1891" s="2" t="s">
        <v>6987</v>
      </c>
      <c r="K1891" s="2">
        <v>34000</v>
      </c>
      <c r="L1891" t="s">
        <v>2689</v>
      </c>
      <c r="M1891" t="s">
        <v>29</v>
      </c>
      <c r="N1891" t="s">
        <v>30</v>
      </c>
      <c r="O1891">
        <v>37214</v>
      </c>
      <c r="P1891" t="s">
        <v>6972</v>
      </c>
      <c r="Q1891" s="2">
        <v>4.2300000000000004</v>
      </c>
      <c r="R1891" s="2">
        <v>0</v>
      </c>
      <c r="S1891" s="2">
        <v>0</v>
      </c>
      <c r="T1891" t="s">
        <v>6988</v>
      </c>
      <c r="U1891" s="6">
        <v>27599</v>
      </c>
      <c r="V1891" s="2">
        <v>47037015700</v>
      </c>
      <c r="W1891" s="2" t="s">
        <v>68</v>
      </c>
      <c r="X1891" s="1">
        <v>45658</v>
      </c>
      <c r="Y1891" s="2">
        <v>159700</v>
      </c>
      <c r="Z1891" s="2">
        <v>0</v>
      </c>
      <c r="AA1891" s="2">
        <v>159700</v>
      </c>
    </row>
    <row r="1892" spans="1:27" x14ac:dyDescent="0.3">
      <c r="A1892" s="3">
        <v>28</v>
      </c>
      <c r="B1892" s="2" t="str">
        <f>"13404000100"</f>
        <v>13404000100</v>
      </c>
      <c r="C1892" s="2" t="s">
        <v>6989</v>
      </c>
      <c r="D1892" t="s">
        <v>29</v>
      </c>
      <c r="E1892" s="2" t="s">
        <v>30</v>
      </c>
      <c r="F1892" s="2">
        <v>37217</v>
      </c>
      <c r="G1892" s="2" t="s">
        <v>64</v>
      </c>
      <c r="H1892" t="s">
        <v>2707</v>
      </c>
      <c r="I1892" s="6">
        <v>33332</v>
      </c>
      <c r="J1892" s="2" t="s">
        <v>6990</v>
      </c>
      <c r="K1892" s="2">
        <v>65000</v>
      </c>
      <c r="L1892" t="s">
        <v>2689</v>
      </c>
      <c r="M1892" t="s">
        <v>29</v>
      </c>
      <c r="N1892" t="s">
        <v>30</v>
      </c>
      <c r="O1892">
        <v>37214</v>
      </c>
      <c r="P1892" t="s">
        <v>6991</v>
      </c>
      <c r="Q1892" s="2">
        <v>0.5</v>
      </c>
      <c r="R1892" s="2">
        <v>100</v>
      </c>
      <c r="S1892" s="2">
        <v>210</v>
      </c>
      <c r="T1892" t="s">
        <v>6992</v>
      </c>
      <c r="U1892" s="6">
        <v>16740</v>
      </c>
      <c r="V1892" s="2">
        <v>47037015613</v>
      </c>
      <c r="W1892" s="2" t="s">
        <v>68</v>
      </c>
      <c r="X1892" s="1">
        <v>45658</v>
      </c>
      <c r="Y1892" s="2">
        <v>106300</v>
      </c>
      <c r="Z1892" s="2">
        <v>0</v>
      </c>
      <c r="AA1892" s="2">
        <v>106300</v>
      </c>
    </row>
    <row r="1893" spans="1:27" x14ac:dyDescent="0.3">
      <c r="A1893" s="3">
        <v>28</v>
      </c>
      <c r="B1893" s="2" t="str">
        <f>"13402002100"</f>
        <v>13402002100</v>
      </c>
      <c r="C1893" s="2" t="s">
        <v>6993</v>
      </c>
      <c r="D1893" t="s">
        <v>29</v>
      </c>
      <c r="E1893" s="2" t="s">
        <v>30</v>
      </c>
      <c r="F1893" s="2">
        <v>37217</v>
      </c>
      <c r="G1893" s="2" t="s">
        <v>64</v>
      </c>
      <c r="H1893" t="s">
        <v>2707</v>
      </c>
      <c r="I1893" s="6">
        <v>33296</v>
      </c>
      <c r="J1893" s="2" t="s">
        <v>6994</v>
      </c>
      <c r="K1893" s="2">
        <v>63000</v>
      </c>
      <c r="L1893" t="s">
        <v>2689</v>
      </c>
      <c r="M1893" t="s">
        <v>29</v>
      </c>
      <c r="N1893" t="s">
        <v>30</v>
      </c>
      <c r="O1893">
        <v>37214</v>
      </c>
      <c r="P1893" t="s">
        <v>6972</v>
      </c>
      <c r="Q1893" s="2">
        <v>2.14</v>
      </c>
      <c r="R1893" s="2">
        <v>0</v>
      </c>
      <c r="S1893" s="2">
        <v>0</v>
      </c>
      <c r="T1893" t="s">
        <v>6988</v>
      </c>
      <c r="U1893" s="6">
        <v>27599</v>
      </c>
      <c r="V1893" s="2">
        <v>47037015700</v>
      </c>
      <c r="W1893" s="2" t="s">
        <v>68</v>
      </c>
      <c r="X1893" s="1">
        <v>45658</v>
      </c>
      <c r="Y1893" s="2">
        <v>97400</v>
      </c>
      <c r="Z1893" s="2">
        <v>0</v>
      </c>
      <c r="AA1893" s="2">
        <v>97400</v>
      </c>
    </row>
    <row r="1894" spans="1:27" x14ac:dyDescent="0.3">
      <c r="A1894" s="3">
        <v>28</v>
      </c>
      <c r="B1894" s="2" t="str">
        <f>"13402002200"</f>
        <v>13402002200</v>
      </c>
      <c r="C1894" s="2" t="s">
        <v>6995</v>
      </c>
      <c r="D1894" t="s">
        <v>29</v>
      </c>
      <c r="E1894" s="2" t="s">
        <v>30</v>
      </c>
      <c r="F1894" s="2">
        <v>37217</v>
      </c>
      <c r="G1894" s="2" t="s">
        <v>64</v>
      </c>
      <c r="H1894" t="s">
        <v>2707</v>
      </c>
      <c r="I1894" s="6">
        <v>32647</v>
      </c>
      <c r="J1894" s="2" t="s">
        <v>6996</v>
      </c>
      <c r="K1894" s="2">
        <v>97500</v>
      </c>
      <c r="L1894" t="s">
        <v>2689</v>
      </c>
      <c r="M1894" t="s">
        <v>29</v>
      </c>
      <c r="N1894" t="s">
        <v>30</v>
      </c>
      <c r="O1894">
        <v>37214</v>
      </c>
      <c r="P1894" t="s">
        <v>6972</v>
      </c>
      <c r="Q1894" s="2">
        <v>3.83</v>
      </c>
      <c r="R1894" s="2">
        <v>200</v>
      </c>
      <c r="S1894" s="2">
        <v>810</v>
      </c>
      <c r="T1894" t="s">
        <v>6997</v>
      </c>
      <c r="U1894" s="6">
        <v>27164</v>
      </c>
      <c r="V1894" s="2">
        <v>47037015700</v>
      </c>
      <c r="W1894" s="2" t="s">
        <v>68</v>
      </c>
      <c r="X1894" s="1">
        <v>45658</v>
      </c>
      <c r="Y1894" s="2">
        <v>147700</v>
      </c>
      <c r="Z1894" s="2">
        <v>0</v>
      </c>
      <c r="AA1894" s="2">
        <v>147700</v>
      </c>
    </row>
    <row r="1895" spans="1:27" x14ac:dyDescent="0.3">
      <c r="A1895" s="3">
        <v>28</v>
      </c>
      <c r="B1895" s="2" t="str">
        <f>"13402002300"</f>
        <v>13402002300</v>
      </c>
      <c r="C1895" s="2" t="s">
        <v>6998</v>
      </c>
      <c r="D1895" t="s">
        <v>29</v>
      </c>
      <c r="E1895" s="2" t="s">
        <v>30</v>
      </c>
      <c r="F1895" s="2">
        <v>37217</v>
      </c>
      <c r="G1895" s="2" t="s">
        <v>64</v>
      </c>
      <c r="H1895" t="s">
        <v>2707</v>
      </c>
      <c r="I1895" s="6">
        <v>32626</v>
      </c>
      <c r="J1895" s="2" t="s">
        <v>6999</v>
      </c>
      <c r="K1895" s="2" t="s">
        <v>34</v>
      </c>
      <c r="L1895" t="s">
        <v>2689</v>
      </c>
      <c r="M1895" t="s">
        <v>29</v>
      </c>
      <c r="N1895" t="s">
        <v>30</v>
      </c>
      <c r="O1895">
        <v>37214</v>
      </c>
      <c r="P1895" t="s">
        <v>6972</v>
      </c>
      <c r="Q1895" s="2">
        <v>0.82</v>
      </c>
      <c r="R1895" s="2">
        <v>100</v>
      </c>
      <c r="S1895" s="2">
        <v>363</v>
      </c>
      <c r="T1895" t="s">
        <v>7000</v>
      </c>
      <c r="U1895" s="6">
        <v>18021</v>
      </c>
      <c r="V1895" s="2">
        <v>47037015700</v>
      </c>
      <c r="W1895" s="2" t="s">
        <v>68</v>
      </c>
      <c r="X1895" s="1">
        <v>45658</v>
      </c>
      <c r="Y1895" s="2">
        <v>63400</v>
      </c>
      <c r="Z1895" s="2">
        <v>0</v>
      </c>
      <c r="AA1895" s="2">
        <v>63400</v>
      </c>
    </row>
    <row r="1896" spans="1:27" x14ac:dyDescent="0.3">
      <c r="A1896" s="3">
        <v>28</v>
      </c>
      <c r="B1896" s="2" t="str">
        <f>"13402002400"</f>
        <v>13402002400</v>
      </c>
      <c r="C1896" s="2" t="s">
        <v>7001</v>
      </c>
      <c r="D1896" t="s">
        <v>29</v>
      </c>
      <c r="E1896" s="2" t="s">
        <v>30</v>
      </c>
      <c r="F1896" s="2">
        <v>37217</v>
      </c>
      <c r="G1896" s="2" t="s">
        <v>64</v>
      </c>
      <c r="H1896" t="s">
        <v>2707</v>
      </c>
      <c r="I1896" s="6">
        <v>32535</v>
      </c>
      <c r="J1896" s="2" t="s">
        <v>7002</v>
      </c>
      <c r="K1896" s="2">
        <v>57500</v>
      </c>
      <c r="L1896" t="s">
        <v>2689</v>
      </c>
      <c r="M1896" t="s">
        <v>29</v>
      </c>
      <c r="N1896" t="s">
        <v>30</v>
      </c>
      <c r="O1896">
        <v>37214</v>
      </c>
      <c r="P1896" t="s">
        <v>6972</v>
      </c>
      <c r="Q1896" s="2">
        <v>0.86</v>
      </c>
      <c r="R1896" s="2">
        <v>75</v>
      </c>
      <c r="S1896" s="2">
        <v>363</v>
      </c>
      <c r="T1896" t="s">
        <v>3044</v>
      </c>
      <c r="U1896" s="6">
        <v>33721</v>
      </c>
      <c r="V1896" s="2">
        <v>47037015700</v>
      </c>
      <c r="W1896" s="2" t="s">
        <v>68</v>
      </c>
      <c r="X1896" s="1">
        <v>45658</v>
      </c>
      <c r="Y1896" s="2">
        <v>63400</v>
      </c>
      <c r="Z1896" s="2">
        <v>0</v>
      </c>
      <c r="AA1896" s="2">
        <v>63400</v>
      </c>
    </row>
    <row r="1897" spans="1:27" x14ac:dyDescent="0.3">
      <c r="A1897" s="3">
        <v>28</v>
      </c>
      <c r="B1897" s="2" t="str">
        <f>"13404000200"</f>
        <v>13404000200</v>
      </c>
      <c r="C1897" s="2" t="s">
        <v>7003</v>
      </c>
      <c r="D1897" t="s">
        <v>29</v>
      </c>
      <c r="E1897" s="2" t="s">
        <v>30</v>
      </c>
      <c r="F1897" s="2">
        <v>37217</v>
      </c>
      <c r="G1897" s="2" t="s">
        <v>77</v>
      </c>
      <c r="H1897" t="s">
        <v>2707</v>
      </c>
      <c r="I1897" s="6">
        <v>33319</v>
      </c>
      <c r="J1897" s="2" t="s">
        <v>7004</v>
      </c>
      <c r="K1897" s="2">
        <v>77000</v>
      </c>
      <c r="L1897" t="s">
        <v>2689</v>
      </c>
      <c r="M1897" t="s">
        <v>29</v>
      </c>
      <c r="N1897" t="s">
        <v>30</v>
      </c>
      <c r="O1897">
        <v>37214</v>
      </c>
      <c r="P1897" t="s">
        <v>7005</v>
      </c>
      <c r="Q1897" s="2">
        <v>0.5</v>
      </c>
      <c r="R1897" s="2">
        <v>100</v>
      </c>
      <c r="S1897" s="2">
        <v>206</v>
      </c>
      <c r="T1897" t="s">
        <v>7006</v>
      </c>
      <c r="U1897" s="6">
        <v>16266</v>
      </c>
      <c r="V1897" s="2">
        <v>47037015613</v>
      </c>
      <c r="W1897" s="2" t="s">
        <v>68</v>
      </c>
      <c r="X1897" s="1">
        <v>45658</v>
      </c>
      <c r="Y1897" s="2">
        <v>129500</v>
      </c>
      <c r="Z1897" s="2">
        <v>23200</v>
      </c>
      <c r="AA1897" s="2">
        <v>106300</v>
      </c>
    </row>
    <row r="1898" spans="1:27" x14ac:dyDescent="0.3">
      <c r="A1898" s="3">
        <v>28</v>
      </c>
      <c r="B1898" s="2" t="str">
        <f>"13404000300"</f>
        <v>13404000300</v>
      </c>
      <c r="C1898" s="2" t="s">
        <v>7007</v>
      </c>
      <c r="D1898" t="s">
        <v>29</v>
      </c>
      <c r="E1898" s="2" t="s">
        <v>30</v>
      </c>
      <c r="F1898" s="2">
        <v>37217</v>
      </c>
      <c r="G1898" s="2" t="s">
        <v>64</v>
      </c>
      <c r="H1898" t="s">
        <v>2707</v>
      </c>
      <c r="I1898" s="6">
        <v>33312</v>
      </c>
      <c r="J1898" s="2" t="s">
        <v>7008</v>
      </c>
      <c r="K1898" s="2">
        <v>80500</v>
      </c>
      <c r="L1898" t="s">
        <v>2689</v>
      </c>
      <c r="M1898" t="s">
        <v>29</v>
      </c>
      <c r="N1898" t="s">
        <v>30</v>
      </c>
      <c r="O1898">
        <v>37214</v>
      </c>
      <c r="P1898" t="s">
        <v>7009</v>
      </c>
      <c r="Q1898" s="2">
        <v>0.5</v>
      </c>
      <c r="R1898" s="2">
        <v>100</v>
      </c>
      <c r="S1898" s="2">
        <v>204</v>
      </c>
      <c r="T1898" t="s">
        <v>7010</v>
      </c>
      <c r="U1898" s="6">
        <v>20454</v>
      </c>
      <c r="V1898" s="2">
        <v>47037015613</v>
      </c>
      <c r="W1898" s="2" t="s">
        <v>68</v>
      </c>
      <c r="X1898" s="1">
        <v>45658</v>
      </c>
      <c r="Y1898" s="2">
        <v>106300</v>
      </c>
      <c r="Z1898" s="2">
        <v>0</v>
      </c>
      <c r="AA1898" s="2">
        <v>106300</v>
      </c>
    </row>
    <row r="1899" spans="1:27" x14ac:dyDescent="0.3">
      <c r="A1899" s="3">
        <v>28</v>
      </c>
      <c r="B1899" s="2" t="str">
        <f>"13404000400"</f>
        <v>13404000400</v>
      </c>
      <c r="C1899" s="2" t="s">
        <v>7011</v>
      </c>
      <c r="D1899" t="s">
        <v>29</v>
      </c>
      <c r="E1899" s="2" t="s">
        <v>30</v>
      </c>
      <c r="F1899" s="2">
        <v>37217</v>
      </c>
      <c r="G1899" s="2" t="s">
        <v>64</v>
      </c>
      <c r="H1899" t="s">
        <v>2707</v>
      </c>
      <c r="I1899" s="6">
        <v>33501</v>
      </c>
      <c r="J1899" s="2" t="s">
        <v>7012</v>
      </c>
      <c r="K1899" s="2">
        <v>105000</v>
      </c>
      <c r="L1899" t="s">
        <v>2689</v>
      </c>
      <c r="M1899" t="s">
        <v>29</v>
      </c>
      <c r="N1899" t="s">
        <v>30</v>
      </c>
      <c r="O1899">
        <v>37214</v>
      </c>
      <c r="P1899" t="s">
        <v>7013</v>
      </c>
      <c r="Q1899" s="2">
        <v>0.43</v>
      </c>
      <c r="R1899" s="2">
        <v>100</v>
      </c>
      <c r="S1899" s="2">
        <v>204</v>
      </c>
      <c r="T1899" t="s">
        <v>7014</v>
      </c>
      <c r="U1899" s="6">
        <v>20454</v>
      </c>
      <c r="V1899" s="2">
        <v>47037015613</v>
      </c>
      <c r="W1899" s="2" t="s">
        <v>68</v>
      </c>
      <c r="X1899" s="1">
        <v>45658</v>
      </c>
      <c r="Y1899" s="2">
        <v>85000</v>
      </c>
      <c r="Z1899" s="2">
        <v>0</v>
      </c>
      <c r="AA1899" s="2">
        <v>85000</v>
      </c>
    </row>
    <row r="1900" spans="1:27" x14ac:dyDescent="0.3">
      <c r="A1900" s="3">
        <v>28</v>
      </c>
      <c r="B1900" s="2" t="str">
        <f>"13404000500"</f>
        <v>13404000500</v>
      </c>
      <c r="C1900" s="2" t="s">
        <v>7015</v>
      </c>
      <c r="D1900" t="s">
        <v>29</v>
      </c>
      <c r="E1900" s="2" t="s">
        <v>30</v>
      </c>
      <c r="F1900" s="2">
        <v>37217</v>
      </c>
      <c r="G1900" s="2" t="s">
        <v>64</v>
      </c>
      <c r="H1900" t="s">
        <v>2707</v>
      </c>
      <c r="I1900" s="6">
        <v>33431</v>
      </c>
      <c r="J1900" s="2" t="s">
        <v>7016</v>
      </c>
      <c r="K1900" s="2" t="s">
        <v>34</v>
      </c>
      <c r="L1900" t="s">
        <v>2689</v>
      </c>
      <c r="M1900" t="s">
        <v>29</v>
      </c>
      <c r="N1900" t="s">
        <v>30</v>
      </c>
      <c r="O1900">
        <v>37214</v>
      </c>
      <c r="P1900" t="s">
        <v>7017</v>
      </c>
      <c r="Q1900" s="2">
        <v>0.41</v>
      </c>
      <c r="R1900" s="2">
        <v>100</v>
      </c>
      <c r="S1900" s="2">
        <v>188</v>
      </c>
      <c r="T1900" t="s">
        <v>7018</v>
      </c>
      <c r="U1900" s="6">
        <v>24310</v>
      </c>
      <c r="V1900" s="2">
        <v>47037015613</v>
      </c>
      <c r="W1900" s="2" t="s">
        <v>68</v>
      </c>
      <c r="X1900" s="1">
        <v>45658</v>
      </c>
      <c r="Y1900" s="2">
        <v>85000</v>
      </c>
      <c r="Z1900" s="2">
        <v>0</v>
      </c>
      <c r="AA1900" s="2">
        <v>85000</v>
      </c>
    </row>
    <row r="1901" spans="1:27" x14ac:dyDescent="0.3">
      <c r="A1901" s="3">
        <v>28</v>
      </c>
      <c r="B1901" s="2" t="str">
        <f>"13404000600"</f>
        <v>13404000600</v>
      </c>
      <c r="C1901" s="2" t="s">
        <v>7019</v>
      </c>
      <c r="D1901" t="s">
        <v>29</v>
      </c>
      <c r="E1901" s="2" t="s">
        <v>30</v>
      </c>
      <c r="F1901" s="2">
        <v>37217</v>
      </c>
      <c r="G1901" s="2" t="s">
        <v>64</v>
      </c>
      <c r="H1901" t="s">
        <v>2707</v>
      </c>
      <c r="I1901" s="6">
        <v>33318</v>
      </c>
      <c r="J1901" s="2" t="s">
        <v>7020</v>
      </c>
      <c r="K1901" s="2">
        <v>56000</v>
      </c>
      <c r="L1901" t="s">
        <v>2689</v>
      </c>
      <c r="M1901" t="s">
        <v>29</v>
      </c>
      <c r="N1901" t="s">
        <v>30</v>
      </c>
      <c r="O1901">
        <v>37214</v>
      </c>
      <c r="P1901" t="s">
        <v>7021</v>
      </c>
      <c r="Q1901" s="2">
        <v>0.28000000000000003</v>
      </c>
      <c r="R1901" s="2">
        <v>74</v>
      </c>
      <c r="S1901" s="2">
        <v>187</v>
      </c>
      <c r="T1901" t="s">
        <v>7022</v>
      </c>
      <c r="U1901" s="6">
        <v>23470</v>
      </c>
      <c r="V1901" s="2">
        <v>47037015613</v>
      </c>
      <c r="W1901" s="2" t="s">
        <v>68</v>
      </c>
      <c r="X1901" s="1">
        <v>45658</v>
      </c>
      <c r="Y1901" s="2">
        <v>85000</v>
      </c>
      <c r="Z1901" s="2">
        <v>0</v>
      </c>
      <c r="AA1901" s="2">
        <v>85000</v>
      </c>
    </row>
    <row r="1902" spans="1:27" x14ac:dyDescent="0.3">
      <c r="A1902" s="3">
        <v>28</v>
      </c>
      <c r="B1902" s="2" t="str">
        <f>"13404000700"</f>
        <v>13404000700</v>
      </c>
      <c r="C1902" s="2" t="s">
        <v>7023</v>
      </c>
      <c r="D1902" t="s">
        <v>29</v>
      </c>
      <c r="E1902" s="2" t="s">
        <v>30</v>
      </c>
      <c r="F1902" s="2">
        <v>37217</v>
      </c>
      <c r="G1902" s="2" t="s">
        <v>64</v>
      </c>
      <c r="H1902" t="s">
        <v>2707</v>
      </c>
      <c r="I1902" s="6">
        <v>33451</v>
      </c>
      <c r="J1902" s="2" t="s">
        <v>7024</v>
      </c>
      <c r="K1902" s="2">
        <v>55000</v>
      </c>
      <c r="L1902" t="s">
        <v>2689</v>
      </c>
      <c r="M1902" t="s">
        <v>29</v>
      </c>
      <c r="N1902" t="s">
        <v>30</v>
      </c>
      <c r="O1902">
        <v>37214</v>
      </c>
      <c r="P1902" t="s">
        <v>7025</v>
      </c>
      <c r="Q1902" s="2">
        <v>0.28999999999999998</v>
      </c>
      <c r="R1902" s="2">
        <v>69</v>
      </c>
      <c r="S1902" s="2">
        <v>186</v>
      </c>
      <c r="T1902" t="s">
        <v>7026</v>
      </c>
      <c r="U1902" s="6">
        <v>24633</v>
      </c>
      <c r="V1902" s="2">
        <v>47037015613</v>
      </c>
      <c r="W1902" s="2" t="s">
        <v>68</v>
      </c>
      <c r="X1902" s="1">
        <v>45658</v>
      </c>
      <c r="Y1902" s="2">
        <v>85000</v>
      </c>
      <c r="Z1902" s="2">
        <v>0</v>
      </c>
      <c r="AA1902" s="2">
        <v>85000</v>
      </c>
    </row>
    <row r="1903" spans="1:27" x14ac:dyDescent="0.3">
      <c r="A1903" s="3">
        <v>28</v>
      </c>
      <c r="B1903" s="2" t="str">
        <f>"13404000800"</f>
        <v>13404000800</v>
      </c>
      <c r="C1903" s="2" t="s">
        <v>7027</v>
      </c>
      <c r="D1903" t="s">
        <v>29</v>
      </c>
      <c r="E1903" s="2" t="s">
        <v>30</v>
      </c>
      <c r="F1903" s="2">
        <v>37217</v>
      </c>
      <c r="G1903" s="2" t="s">
        <v>64</v>
      </c>
      <c r="H1903" t="s">
        <v>2707</v>
      </c>
      <c r="I1903" s="6">
        <v>33394</v>
      </c>
      <c r="J1903" s="2" t="s">
        <v>7028</v>
      </c>
      <c r="K1903" s="2">
        <v>60000</v>
      </c>
      <c r="L1903" t="s">
        <v>2689</v>
      </c>
      <c r="M1903" t="s">
        <v>29</v>
      </c>
      <c r="N1903" t="s">
        <v>30</v>
      </c>
      <c r="O1903">
        <v>37214</v>
      </c>
      <c r="P1903" t="s">
        <v>7029</v>
      </c>
      <c r="Q1903" s="2">
        <v>0.28999999999999998</v>
      </c>
      <c r="R1903" s="2">
        <v>69</v>
      </c>
      <c r="S1903" s="2">
        <v>184</v>
      </c>
      <c r="T1903" t="s">
        <v>7030</v>
      </c>
      <c r="U1903" s="6">
        <v>26609</v>
      </c>
      <c r="V1903" s="2">
        <v>47037015613</v>
      </c>
      <c r="W1903" s="2" t="s">
        <v>68</v>
      </c>
      <c r="X1903" s="1">
        <v>45658</v>
      </c>
      <c r="Y1903" s="2">
        <v>85000</v>
      </c>
      <c r="Z1903" s="2">
        <v>0</v>
      </c>
      <c r="AA1903" s="2">
        <v>85000</v>
      </c>
    </row>
    <row r="1904" spans="1:27" x14ac:dyDescent="0.3">
      <c r="A1904" s="3">
        <v>28</v>
      </c>
      <c r="B1904" s="2" t="str">
        <f>"13404002600"</f>
        <v>13404002600</v>
      </c>
      <c r="C1904" s="2" t="s">
        <v>7031</v>
      </c>
      <c r="D1904" t="s">
        <v>29</v>
      </c>
      <c r="E1904" s="2" t="s">
        <v>30</v>
      </c>
      <c r="F1904" s="2">
        <v>37217</v>
      </c>
      <c r="G1904" s="2" t="s">
        <v>64</v>
      </c>
      <c r="H1904" t="s">
        <v>2707</v>
      </c>
      <c r="I1904" s="6">
        <v>33393</v>
      </c>
      <c r="J1904" s="2" t="s">
        <v>7032</v>
      </c>
      <c r="K1904" s="2">
        <v>92000</v>
      </c>
      <c r="L1904" t="s">
        <v>2689</v>
      </c>
      <c r="M1904" t="s">
        <v>29</v>
      </c>
      <c r="N1904" t="s">
        <v>30</v>
      </c>
      <c r="O1904">
        <v>37214</v>
      </c>
      <c r="P1904" t="s">
        <v>7033</v>
      </c>
      <c r="Q1904" s="2">
        <v>0.84</v>
      </c>
      <c r="R1904" s="2">
        <v>27</v>
      </c>
      <c r="S1904" s="2">
        <v>243</v>
      </c>
      <c r="T1904" t="s">
        <v>7034</v>
      </c>
      <c r="U1904" s="6">
        <v>24378</v>
      </c>
      <c r="V1904" s="2">
        <v>47037015613</v>
      </c>
      <c r="W1904" s="2" t="s">
        <v>68</v>
      </c>
      <c r="X1904" s="1">
        <v>45658</v>
      </c>
      <c r="Y1904" s="2">
        <v>106300</v>
      </c>
      <c r="Z1904" s="2">
        <v>0</v>
      </c>
      <c r="AA1904" s="2">
        <v>106300</v>
      </c>
    </row>
    <row r="1905" spans="1:27" x14ac:dyDescent="0.3">
      <c r="A1905" s="3">
        <v>28</v>
      </c>
      <c r="B1905" s="2" t="str">
        <f>"13404002700"</f>
        <v>13404002700</v>
      </c>
      <c r="C1905" s="2" t="s">
        <v>7035</v>
      </c>
      <c r="D1905" t="s">
        <v>29</v>
      </c>
      <c r="E1905" s="2" t="s">
        <v>30</v>
      </c>
      <c r="F1905" s="2">
        <v>37217</v>
      </c>
      <c r="G1905" s="2" t="s">
        <v>64</v>
      </c>
      <c r="H1905" t="s">
        <v>2707</v>
      </c>
      <c r="I1905" s="6">
        <v>33731</v>
      </c>
      <c r="J1905" s="2" t="s">
        <v>7036</v>
      </c>
      <c r="K1905" s="2" t="s">
        <v>34</v>
      </c>
      <c r="L1905" t="s">
        <v>2689</v>
      </c>
      <c r="M1905" t="s">
        <v>29</v>
      </c>
      <c r="N1905" t="s">
        <v>30</v>
      </c>
      <c r="O1905">
        <v>37214</v>
      </c>
      <c r="P1905" t="s">
        <v>7037</v>
      </c>
      <c r="Q1905" s="2">
        <v>0.62</v>
      </c>
      <c r="R1905" s="2">
        <v>23</v>
      </c>
      <c r="S1905" s="2">
        <v>280</v>
      </c>
      <c r="T1905" t="s">
        <v>7038</v>
      </c>
      <c r="U1905" s="6">
        <v>23172</v>
      </c>
      <c r="V1905" s="2">
        <v>47037015613</v>
      </c>
      <c r="W1905" s="2" t="s">
        <v>68</v>
      </c>
      <c r="X1905" s="1">
        <v>45658</v>
      </c>
      <c r="Y1905" s="2">
        <v>106300</v>
      </c>
      <c r="Z1905" s="2">
        <v>0</v>
      </c>
      <c r="AA1905" s="2">
        <v>106300</v>
      </c>
    </row>
    <row r="1906" spans="1:27" x14ac:dyDescent="0.3">
      <c r="A1906" s="3">
        <v>28</v>
      </c>
      <c r="B1906" s="2" t="str">
        <f>"13404000900"</f>
        <v>13404000900</v>
      </c>
      <c r="C1906" s="2" t="s">
        <v>7039</v>
      </c>
      <c r="D1906" t="s">
        <v>29</v>
      </c>
      <c r="E1906" s="2" t="s">
        <v>30</v>
      </c>
      <c r="F1906" s="2">
        <v>37217</v>
      </c>
      <c r="G1906" s="2" t="s">
        <v>64</v>
      </c>
      <c r="H1906" t="s">
        <v>2707</v>
      </c>
      <c r="I1906" s="6">
        <v>33339</v>
      </c>
      <c r="J1906" s="2" t="s">
        <v>7040</v>
      </c>
      <c r="K1906" s="2">
        <v>61000</v>
      </c>
      <c r="L1906" t="s">
        <v>2689</v>
      </c>
      <c r="M1906" t="s">
        <v>29</v>
      </c>
      <c r="N1906" t="s">
        <v>30</v>
      </c>
      <c r="O1906">
        <v>37214</v>
      </c>
      <c r="P1906" t="s">
        <v>7041</v>
      </c>
      <c r="Q1906" s="2">
        <v>0.28999999999999998</v>
      </c>
      <c r="R1906" s="2">
        <v>69</v>
      </c>
      <c r="S1906" s="2">
        <v>183</v>
      </c>
      <c r="T1906" t="s">
        <v>7042</v>
      </c>
      <c r="U1906" s="6">
        <v>21565</v>
      </c>
      <c r="V1906" s="2">
        <v>47037015613</v>
      </c>
      <c r="W1906" s="2" t="s">
        <v>68</v>
      </c>
      <c r="X1906" s="1">
        <v>45658</v>
      </c>
      <c r="Y1906" s="2">
        <v>85000</v>
      </c>
      <c r="Z1906" s="2">
        <v>0</v>
      </c>
      <c r="AA1906" s="2">
        <v>85000</v>
      </c>
    </row>
    <row r="1907" spans="1:27" x14ac:dyDescent="0.3">
      <c r="A1907" s="3">
        <v>28</v>
      </c>
      <c r="B1907" s="2" t="str">
        <f>"13501000300"</f>
        <v>13501000300</v>
      </c>
      <c r="C1907" s="2" t="s">
        <v>7043</v>
      </c>
      <c r="D1907" t="s">
        <v>29</v>
      </c>
      <c r="E1907" s="2" t="s">
        <v>30</v>
      </c>
      <c r="F1907" s="2">
        <v>37217</v>
      </c>
      <c r="G1907" s="2" t="s">
        <v>64</v>
      </c>
      <c r="H1907" t="s">
        <v>2707</v>
      </c>
      <c r="I1907" s="6">
        <v>33331</v>
      </c>
      <c r="J1907" s="2" t="s">
        <v>7044</v>
      </c>
      <c r="K1907" s="2">
        <v>61000</v>
      </c>
      <c r="L1907" t="s">
        <v>2689</v>
      </c>
      <c r="M1907" t="s">
        <v>29</v>
      </c>
      <c r="N1907" t="s">
        <v>30</v>
      </c>
      <c r="O1907">
        <v>37214</v>
      </c>
      <c r="P1907" t="s">
        <v>7045</v>
      </c>
      <c r="Q1907" s="2">
        <v>0.28999999999999998</v>
      </c>
      <c r="R1907" s="2">
        <v>69</v>
      </c>
      <c r="S1907" s="2">
        <v>165</v>
      </c>
      <c r="T1907" t="s">
        <v>7046</v>
      </c>
      <c r="U1907" s="6">
        <v>27096</v>
      </c>
      <c r="V1907" s="2">
        <v>47037015613</v>
      </c>
      <c r="W1907" s="2" t="s">
        <v>68</v>
      </c>
      <c r="X1907" s="1">
        <v>45658</v>
      </c>
      <c r="Y1907" s="2">
        <v>85000</v>
      </c>
      <c r="Z1907" s="2">
        <v>0</v>
      </c>
      <c r="AA1907" s="2">
        <v>85000</v>
      </c>
    </row>
    <row r="1908" spans="1:27" x14ac:dyDescent="0.3">
      <c r="A1908" s="3">
        <v>28</v>
      </c>
      <c r="B1908" s="2" t="str">
        <f>"13404001000"</f>
        <v>13404001000</v>
      </c>
      <c r="C1908" s="2" t="s">
        <v>7047</v>
      </c>
      <c r="D1908" t="s">
        <v>29</v>
      </c>
      <c r="E1908" s="2" t="s">
        <v>30</v>
      </c>
      <c r="F1908" s="2">
        <v>37217</v>
      </c>
      <c r="G1908" s="2" t="s">
        <v>64</v>
      </c>
      <c r="H1908" t="s">
        <v>2707</v>
      </c>
      <c r="I1908" s="6">
        <v>33414</v>
      </c>
      <c r="J1908" s="2" t="s">
        <v>7048</v>
      </c>
      <c r="K1908" s="2">
        <v>66000</v>
      </c>
      <c r="L1908" t="s">
        <v>2689</v>
      </c>
      <c r="M1908" t="s">
        <v>29</v>
      </c>
      <c r="N1908" t="s">
        <v>30</v>
      </c>
      <c r="O1908">
        <v>37214</v>
      </c>
      <c r="P1908" t="s">
        <v>7049</v>
      </c>
      <c r="Q1908" s="2">
        <v>0.28999999999999998</v>
      </c>
      <c r="R1908" s="2">
        <v>69</v>
      </c>
      <c r="S1908" s="2">
        <v>182</v>
      </c>
      <c r="T1908" t="s">
        <v>7050</v>
      </c>
      <c r="U1908" s="6">
        <v>25394</v>
      </c>
      <c r="V1908" s="2">
        <v>47037015613</v>
      </c>
      <c r="W1908" s="2" t="s">
        <v>68</v>
      </c>
      <c r="X1908" s="1">
        <v>45658</v>
      </c>
      <c r="Y1908" s="2">
        <v>85000</v>
      </c>
      <c r="Z1908" s="2">
        <v>0</v>
      </c>
      <c r="AA1908" s="2">
        <v>85000</v>
      </c>
    </row>
    <row r="1909" spans="1:27" x14ac:dyDescent="0.3">
      <c r="A1909" s="3">
        <v>28</v>
      </c>
      <c r="B1909" s="2" t="str">
        <f>"13402005100"</f>
        <v>13402005100</v>
      </c>
      <c r="C1909" s="2" t="s">
        <v>7051</v>
      </c>
      <c r="D1909" t="s">
        <v>29</v>
      </c>
      <c r="E1909" s="2" t="s">
        <v>30</v>
      </c>
      <c r="F1909" s="2">
        <v>37217</v>
      </c>
      <c r="G1909" s="2" t="s">
        <v>2543</v>
      </c>
      <c r="H1909" t="s">
        <v>2707</v>
      </c>
      <c r="I1909" s="6">
        <v>33135</v>
      </c>
      <c r="J1909" s="2" t="s">
        <v>7052</v>
      </c>
      <c r="K1909" s="2">
        <v>74000</v>
      </c>
      <c r="L1909" t="s">
        <v>2689</v>
      </c>
      <c r="M1909" t="s">
        <v>29</v>
      </c>
      <c r="N1909" t="s">
        <v>30</v>
      </c>
      <c r="O1909">
        <v>37214</v>
      </c>
      <c r="P1909" t="s">
        <v>7053</v>
      </c>
      <c r="Q1909" s="2">
        <v>1.34</v>
      </c>
      <c r="R1909" s="2">
        <v>140</v>
      </c>
      <c r="S1909" s="2">
        <v>0</v>
      </c>
      <c r="T1909" t="s">
        <v>3044</v>
      </c>
      <c r="U1909" s="6">
        <v>33721</v>
      </c>
      <c r="V1909" s="2">
        <v>47037015700</v>
      </c>
      <c r="W1909" s="2" t="s">
        <v>68</v>
      </c>
      <c r="X1909" s="1">
        <v>45658</v>
      </c>
      <c r="Y1909" s="2">
        <v>76900</v>
      </c>
      <c r="Z1909" s="2">
        <v>0</v>
      </c>
      <c r="AA1909" s="2">
        <v>76900</v>
      </c>
    </row>
    <row r="1910" spans="1:27" x14ac:dyDescent="0.3">
      <c r="A1910" s="3">
        <v>28</v>
      </c>
      <c r="B1910" s="2" t="str">
        <f>"13501000200"</f>
        <v>13501000200</v>
      </c>
      <c r="C1910" s="2" t="s">
        <v>7054</v>
      </c>
      <c r="D1910" t="s">
        <v>29</v>
      </c>
      <c r="E1910" s="2" t="s">
        <v>30</v>
      </c>
      <c r="F1910" s="2">
        <v>37217</v>
      </c>
      <c r="G1910" s="2" t="s">
        <v>64</v>
      </c>
      <c r="H1910" t="s">
        <v>2707</v>
      </c>
      <c r="I1910" s="6">
        <v>33427</v>
      </c>
      <c r="J1910" s="2" t="s">
        <v>7055</v>
      </c>
      <c r="K1910" s="2">
        <v>77500</v>
      </c>
      <c r="L1910" t="s">
        <v>2689</v>
      </c>
      <c r="M1910" t="s">
        <v>29</v>
      </c>
      <c r="N1910" t="s">
        <v>30</v>
      </c>
      <c r="O1910">
        <v>37214</v>
      </c>
      <c r="P1910" t="s">
        <v>7056</v>
      </c>
      <c r="Q1910" s="2">
        <v>0.25</v>
      </c>
      <c r="R1910" s="2">
        <v>71</v>
      </c>
      <c r="S1910" s="2">
        <v>153</v>
      </c>
      <c r="T1910" t="s">
        <v>7057</v>
      </c>
      <c r="U1910" s="6">
        <v>24985</v>
      </c>
      <c r="V1910" s="2">
        <v>47037015613</v>
      </c>
      <c r="W1910" s="2" t="s">
        <v>68</v>
      </c>
      <c r="X1910" s="1">
        <v>45658</v>
      </c>
      <c r="Y1910" s="2">
        <v>85000</v>
      </c>
      <c r="Z1910" s="2">
        <v>0</v>
      </c>
      <c r="AA1910" s="2">
        <v>85000</v>
      </c>
    </row>
    <row r="1911" spans="1:27" x14ac:dyDescent="0.3">
      <c r="A1911" s="3">
        <v>28</v>
      </c>
      <c r="B1911" s="2" t="str">
        <f>"13404001100"</f>
        <v>13404001100</v>
      </c>
      <c r="C1911" s="2" t="s">
        <v>7058</v>
      </c>
      <c r="D1911" t="s">
        <v>29</v>
      </c>
      <c r="E1911" s="2" t="s">
        <v>30</v>
      </c>
      <c r="F1911" s="2">
        <v>37217</v>
      </c>
      <c r="G1911" s="2" t="s">
        <v>64</v>
      </c>
      <c r="H1911" t="s">
        <v>2707</v>
      </c>
      <c r="I1911" s="6">
        <v>33448</v>
      </c>
      <c r="J1911" s="2" t="s">
        <v>7059</v>
      </c>
      <c r="K1911" s="2">
        <v>53000</v>
      </c>
      <c r="L1911" t="s">
        <v>2689</v>
      </c>
      <c r="M1911" t="s">
        <v>29</v>
      </c>
      <c r="N1911" t="s">
        <v>30</v>
      </c>
      <c r="O1911">
        <v>37214</v>
      </c>
      <c r="P1911" t="s">
        <v>7060</v>
      </c>
      <c r="Q1911" s="2">
        <v>0.32</v>
      </c>
      <c r="R1911" s="2">
        <v>70</v>
      </c>
      <c r="S1911" s="2">
        <v>182</v>
      </c>
      <c r="T1911" t="s">
        <v>7061</v>
      </c>
      <c r="U1911" s="6">
        <v>21247</v>
      </c>
      <c r="V1911" s="2">
        <v>47037015613</v>
      </c>
      <c r="W1911" s="2" t="s">
        <v>68</v>
      </c>
      <c r="X1911" s="1">
        <v>45658</v>
      </c>
      <c r="Y1911" s="2">
        <v>85000</v>
      </c>
      <c r="Z1911" s="2">
        <v>0</v>
      </c>
      <c r="AA1911" s="2">
        <v>85000</v>
      </c>
    </row>
    <row r="1912" spans="1:27" x14ac:dyDescent="0.3">
      <c r="A1912" s="3">
        <v>28</v>
      </c>
      <c r="B1912" s="2" t="str">
        <f>"13501001300"</f>
        <v>13501001300</v>
      </c>
      <c r="C1912" s="2" t="s">
        <v>7062</v>
      </c>
      <c r="D1912" t="s">
        <v>29</v>
      </c>
      <c r="E1912" s="2" t="s">
        <v>30</v>
      </c>
      <c r="F1912" s="2">
        <v>37217</v>
      </c>
      <c r="G1912" s="2" t="s">
        <v>64</v>
      </c>
      <c r="H1912" t="s">
        <v>2707</v>
      </c>
      <c r="I1912" s="6">
        <v>33346</v>
      </c>
      <c r="J1912" s="2" t="s">
        <v>7063</v>
      </c>
      <c r="K1912" s="2">
        <v>71000</v>
      </c>
      <c r="L1912" t="s">
        <v>2689</v>
      </c>
      <c r="M1912" t="s">
        <v>29</v>
      </c>
      <c r="N1912" t="s">
        <v>30</v>
      </c>
      <c r="O1912">
        <v>37214</v>
      </c>
      <c r="P1912" t="s">
        <v>7064</v>
      </c>
      <c r="Q1912" s="2">
        <v>0.5</v>
      </c>
      <c r="R1912" s="2">
        <v>74</v>
      </c>
      <c r="S1912" s="2">
        <v>267</v>
      </c>
      <c r="T1912" t="s">
        <v>7065</v>
      </c>
      <c r="U1912" s="6">
        <v>27288</v>
      </c>
      <c r="V1912" s="2">
        <v>47037015613</v>
      </c>
      <c r="W1912" s="2" t="s">
        <v>68</v>
      </c>
      <c r="X1912" s="1">
        <v>45658</v>
      </c>
      <c r="Y1912" s="2">
        <v>106300</v>
      </c>
      <c r="Z1912" s="2">
        <v>0</v>
      </c>
      <c r="AA1912" s="2">
        <v>106300</v>
      </c>
    </row>
    <row r="1913" spans="1:27" x14ac:dyDescent="0.3">
      <c r="A1913" s="3">
        <v>28</v>
      </c>
      <c r="B1913" s="2" t="str">
        <f>"13402005200"</f>
        <v>13402005200</v>
      </c>
      <c r="C1913" s="2" t="s">
        <v>7066</v>
      </c>
      <c r="D1913" t="s">
        <v>29</v>
      </c>
      <c r="E1913" s="2" t="s">
        <v>30</v>
      </c>
      <c r="F1913" s="2">
        <v>37217</v>
      </c>
      <c r="G1913" s="2" t="s">
        <v>2543</v>
      </c>
      <c r="H1913" t="s">
        <v>2707</v>
      </c>
      <c r="I1913" s="6">
        <v>33135</v>
      </c>
      <c r="J1913" s="2" t="s">
        <v>7052</v>
      </c>
      <c r="K1913" s="2">
        <v>74000</v>
      </c>
      <c r="L1913" t="s">
        <v>2689</v>
      </c>
      <c r="M1913" t="s">
        <v>29</v>
      </c>
      <c r="N1913" t="s">
        <v>30</v>
      </c>
      <c r="O1913">
        <v>37214</v>
      </c>
      <c r="P1913" t="s">
        <v>7053</v>
      </c>
      <c r="Q1913" s="2">
        <v>1.1299999999999999</v>
      </c>
      <c r="R1913" s="2">
        <v>116</v>
      </c>
      <c r="S1913" s="2">
        <v>0</v>
      </c>
      <c r="T1913" t="s">
        <v>3044</v>
      </c>
      <c r="U1913" s="6">
        <v>33721</v>
      </c>
      <c r="V1913" s="2">
        <v>47037015700</v>
      </c>
      <c r="W1913" s="2" t="s">
        <v>68</v>
      </c>
      <c r="X1913" s="1">
        <v>45658</v>
      </c>
      <c r="Y1913" s="2">
        <v>68600</v>
      </c>
      <c r="Z1913" s="2">
        <v>0</v>
      </c>
      <c r="AA1913" s="2">
        <v>68600</v>
      </c>
    </row>
    <row r="1914" spans="1:27" x14ac:dyDescent="0.3">
      <c r="A1914" s="3">
        <v>28</v>
      </c>
      <c r="B1914" s="2" t="str">
        <f>"13404001200"</f>
        <v>13404001200</v>
      </c>
      <c r="C1914" s="2" t="s">
        <v>7067</v>
      </c>
      <c r="D1914" t="s">
        <v>29</v>
      </c>
      <c r="E1914" s="2" t="s">
        <v>30</v>
      </c>
      <c r="F1914" s="2">
        <v>37217</v>
      </c>
      <c r="G1914" s="2" t="s">
        <v>64</v>
      </c>
      <c r="H1914" t="s">
        <v>2707</v>
      </c>
      <c r="I1914" s="6">
        <v>33308</v>
      </c>
      <c r="J1914" s="2" t="s">
        <v>7068</v>
      </c>
      <c r="K1914" s="2">
        <v>65000</v>
      </c>
      <c r="L1914" t="s">
        <v>2689</v>
      </c>
      <c r="M1914" t="s">
        <v>29</v>
      </c>
      <c r="N1914" t="s">
        <v>30</v>
      </c>
      <c r="O1914">
        <v>37214</v>
      </c>
      <c r="P1914" t="s">
        <v>7069</v>
      </c>
      <c r="Q1914" s="2">
        <v>0.28999999999999998</v>
      </c>
      <c r="R1914" s="2">
        <v>70</v>
      </c>
      <c r="S1914" s="2">
        <v>183</v>
      </c>
      <c r="T1914" t="s">
        <v>7070</v>
      </c>
      <c r="U1914" s="6">
        <v>27306</v>
      </c>
      <c r="V1914" s="2">
        <v>47037015613</v>
      </c>
      <c r="W1914" s="2" t="s">
        <v>68</v>
      </c>
      <c r="X1914" s="1">
        <v>45658</v>
      </c>
      <c r="Y1914" s="2">
        <v>85000</v>
      </c>
      <c r="Z1914" s="2">
        <v>0</v>
      </c>
      <c r="AA1914" s="2">
        <v>85000</v>
      </c>
    </row>
    <row r="1915" spans="1:27" x14ac:dyDescent="0.3">
      <c r="A1915" s="3">
        <v>28</v>
      </c>
      <c r="B1915" s="2" t="str">
        <f>"13501001200"</f>
        <v>13501001200</v>
      </c>
      <c r="C1915" s="2" t="s">
        <v>7071</v>
      </c>
      <c r="D1915" t="s">
        <v>29</v>
      </c>
      <c r="E1915" s="2" t="s">
        <v>30</v>
      </c>
      <c r="F1915" s="2">
        <v>37217</v>
      </c>
      <c r="G1915" s="2" t="s">
        <v>64</v>
      </c>
      <c r="H1915" t="s">
        <v>2707</v>
      </c>
      <c r="I1915" s="6">
        <v>33323</v>
      </c>
      <c r="J1915" s="2" t="s">
        <v>7072</v>
      </c>
      <c r="K1915" s="2">
        <v>78000</v>
      </c>
      <c r="L1915" t="s">
        <v>2689</v>
      </c>
      <c r="M1915" t="s">
        <v>29</v>
      </c>
      <c r="N1915" t="s">
        <v>30</v>
      </c>
      <c r="O1915">
        <v>37214</v>
      </c>
      <c r="P1915" t="s">
        <v>7073</v>
      </c>
      <c r="Q1915" s="2">
        <v>0.49</v>
      </c>
      <c r="R1915" s="2">
        <v>74</v>
      </c>
      <c r="S1915" s="2">
        <v>262</v>
      </c>
      <c r="T1915" t="s">
        <v>7074</v>
      </c>
      <c r="U1915" s="6">
        <v>24054</v>
      </c>
      <c r="V1915" s="2">
        <v>47037015613</v>
      </c>
      <c r="W1915" s="2" t="s">
        <v>68</v>
      </c>
      <c r="X1915" s="1">
        <v>45658</v>
      </c>
      <c r="Y1915" s="2">
        <v>106300</v>
      </c>
      <c r="Z1915" s="2">
        <v>0</v>
      </c>
      <c r="AA1915" s="2">
        <v>106300</v>
      </c>
    </row>
    <row r="1916" spans="1:27" x14ac:dyDescent="0.3">
      <c r="A1916" s="3">
        <v>28</v>
      </c>
      <c r="B1916" s="2" t="str">
        <f>"13501002100"</f>
        <v>13501002100</v>
      </c>
      <c r="C1916" s="2" t="s">
        <v>7075</v>
      </c>
      <c r="D1916" t="s">
        <v>29</v>
      </c>
      <c r="E1916" s="2" t="s">
        <v>30</v>
      </c>
      <c r="F1916" s="2">
        <v>37217</v>
      </c>
      <c r="G1916" s="2" t="s">
        <v>64</v>
      </c>
      <c r="H1916" t="s">
        <v>2707</v>
      </c>
      <c r="I1916" s="6">
        <v>34423</v>
      </c>
      <c r="J1916" s="2" t="s">
        <v>7076</v>
      </c>
      <c r="K1916" s="2" t="s">
        <v>34</v>
      </c>
      <c r="L1916" t="s">
        <v>2689</v>
      </c>
      <c r="M1916" t="s">
        <v>29</v>
      </c>
      <c r="N1916" t="s">
        <v>30</v>
      </c>
      <c r="O1916">
        <v>37214</v>
      </c>
      <c r="P1916" t="s">
        <v>7077</v>
      </c>
      <c r="Q1916" s="2">
        <v>0.66</v>
      </c>
      <c r="R1916" s="2">
        <v>102</v>
      </c>
      <c r="S1916" s="2">
        <v>251</v>
      </c>
      <c r="T1916" t="s">
        <v>7078</v>
      </c>
      <c r="U1916" s="6">
        <v>25331</v>
      </c>
      <c r="V1916" s="2">
        <v>47037015613</v>
      </c>
      <c r="W1916" s="2" t="s">
        <v>68</v>
      </c>
      <c r="X1916" s="1">
        <v>45658</v>
      </c>
      <c r="Y1916" s="2">
        <v>106300</v>
      </c>
      <c r="Z1916" s="2">
        <v>0</v>
      </c>
      <c r="AA1916" s="2">
        <v>106300</v>
      </c>
    </row>
    <row r="1917" spans="1:27" x14ac:dyDescent="0.3">
      <c r="A1917" s="3">
        <v>28</v>
      </c>
      <c r="B1917" s="2" t="str">
        <f>"13402005300"</f>
        <v>13402005300</v>
      </c>
      <c r="C1917" s="2" t="s">
        <v>7079</v>
      </c>
      <c r="D1917" t="s">
        <v>29</v>
      </c>
      <c r="E1917" s="2" t="s">
        <v>30</v>
      </c>
      <c r="F1917" s="2">
        <v>37217</v>
      </c>
      <c r="G1917" s="2" t="s">
        <v>64</v>
      </c>
      <c r="H1917" t="s">
        <v>2707</v>
      </c>
      <c r="I1917" s="6">
        <v>34186</v>
      </c>
      <c r="J1917" s="2" t="s">
        <v>7080</v>
      </c>
      <c r="K1917" s="2">
        <v>0</v>
      </c>
      <c r="L1917" t="s">
        <v>2689</v>
      </c>
      <c r="M1917" t="s">
        <v>29</v>
      </c>
      <c r="N1917" t="s">
        <v>30</v>
      </c>
      <c r="O1917">
        <v>37214</v>
      </c>
      <c r="P1917" t="s">
        <v>7081</v>
      </c>
      <c r="Q1917" s="2">
        <v>1.88</v>
      </c>
      <c r="R1917" s="2">
        <v>117</v>
      </c>
      <c r="S1917" s="2">
        <v>0</v>
      </c>
      <c r="T1917" t="s">
        <v>3044</v>
      </c>
      <c r="U1917" s="6">
        <v>33721</v>
      </c>
      <c r="V1917" s="2">
        <v>47037015700</v>
      </c>
      <c r="W1917" s="2" t="s">
        <v>68</v>
      </c>
      <c r="X1917" s="1">
        <v>45658</v>
      </c>
      <c r="Y1917" s="2">
        <v>89600</v>
      </c>
      <c r="Z1917" s="2">
        <v>0</v>
      </c>
      <c r="AA1917" s="2">
        <v>89600</v>
      </c>
    </row>
    <row r="1918" spans="1:27" x14ac:dyDescent="0.3">
      <c r="A1918" s="3">
        <v>28</v>
      </c>
      <c r="B1918" s="2" t="str">
        <f>"13404001300"</f>
        <v>13404001300</v>
      </c>
      <c r="C1918" s="2" t="s">
        <v>7082</v>
      </c>
      <c r="D1918" t="s">
        <v>29</v>
      </c>
      <c r="E1918" s="2" t="s">
        <v>30</v>
      </c>
      <c r="F1918" s="2">
        <v>37217</v>
      </c>
      <c r="G1918" s="2" t="s">
        <v>64</v>
      </c>
      <c r="H1918" t="s">
        <v>2707</v>
      </c>
      <c r="I1918" s="6">
        <v>33414</v>
      </c>
      <c r="J1918" s="2" t="s">
        <v>7083</v>
      </c>
      <c r="K1918" s="2">
        <v>61000</v>
      </c>
      <c r="L1918" t="s">
        <v>2689</v>
      </c>
      <c r="M1918" t="s">
        <v>29</v>
      </c>
      <c r="N1918" t="s">
        <v>30</v>
      </c>
      <c r="O1918">
        <v>37214</v>
      </c>
      <c r="P1918" t="s">
        <v>7084</v>
      </c>
      <c r="Q1918" s="2">
        <v>0.28999999999999998</v>
      </c>
      <c r="R1918" s="2">
        <v>70</v>
      </c>
      <c r="S1918" s="2">
        <v>184</v>
      </c>
      <c r="T1918" t="s">
        <v>7085</v>
      </c>
      <c r="U1918" s="6">
        <v>24111</v>
      </c>
      <c r="V1918" s="2">
        <v>47037015613</v>
      </c>
      <c r="W1918" s="2" t="s">
        <v>68</v>
      </c>
      <c r="X1918" s="1">
        <v>45658</v>
      </c>
      <c r="Y1918" s="2">
        <v>85000</v>
      </c>
      <c r="Z1918" s="2">
        <v>0</v>
      </c>
      <c r="AA1918" s="2">
        <v>85000</v>
      </c>
    </row>
    <row r="1919" spans="1:27" x14ac:dyDescent="0.3">
      <c r="A1919" s="3">
        <v>28</v>
      </c>
      <c r="B1919" s="2" t="str">
        <f>"13404002400"</f>
        <v>13404002400</v>
      </c>
      <c r="C1919" s="2" t="s">
        <v>7086</v>
      </c>
      <c r="D1919" t="s">
        <v>29</v>
      </c>
      <c r="E1919" s="2" t="s">
        <v>30</v>
      </c>
      <c r="F1919" s="2">
        <v>37217</v>
      </c>
      <c r="G1919" s="2" t="s">
        <v>64</v>
      </c>
      <c r="H1919" t="s">
        <v>2707</v>
      </c>
      <c r="I1919" s="6">
        <v>33323</v>
      </c>
      <c r="J1919" s="2" t="s">
        <v>7087</v>
      </c>
      <c r="K1919" s="2">
        <v>68500</v>
      </c>
      <c r="L1919" t="s">
        <v>2689</v>
      </c>
      <c r="M1919" t="s">
        <v>29</v>
      </c>
      <c r="N1919" t="s">
        <v>30</v>
      </c>
      <c r="O1919">
        <v>37214</v>
      </c>
      <c r="P1919" t="s">
        <v>7088</v>
      </c>
      <c r="Q1919" s="2">
        <v>0.61</v>
      </c>
      <c r="R1919" s="2">
        <v>34</v>
      </c>
      <c r="S1919" s="2">
        <v>216</v>
      </c>
      <c r="T1919" t="s">
        <v>7089</v>
      </c>
      <c r="U1919" s="6">
        <v>25331</v>
      </c>
      <c r="V1919" s="2">
        <v>47037015613</v>
      </c>
      <c r="W1919" s="2" t="s">
        <v>68</v>
      </c>
      <c r="X1919" s="1">
        <v>45658</v>
      </c>
      <c r="Y1919" s="2">
        <v>106300</v>
      </c>
      <c r="Z1919" s="2">
        <v>0</v>
      </c>
      <c r="AA1919" s="2">
        <v>106300</v>
      </c>
    </row>
    <row r="1920" spans="1:27" x14ac:dyDescent="0.3">
      <c r="A1920" s="3">
        <v>28</v>
      </c>
      <c r="B1920" s="2" t="str">
        <f>"13501001100"</f>
        <v>13501001100</v>
      </c>
      <c r="C1920" s="2" t="s">
        <v>7090</v>
      </c>
      <c r="D1920" t="s">
        <v>29</v>
      </c>
      <c r="E1920" s="2" t="s">
        <v>30</v>
      </c>
      <c r="F1920" s="2">
        <v>37217</v>
      </c>
      <c r="G1920" s="2" t="s">
        <v>64</v>
      </c>
      <c r="H1920" t="s">
        <v>2707</v>
      </c>
      <c r="I1920" s="6">
        <v>33322</v>
      </c>
      <c r="J1920" s="2" t="s">
        <v>7091</v>
      </c>
      <c r="K1920" s="2">
        <v>66000</v>
      </c>
      <c r="L1920" t="s">
        <v>2689</v>
      </c>
      <c r="M1920" t="s">
        <v>29</v>
      </c>
      <c r="N1920" t="s">
        <v>30</v>
      </c>
      <c r="O1920">
        <v>37214</v>
      </c>
      <c r="P1920" t="s">
        <v>7092</v>
      </c>
      <c r="Q1920" s="2">
        <v>0.44</v>
      </c>
      <c r="R1920" s="2">
        <v>74</v>
      </c>
      <c r="S1920" s="2">
        <v>257</v>
      </c>
      <c r="T1920" t="s">
        <v>7093</v>
      </c>
      <c r="U1920" s="6">
        <v>26416</v>
      </c>
      <c r="V1920" s="2">
        <v>47037015613</v>
      </c>
      <c r="W1920" s="2" t="s">
        <v>68</v>
      </c>
      <c r="X1920" s="1">
        <v>45658</v>
      </c>
      <c r="Y1920" s="2">
        <v>85000</v>
      </c>
      <c r="Z1920" s="2">
        <v>0</v>
      </c>
      <c r="AA1920" s="2">
        <v>85000</v>
      </c>
    </row>
    <row r="1921" spans="1:27" x14ac:dyDescent="0.3">
      <c r="A1921" s="3">
        <v>28</v>
      </c>
      <c r="B1921" s="2" t="str">
        <f>"13404001400"</f>
        <v>13404001400</v>
      </c>
      <c r="C1921" s="2" t="s">
        <v>7094</v>
      </c>
      <c r="D1921" t="s">
        <v>29</v>
      </c>
      <c r="E1921" s="2" t="s">
        <v>30</v>
      </c>
      <c r="F1921" s="2">
        <v>37217</v>
      </c>
      <c r="G1921" s="2" t="s">
        <v>64</v>
      </c>
      <c r="H1921" t="s">
        <v>2707</v>
      </c>
      <c r="I1921" s="6">
        <v>33435</v>
      </c>
      <c r="J1921" s="2" t="s">
        <v>7095</v>
      </c>
      <c r="K1921" s="2">
        <v>58500</v>
      </c>
      <c r="L1921" t="s">
        <v>2689</v>
      </c>
      <c r="M1921" t="s">
        <v>29</v>
      </c>
      <c r="N1921" t="s">
        <v>30</v>
      </c>
      <c r="O1921">
        <v>37214</v>
      </c>
      <c r="P1921" t="s">
        <v>7096</v>
      </c>
      <c r="Q1921" s="2">
        <v>0.28999999999999998</v>
      </c>
      <c r="R1921" s="2">
        <v>70</v>
      </c>
      <c r="S1921" s="2">
        <v>185</v>
      </c>
      <c r="T1921" t="s">
        <v>7097</v>
      </c>
      <c r="U1921" s="6">
        <v>24838</v>
      </c>
      <c r="V1921" s="2">
        <v>47037015613</v>
      </c>
      <c r="W1921" s="2" t="s">
        <v>68</v>
      </c>
      <c r="X1921" s="1">
        <v>45658</v>
      </c>
      <c r="Y1921" s="2">
        <v>85000</v>
      </c>
      <c r="Z1921" s="2">
        <v>0</v>
      </c>
      <c r="AA1921" s="2">
        <v>85000</v>
      </c>
    </row>
    <row r="1922" spans="1:27" x14ac:dyDescent="0.3">
      <c r="A1922" s="3">
        <v>28</v>
      </c>
      <c r="B1922" s="2" t="str">
        <f>"13402005400"</f>
        <v>13402005400</v>
      </c>
      <c r="C1922" s="2" t="s">
        <v>7098</v>
      </c>
      <c r="D1922" t="s">
        <v>29</v>
      </c>
      <c r="E1922" s="2" t="s">
        <v>30</v>
      </c>
      <c r="F1922" s="2">
        <v>37217</v>
      </c>
      <c r="G1922" s="2" t="s">
        <v>64</v>
      </c>
      <c r="H1922" t="s">
        <v>2707</v>
      </c>
      <c r="I1922" s="6">
        <v>33918</v>
      </c>
      <c r="J1922" s="2" t="s">
        <v>7099</v>
      </c>
      <c r="K1922" s="2">
        <v>0</v>
      </c>
      <c r="L1922" t="s">
        <v>2689</v>
      </c>
      <c r="M1922" t="s">
        <v>29</v>
      </c>
      <c r="N1922" t="s">
        <v>30</v>
      </c>
      <c r="O1922">
        <v>37214</v>
      </c>
      <c r="P1922" t="s">
        <v>7053</v>
      </c>
      <c r="Q1922" s="2">
        <v>3.09</v>
      </c>
      <c r="R1922" s="2">
        <v>138</v>
      </c>
      <c r="S1922" s="2">
        <v>0</v>
      </c>
      <c r="T1922" t="s">
        <v>3044</v>
      </c>
      <c r="U1922" s="6">
        <v>33721</v>
      </c>
      <c r="V1922" s="2">
        <v>47037015700</v>
      </c>
      <c r="W1922" s="2" t="s">
        <v>68</v>
      </c>
      <c r="X1922" s="1">
        <v>45658</v>
      </c>
      <c r="Y1922" s="2">
        <v>125700</v>
      </c>
      <c r="Z1922" s="2">
        <v>0</v>
      </c>
      <c r="AA1922" s="2">
        <v>125700</v>
      </c>
    </row>
    <row r="1923" spans="1:27" x14ac:dyDescent="0.3">
      <c r="A1923" s="3">
        <v>28</v>
      </c>
      <c r="B1923" s="2" t="str">
        <f>"13501001000"</f>
        <v>13501001000</v>
      </c>
      <c r="C1923" s="2" t="s">
        <v>7100</v>
      </c>
      <c r="D1923" t="s">
        <v>29</v>
      </c>
      <c r="E1923" s="2" t="s">
        <v>30</v>
      </c>
      <c r="F1923" s="2">
        <v>37217</v>
      </c>
      <c r="G1923" s="2" t="s">
        <v>64</v>
      </c>
      <c r="H1923" t="s">
        <v>2707</v>
      </c>
      <c r="I1923" s="6">
        <v>33434</v>
      </c>
      <c r="J1923" s="2" t="s">
        <v>7101</v>
      </c>
      <c r="K1923" s="2" t="s">
        <v>34</v>
      </c>
      <c r="L1923" t="s">
        <v>2689</v>
      </c>
      <c r="M1923" t="s">
        <v>29</v>
      </c>
      <c r="N1923" t="s">
        <v>30</v>
      </c>
      <c r="O1923">
        <v>37214</v>
      </c>
      <c r="P1923" t="s">
        <v>7102</v>
      </c>
      <c r="Q1923" s="2">
        <v>0.48</v>
      </c>
      <c r="R1923" s="2">
        <v>75</v>
      </c>
      <c r="S1923" s="2">
        <v>252</v>
      </c>
      <c r="T1923" t="s">
        <v>7103</v>
      </c>
      <c r="U1923" s="6">
        <v>23244</v>
      </c>
      <c r="V1923" s="2">
        <v>47037015613</v>
      </c>
      <c r="W1923" s="2" t="s">
        <v>68</v>
      </c>
      <c r="X1923" s="1">
        <v>45658</v>
      </c>
      <c r="Y1923" s="2">
        <v>106300</v>
      </c>
      <c r="Z1923" s="2">
        <v>0</v>
      </c>
      <c r="AA1923" s="2">
        <v>106300</v>
      </c>
    </row>
    <row r="1924" spans="1:27" x14ac:dyDescent="0.3">
      <c r="A1924" s="3">
        <v>28</v>
      </c>
      <c r="B1924" s="2" t="str">
        <f>"13501002300"</f>
        <v>13501002300</v>
      </c>
      <c r="C1924" s="2" t="s">
        <v>7104</v>
      </c>
      <c r="D1924" t="s">
        <v>29</v>
      </c>
      <c r="E1924" s="2" t="s">
        <v>30</v>
      </c>
      <c r="F1924" s="2">
        <v>37217</v>
      </c>
      <c r="G1924" s="2" t="s">
        <v>64</v>
      </c>
      <c r="H1924" t="s">
        <v>2707</v>
      </c>
      <c r="I1924" s="6">
        <v>33451</v>
      </c>
      <c r="J1924" s="2" t="s">
        <v>7105</v>
      </c>
      <c r="K1924" s="2">
        <v>68000</v>
      </c>
      <c r="L1924" t="s">
        <v>2689</v>
      </c>
      <c r="M1924" t="s">
        <v>29</v>
      </c>
      <c r="N1924" t="s">
        <v>30</v>
      </c>
      <c r="O1924">
        <v>37214</v>
      </c>
      <c r="P1924" t="s">
        <v>7106</v>
      </c>
      <c r="Q1924" s="2">
        <v>0.53</v>
      </c>
      <c r="R1924" s="2">
        <v>78</v>
      </c>
      <c r="S1924" s="2">
        <v>258</v>
      </c>
      <c r="T1924" t="s">
        <v>7107</v>
      </c>
      <c r="U1924" s="6">
        <v>22894</v>
      </c>
      <c r="V1924" s="2">
        <v>47037015613</v>
      </c>
      <c r="W1924" s="2" t="s">
        <v>68</v>
      </c>
      <c r="X1924" s="1">
        <v>45658</v>
      </c>
      <c r="Y1924" s="2">
        <v>106300</v>
      </c>
      <c r="Z1924" s="2">
        <v>0</v>
      </c>
      <c r="AA1924" s="2">
        <v>106300</v>
      </c>
    </row>
    <row r="1925" spans="1:27" x14ac:dyDescent="0.3">
      <c r="A1925" s="3">
        <v>28</v>
      </c>
      <c r="B1925" s="2" t="str">
        <f>"13501000900"</f>
        <v>13501000900</v>
      </c>
      <c r="C1925" s="2" t="s">
        <v>7108</v>
      </c>
      <c r="D1925" t="s">
        <v>29</v>
      </c>
      <c r="E1925" s="2" t="s">
        <v>30</v>
      </c>
      <c r="F1925" s="2">
        <v>37217</v>
      </c>
      <c r="G1925" s="2" t="s">
        <v>64</v>
      </c>
      <c r="H1925" t="s">
        <v>2707</v>
      </c>
      <c r="I1925" s="6">
        <v>33368</v>
      </c>
      <c r="J1925" s="2" t="s">
        <v>7109</v>
      </c>
      <c r="K1925" s="2">
        <v>66000</v>
      </c>
      <c r="L1925" t="s">
        <v>2689</v>
      </c>
      <c r="M1925" t="s">
        <v>29</v>
      </c>
      <c r="N1925" t="s">
        <v>30</v>
      </c>
      <c r="O1925">
        <v>37214</v>
      </c>
      <c r="P1925" t="s">
        <v>7110</v>
      </c>
      <c r="Q1925" s="2">
        <v>0.51</v>
      </c>
      <c r="R1925" s="2">
        <v>84</v>
      </c>
      <c r="S1925" s="2">
        <v>248</v>
      </c>
      <c r="T1925" t="s">
        <v>7111</v>
      </c>
      <c r="U1925" s="6">
        <v>25367</v>
      </c>
      <c r="V1925" s="2">
        <v>47037015613</v>
      </c>
      <c r="W1925" s="2" t="s">
        <v>68</v>
      </c>
      <c r="X1925" s="1">
        <v>45658</v>
      </c>
      <c r="Y1925" s="2">
        <v>106300</v>
      </c>
      <c r="Z1925" s="2">
        <v>0</v>
      </c>
      <c r="AA1925" s="2">
        <v>106300</v>
      </c>
    </row>
    <row r="1926" spans="1:27" x14ac:dyDescent="0.3">
      <c r="A1926" s="3">
        <v>28</v>
      </c>
      <c r="B1926" s="2" t="str">
        <f>"13404001900"</f>
        <v>13404001900</v>
      </c>
      <c r="C1926" s="2" t="s">
        <v>7112</v>
      </c>
      <c r="D1926" t="s">
        <v>29</v>
      </c>
      <c r="E1926" s="2" t="s">
        <v>30</v>
      </c>
      <c r="F1926" s="2">
        <v>37217</v>
      </c>
      <c r="G1926" s="2" t="s">
        <v>64</v>
      </c>
      <c r="H1926" t="s">
        <v>2707</v>
      </c>
      <c r="I1926" s="6">
        <v>34422</v>
      </c>
      <c r="J1926" s="2" t="s">
        <v>7113</v>
      </c>
      <c r="K1926" s="2" t="s">
        <v>34</v>
      </c>
      <c r="L1926" t="s">
        <v>2689</v>
      </c>
      <c r="M1926" t="s">
        <v>29</v>
      </c>
      <c r="N1926" t="s">
        <v>30</v>
      </c>
      <c r="O1926">
        <v>37214</v>
      </c>
      <c r="P1926" t="s">
        <v>7114</v>
      </c>
      <c r="Q1926" s="2">
        <v>0.36</v>
      </c>
      <c r="R1926" s="2">
        <v>96</v>
      </c>
      <c r="S1926" s="2">
        <v>183</v>
      </c>
      <c r="T1926" t="s">
        <v>7115</v>
      </c>
      <c r="U1926" s="6">
        <v>24504</v>
      </c>
      <c r="V1926" s="2">
        <v>47037015613</v>
      </c>
      <c r="W1926" s="2" t="s">
        <v>68</v>
      </c>
      <c r="X1926" s="1">
        <v>45658</v>
      </c>
      <c r="Y1926" s="2">
        <v>85000</v>
      </c>
      <c r="Z1926" s="2">
        <v>0</v>
      </c>
      <c r="AA1926" s="2">
        <v>85000</v>
      </c>
    </row>
    <row r="1927" spans="1:27" x14ac:dyDescent="0.3">
      <c r="A1927" s="3">
        <v>28</v>
      </c>
      <c r="B1927" s="2" t="str">
        <f>"13501002400"</f>
        <v>13501002400</v>
      </c>
      <c r="C1927" s="2" t="s">
        <v>7116</v>
      </c>
      <c r="D1927" t="s">
        <v>29</v>
      </c>
      <c r="E1927" s="2" t="s">
        <v>30</v>
      </c>
      <c r="F1927" s="2">
        <v>37217</v>
      </c>
      <c r="G1927" s="2" t="s">
        <v>64</v>
      </c>
      <c r="H1927" t="s">
        <v>2707</v>
      </c>
      <c r="I1927" s="6">
        <v>33437</v>
      </c>
      <c r="J1927" s="2" t="s">
        <v>7117</v>
      </c>
      <c r="K1927" s="2">
        <v>63000</v>
      </c>
      <c r="L1927" t="s">
        <v>2689</v>
      </c>
      <c r="M1927" t="s">
        <v>29</v>
      </c>
      <c r="N1927" t="s">
        <v>30</v>
      </c>
      <c r="O1927">
        <v>37214</v>
      </c>
      <c r="P1927" t="s">
        <v>7118</v>
      </c>
      <c r="Q1927" s="2">
        <v>0.51</v>
      </c>
      <c r="R1927" s="2">
        <v>78</v>
      </c>
      <c r="S1927" s="2">
        <v>261</v>
      </c>
      <c r="T1927" t="s">
        <v>7119</v>
      </c>
      <c r="U1927" s="6">
        <v>22906</v>
      </c>
      <c r="V1927" s="2">
        <v>47037015613</v>
      </c>
      <c r="W1927" s="2" t="s">
        <v>68</v>
      </c>
      <c r="X1927" s="1">
        <v>45658</v>
      </c>
      <c r="Y1927" s="2">
        <v>106300</v>
      </c>
      <c r="Z1927" s="2">
        <v>0</v>
      </c>
      <c r="AA1927" s="2">
        <v>106300</v>
      </c>
    </row>
    <row r="1928" spans="1:27" x14ac:dyDescent="0.3">
      <c r="A1928" s="3">
        <v>28</v>
      </c>
      <c r="B1928" s="2" t="str">
        <f>"13400029400"</f>
        <v>13400029400</v>
      </c>
      <c r="C1928" s="2" t="s">
        <v>6885</v>
      </c>
      <c r="D1928" t="s">
        <v>29</v>
      </c>
      <c r="E1928" s="2" t="s">
        <v>30</v>
      </c>
      <c r="F1928" s="2">
        <v>37217</v>
      </c>
      <c r="G1928" s="2" t="s">
        <v>64</v>
      </c>
      <c r="H1928" t="s">
        <v>2707</v>
      </c>
      <c r="I1928" s="6">
        <v>33653</v>
      </c>
      <c r="J1928" s="2" t="s">
        <v>7120</v>
      </c>
      <c r="K1928" s="2" t="s">
        <v>34</v>
      </c>
      <c r="L1928" t="s">
        <v>2689</v>
      </c>
      <c r="M1928" t="s">
        <v>29</v>
      </c>
      <c r="N1928" t="s">
        <v>30</v>
      </c>
      <c r="O1928">
        <v>37214</v>
      </c>
      <c r="P1928" t="s">
        <v>7121</v>
      </c>
      <c r="Q1928" s="2">
        <v>2.23</v>
      </c>
      <c r="R1928" s="2">
        <v>0</v>
      </c>
      <c r="S1928" s="2">
        <v>0</v>
      </c>
      <c r="T1928" t="s">
        <v>3044</v>
      </c>
      <c r="U1928" s="6">
        <v>33721</v>
      </c>
      <c r="V1928" s="2">
        <v>47037015700</v>
      </c>
      <c r="W1928" s="2" t="s">
        <v>68</v>
      </c>
      <c r="X1928" s="1">
        <v>45658</v>
      </c>
      <c r="Y1928" s="2">
        <v>112300</v>
      </c>
      <c r="Z1928" s="2">
        <v>0</v>
      </c>
      <c r="AA1928" s="2">
        <v>112300</v>
      </c>
    </row>
    <row r="1929" spans="1:27" x14ac:dyDescent="0.3">
      <c r="A1929" s="3">
        <v>28</v>
      </c>
      <c r="B1929" s="2" t="str">
        <f>"13404003100"</f>
        <v>13404003100</v>
      </c>
      <c r="C1929" s="2" t="s">
        <v>7122</v>
      </c>
      <c r="D1929" t="s">
        <v>29</v>
      </c>
      <c r="E1929" s="2" t="s">
        <v>30</v>
      </c>
      <c r="F1929" s="2">
        <v>37217</v>
      </c>
      <c r="G1929" s="2" t="s">
        <v>64</v>
      </c>
      <c r="H1929" t="s">
        <v>2707</v>
      </c>
      <c r="I1929" s="6">
        <v>33367</v>
      </c>
      <c r="J1929" s="2" t="s">
        <v>7123</v>
      </c>
      <c r="K1929" s="2">
        <v>74000</v>
      </c>
      <c r="L1929" t="s">
        <v>2689</v>
      </c>
      <c r="M1929" t="s">
        <v>29</v>
      </c>
      <c r="N1929" t="s">
        <v>30</v>
      </c>
      <c r="O1929">
        <v>37214</v>
      </c>
      <c r="P1929" t="s">
        <v>7124</v>
      </c>
      <c r="Q1929" s="2">
        <v>0.71</v>
      </c>
      <c r="R1929" s="2">
        <v>124</v>
      </c>
      <c r="S1929" s="2">
        <v>270</v>
      </c>
      <c r="T1929" t="s">
        <v>7125</v>
      </c>
      <c r="U1929" s="6">
        <v>23211</v>
      </c>
      <c r="V1929" s="2">
        <v>47037015613</v>
      </c>
      <c r="W1929" s="2" t="s">
        <v>68</v>
      </c>
      <c r="X1929" s="1">
        <v>45658</v>
      </c>
      <c r="Y1929" s="2">
        <v>106300</v>
      </c>
      <c r="Z1929" s="2">
        <v>0</v>
      </c>
      <c r="AA1929" s="2">
        <v>106300</v>
      </c>
    </row>
    <row r="1930" spans="1:27" x14ac:dyDescent="0.3">
      <c r="A1930" s="3">
        <v>28</v>
      </c>
      <c r="B1930" s="2" t="str">
        <f>"13501002700"</f>
        <v>13501002700</v>
      </c>
      <c r="C1930" s="2" t="s">
        <v>7126</v>
      </c>
      <c r="D1930" t="s">
        <v>29</v>
      </c>
      <c r="E1930" s="2" t="s">
        <v>30</v>
      </c>
      <c r="F1930" s="2">
        <v>37217</v>
      </c>
      <c r="G1930" s="2" t="s">
        <v>64</v>
      </c>
      <c r="H1930" t="s">
        <v>2707</v>
      </c>
      <c r="I1930" s="6">
        <v>33445</v>
      </c>
      <c r="J1930" s="2" t="s">
        <v>7127</v>
      </c>
      <c r="K1930" s="2">
        <v>70000</v>
      </c>
      <c r="L1930" t="s">
        <v>2689</v>
      </c>
      <c r="M1930" t="s">
        <v>29</v>
      </c>
      <c r="N1930" t="s">
        <v>30</v>
      </c>
      <c r="O1930">
        <v>37214</v>
      </c>
      <c r="P1930" t="s">
        <v>7128</v>
      </c>
      <c r="Q1930" s="2">
        <v>0.45</v>
      </c>
      <c r="R1930" s="2">
        <v>84</v>
      </c>
      <c r="S1930" s="2">
        <v>236</v>
      </c>
      <c r="T1930" t="s">
        <v>7129</v>
      </c>
      <c r="U1930" s="6">
        <v>26781</v>
      </c>
      <c r="V1930" s="2">
        <v>47037015613</v>
      </c>
      <c r="W1930" s="2" t="s">
        <v>68</v>
      </c>
      <c r="X1930" s="1">
        <v>45658</v>
      </c>
      <c r="Y1930" s="2">
        <v>85000</v>
      </c>
      <c r="Z1930" s="2">
        <v>0</v>
      </c>
      <c r="AA1930" s="2">
        <v>85000</v>
      </c>
    </row>
    <row r="1931" spans="1:27" x14ac:dyDescent="0.3">
      <c r="A1931" s="3">
        <v>28</v>
      </c>
      <c r="B1931" s="2" t="str">
        <f>"13501002800"</f>
        <v>13501002800</v>
      </c>
      <c r="C1931" s="2" t="s">
        <v>7130</v>
      </c>
      <c r="D1931" t="s">
        <v>29</v>
      </c>
      <c r="E1931" s="2" t="s">
        <v>30</v>
      </c>
      <c r="F1931" s="2">
        <v>37217</v>
      </c>
      <c r="G1931" s="2" t="s">
        <v>64</v>
      </c>
      <c r="H1931" t="s">
        <v>2707</v>
      </c>
      <c r="I1931" s="6">
        <v>33400</v>
      </c>
      <c r="J1931" s="2" t="s">
        <v>7131</v>
      </c>
      <c r="K1931" s="2">
        <v>69000</v>
      </c>
      <c r="L1931" t="s">
        <v>2689</v>
      </c>
      <c r="M1931" t="s">
        <v>29</v>
      </c>
      <c r="N1931" t="s">
        <v>30</v>
      </c>
      <c r="O1931">
        <v>37214</v>
      </c>
      <c r="P1931" t="s">
        <v>7132</v>
      </c>
      <c r="Q1931" s="2">
        <v>0.43</v>
      </c>
      <c r="R1931" s="2">
        <v>79</v>
      </c>
      <c r="S1931" s="2">
        <v>227</v>
      </c>
      <c r="T1931" t="s">
        <v>7133</v>
      </c>
      <c r="U1931" s="6">
        <v>22978</v>
      </c>
      <c r="V1931" s="2">
        <v>47037015613</v>
      </c>
      <c r="W1931" s="2" t="s">
        <v>68</v>
      </c>
      <c r="X1931" s="1">
        <v>45658</v>
      </c>
      <c r="Y1931" s="2">
        <v>85000</v>
      </c>
      <c r="Z1931" s="2">
        <v>0</v>
      </c>
      <c r="AA1931" s="2">
        <v>85000</v>
      </c>
    </row>
    <row r="1932" spans="1:27" x14ac:dyDescent="0.3">
      <c r="A1932" s="3">
        <v>28</v>
      </c>
      <c r="B1932" s="2" t="str">
        <f>"13501002900"</f>
        <v>13501002900</v>
      </c>
      <c r="C1932" s="2" t="s">
        <v>7134</v>
      </c>
      <c r="D1932" t="s">
        <v>29</v>
      </c>
      <c r="E1932" s="2" t="s">
        <v>30</v>
      </c>
      <c r="F1932" s="2">
        <v>37217</v>
      </c>
      <c r="G1932" s="2" t="s">
        <v>64</v>
      </c>
      <c r="H1932" t="s">
        <v>2707</v>
      </c>
      <c r="I1932" s="6">
        <v>33469</v>
      </c>
      <c r="J1932" s="2" t="s">
        <v>7135</v>
      </c>
      <c r="K1932" s="2">
        <v>69000</v>
      </c>
      <c r="L1932" t="s">
        <v>2689</v>
      </c>
      <c r="M1932" t="s">
        <v>29</v>
      </c>
      <c r="N1932" t="s">
        <v>30</v>
      </c>
      <c r="O1932">
        <v>37214</v>
      </c>
      <c r="P1932" t="s">
        <v>7136</v>
      </c>
      <c r="Q1932" s="2">
        <v>0.66</v>
      </c>
      <c r="R1932" s="2">
        <v>120</v>
      </c>
      <c r="S1932" s="2">
        <v>217</v>
      </c>
      <c r="T1932" t="s">
        <v>7137</v>
      </c>
      <c r="U1932" s="6">
        <v>25745</v>
      </c>
      <c r="V1932" s="2">
        <v>47037015613</v>
      </c>
      <c r="W1932" s="2" t="s">
        <v>68</v>
      </c>
      <c r="X1932" s="1">
        <v>45658</v>
      </c>
      <c r="Y1932" s="2">
        <v>106300</v>
      </c>
      <c r="Z1932" s="2">
        <v>0</v>
      </c>
      <c r="AA1932" s="2">
        <v>106300</v>
      </c>
    </row>
    <row r="1933" spans="1:27" x14ac:dyDescent="0.3">
      <c r="A1933" s="3">
        <v>28</v>
      </c>
      <c r="B1933" s="2" t="str">
        <f>"13501004800"</f>
        <v>13501004800</v>
      </c>
      <c r="C1933" s="2" t="s">
        <v>7138</v>
      </c>
      <c r="D1933" t="s">
        <v>29</v>
      </c>
      <c r="E1933" s="2" t="s">
        <v>30</v>
      </c>
      <c r="F1933" s="2">
        <v>37217</v>
      </c>
      <c r="G1933" s="2" t="s">
        <v>64</v>
      </c>
      <c r="H1933" t="s">
        <v>2707</v>
      </c>
      <c r="I1933" s="6">
        <v>33371</v>
      </c>
      <c r="J1933" s="2" t="s">
        <v>7139</v>
      </c>
      <c r="K1933" s="2">
        <v>77500</v>
      </c>
      <c r="L1933" t="s">
        <v>2689</v>
      </c>
      <c r="M1933" t="s">
        <v>29</v>
      </c>
      <c r="N1933" t="s">
        <v>30</v>
      </c>
      <c r="O1933">
        <v>37214</v>
      </c>
      <c r="P1933" t="s">
        <v>7140</v>
      </c>
      <c r="Q1933" s="2">
        <v>0.28999999999999998</v>
      </c>
      <c r="R1933" s="2">
        <v>65</v>
      </c>
      <c r="S1933" s="2">
        <v>184</v>
      </c>
      <c r="T1933" t="s">
        <v>7141</v>
      </c>
      <c r="U1933" s="6">
        <v>26668</v>
      </c>
      <c r="V1933" s="2">
        <v>47037015613</v>
      </c>
      <c r="W1933" s="2" t="s">
        <v>68</v>
      </c>
      <c r="X1933" s="1">
        <v>45658</v>
      </c>
      <c r="Y1933" s="2">
        <v>85000</v>
      </c>
      <c r="Z1933" s="2">
        <v>0</v>
      </c>
      <c r="AA1933" s="2">
        <v>85000</v>
      </c>
    </row>
    <row r="1934" spans="1:27" x14ac:dyDescent="0.3">
      <c r="A1934" s="3">
        <v>28</v>
      </c>
      <c r="B1934" s="2" t="str">
        <f>"13501004700"</f>
        <v>13501004700</v>
      </c>
      <c r="C1934" s="2" t="s">
        <v>7142</v>
      </c>
      <c r="D1934" t="s">
        <v>29</v>
      </c>
      <c r="E1934" s="2" t="s">
        <v>30</v>
      </c>
      <c r="F1934" s="2">
        <v>37217</v>
      </c>
      <c r="G1934" s="2" t="s">
        <v>64</v>
      </c>
      <c r="H1934" t="s">
        <v>2707</v>
      </c>
      <c r="I1934" s="6">
        <v>33528</v>
      </c>
      <c r="J1934" s="2" t="s">
        <v>7143</v>
      </c>
      <c r="K1934" s="2">
        <v>74000</v>
      </c>
      <c r="L1934" t="s">
        <v>2689</v>
      </c>
      <c r="M1934" t="s">
        <v>29</v>
      </c>
      <c r="N1934" t="s">
        <v>30</v>
      </c>
      <c r="O1934">
        <v>37214</v>
      </c>
      <c r="P1934" t="s">
        <v>7144</v>
      </c>
      <c r="Q1934" s="2">
        <v>0.28999999999999998</v>
      </c>
      <c r="R1934" s="2">
        <v>65</v>
      </c>
      <c r="S1934" s="2">
        <v>187</v>
      </c>
      <c r="T1934" t="s">
        <v>7145</v>
      </c>
      <c r="U1934" s="6">
        <v>23217</v>
      </c>
      <c r="V1934" s="2">
        <v>47037015613</v>
      </c>
      <c r="W1934" s="2" t="s">
        <v>68</v>
      </c>
      <c r="X1934" s="1">
        <v>45658</v>
      </c>
      <c r="Y1934" s="2">
        <v>85000</v>
      </c>
      <c r="Z1934" s="2">
        <v>0</v>
      </c>
      <c r="AA1934" s="2">
        <v>85000</v>
      </c>
    </row>
    <row r="1935" spans="1:27" x14ac:dyDescent="0.3">
      <c r="A1935" s="3">
        <v>28</v>
      </c>
      <c r="B1935" s="2" t="str">
        <f>"13501004600"</f>
        <v>13501004600</v>
      </c>
      <c r="C1935" s="2" t="s">
        <v>7146</v>
      </c>
      <c r="D1935" t="s">
        <v>29</v>
      </c>
      <c r="E1935" s="2" t="s">
        <v>30</v>
      </c>
      <c r="F1935" s="2">
        <v>37217</v>
      </c>
      <c r="G1935" s="2" t="s">
        <v>64</v>
      </c>
      <c r="H1935" t="s">
        <v>2707</v>
      </c>
      <c r="I1935" s="6">
        <v>33374</v>
      </c>
      <c r="J1935" s="2" t="s">
        <v>7147</v>
      </c>
      <c r="K1935" s="2">
        <v>76000</v>
      </c>
      <c r="L1935" t="s">
        <v>2689</v>
      </c>
      <c r="M1935" t="s">
        <v>29</v>
      </c>
      <c r="N1935" t="s">
        <v>30</v>
      </c>
      <c r="O1935">
        <v>37214</v>
      </c>
      <c r="P1935" t="s">
        <v>7148</v>
      </c>
      <c r="Q1935" s="2">
        <v>0.3</v>
      </c>
      <c r="R1935" s="2">
        <v>73</v>
      </c>
      <c r="S1935" s="2">
        <v>189</v>
      </c>
      <c r="T1935" t="s">
        <v>7149</v>
      </c>
      <c r="U1935" s="6">
        <v>23141</v>
      </c>
      <c r="V1935" s="2">
        <v>47037015613</v>
      </c>
      <c r="W1935" s="2" t="s">
        <v>68</v>
      </c>
      <c r="X1935" s="1">
        <v>45658</v>
      </c>
      <c r="Y1935" s="2">
        <v>85000</v>
      </c>
      <c r="Z1935" s="2">
        <v>0</v>
      </c>
      <c r="AA1935" s="2">
        <v>85000</v>
      </c>
    </row>
    <row r="1936" spans="1:27" x14ac:dyDescent="0.3">
      <c r="A1936" s="3">
        <v>28</v>
      </c>
      <c r="B1936" s="2" t="str">
        <f>"13501004300"</f>
        <v>13501004300</v>
      </c>
      <c r="C1936" s="2" t="s">
        <v>7150</v>
      </c>
      <c r="D1936" t="s">
        <v>29</v>
      </c>
      <c r="E1936" s="2" t="s">
        <v>30</v>
      </c>
      <c r="F1936" s="2">
        <v>37217</v>
      </c>
      <c r="G1936" s="2" t="s">
        <v>64</v>
      </c>
      <c r="H1936" t="s">
        <v>2707</v>
      </c>
      <c r="I1936" s="6">
        <v>33399</v>
      </c>
      <c r="J1936" s="2" t="s">
        <v>7151</v>
      </c>
      <c r="K1936" s="2">
        <v>76000</v>
      </c>
      <c r="L1936" t="s">
        <v>2689</v>
      </c>
      <c r="M1936" t="s">
        <v>29</v>
      </c>
      <c r="N1936" t="s">
        <v>30</v>
      </c>
      <c r="O1936">
        <v>37214</v>
      </c>
      <c r="P1936" t="s">
        <v>7152</v>
      </c>
      <c r="Q1936" s="2">
        <v>0.28000000000000003</v>
      </c>
      <c r="R1936" s="2">
        <v>71</v>
      </c>
      <c r="S1936" s="2">
        <v>178</v>
      </c>
      <c r="T1936" t="s">
        <v>7153</v>
      </c>
      <c r="U1936" s="6">
        <v>24268</v>
      </c>
      <c r="V1936" s="2">
        <v>47037015613</v>
      </c>
      <c r="W1936" s="2" t="s">
        <v>68</v>
      </c>
      <c r="X1936" s="1">
        <v>45658</v>
      </c>
      <c r="Y1936" s="2">
        <v>85000</v>
      </c>
      <c r="Z1936" s="2">
        <v>0</v>
      </c>
      <c r="AA1936" s="2">
        <v>85000</v>
      </c>
    </row>
    <row r="1937" spans="1:27" x14ac:dyDescent="0.3">
      <c r="A1937" s="3">
        <v>28</v>
      </c>
      <c r="B1937" s="2" t="str">
        <f>"13408001400"</f>
        <v>13408001400</v>
      </c>
      <c r="C1937" s="2" t="s">
        <v>7154</v>
      </c>
      <c r="D1937" t="s">
        <v>29</v>
      </c>
      <c r="E1937" s="2" t="s">
        <v>30</v>
      </c>
      <c r="F1937" s="2">
        <v>37217</v>
      </c>
      <c r="G1937" s="2" t="s">
        <v>64</v>
      </c>
      <c r="H1937" t="s">
        <v>2707</v>
      </c>
      <c r="I1937" s="6">
        <v>33406</v>
      </c>
      <c r="J1937" s="2" t="s">
        <v>7155</v>
      </c>
      <c r="K1937" s="2">
        <v>73750</v>
      </c>
      <c r="L1937" t="s">
        <v>2689</v>
      </c>
      <c r="M1937" t="s">
        <v>29</v>
      </c>
      <c r="N1937" t="s">
        <v>30</v>
      </c>
      <c r="O1937">
        <v>37214</v>
      </c>
      <c r="P1937" t="s">
        <v>7156</v>
      </c>
      <c r="Q1937" s="2">
        <v>0.99</v>
      </c>
      <c r="R1937" s="2">
        <v>137</v>
      </c>
      <c r="S1937" s="2">
        <v>368</v>
      </c>
      <c r="T1937" t="s">
        <v>7157</v>
      </c>
      <c r="U1937" s="6">
        <v>25003</v>
      </c>
      <c r="V1937" s="2">
        <v>47037015613</v>
      </c>
      <c r="W1937" s="2" t="s">
        <v>68</v>
      </c>
      <c r="X1937" s="1">
        <v>45658</v>
      </c>
      <c r="Y1937" s="2">
        <v>106300</v>
      </c>
      <c r="Z1937" s="2">
        <v>0</v>
      </c>
      <c r="AA1937" s="2">
        <v>106300</v>
      </c>
    </row>
    <row r="1938" spans="1:27" x14ac:dyDescent="0.3">
      <c r="A1938" s="3">
        <v>28</v>
      </c>
      <c r="B1938" s="2" t="str">
        <f>"13505000500"</f>
        <v>13505000500</v>
      </c>
      <c r="C1938" s="2" t="s">
        <v>7158</v>
      </c>
      <c r="D1938" t="s">
        <v>29</v>
      </c>
      <c r="E1938" s="2" t="s">
        <v>30</v>
      </c>
      <c r="F1938" s="2">
        <v>37217</v>
      </c>
      <c r="G1938" s="2" t="s">
        <v>64</v>
      </c>
      <c r="H1938" t="s">
        <v>2707</v>
      </c>
      <c r="I1938" s="6">
        <v>33394</v>
      </c>
      <c r="J1938" s="2" t="s">
        <v>7159</v>
      </c>
      <c r="K1938" s="2" t="s">
        <v>34</v>
      </c>
      <c r="L1938" t="s">
        <v>2689</v>
      </c>
      <c r="M1938" t="s">
        <v>29</v>
      </c>
      <c r="N1938" t="s">
        <v>30</v>
      </c>
      <c r="O1938">
        <v>37214</v>
      </c>
      <c r="P1938" t="s">
        <v>7160</v>
      </c>
      <c r="Q1938" s="2">
        <v>0.27</v>
      </c>
      <c r="R1938" s="2">
        <v>70</v>
      </c>
      <c r="S1938" s="2">
        <v>178</v>
      </c>
      <c r="T1938" t="s">
        <v>7161</v>
      </c>
      <c r="U1938" s="6">
        <v>26715</v>
      </c>
      <c r="V1938" s="2">
        <v>47037015613</v>
      </c>
      <c r="W1938" s="2" t="s">
        <v>68</v>
      </c>
      <c r="X1938" s="1">
        <v>45658</v>
      </c>
      <c r="Y1938" s="2">
        <v>85000</v>
      </c>
      <c r="Z1938" s="2">
        <v>0</v>
      </c>
      <c r="AA1938" s="2">
        <v>85000</v>
      </c>
    </row>
    <row r="1939" spans="1:27" x14ac:dyDescent="0.3">
      <c r="A1939" s="3">
        <v>28</v>
      </c>
      <c r="B1939" s="2" t="str">
        <f>"13505000400"</f>
        <v>13505000400</v>
      </c>
      <c r="C1939" s="2" t="s">
        <v>7162</v>
      </c>
      <c r="D1939" t="s">
        <v>29</v>
      </c>
      <c r="E1939" s="2" t="s">
        <v>30</v>
      </c>
      <c r="F1939" s="2">
        <v>37217</v>
      </c>
      <c r="G1939" s="2" t="s">
        <v>64</v>
      </c>
      <c r="H1939" t="s">
        <v>2707</v>
      </c>
      <c r="I1939" s="6">
        <v>33437</v>
      </c>
      <c r="J1939" s="2" t="s">
        <v>7163</v>
      </c>
      <c r="K1939" s="2">
        <v>69500</v>
      </c>
      <c r="L1939" t="s">
        <v>2689</v>
      </c>
      <c r="M1939" t="s">
        <v>29</v>
      </c>
      <c r="N1939" t="s">
        <v>30</v>
      </c>
      <c r="O1939">
        <v>37214</v>
      </c>
      <c r="P1939" t="s">
        <v>7164</v>
      </c>
      <c r="Q1939" s="2">
        <v>0.26</v>
      </c>
      <c r="R1939" s="2">
        <v>70</v>
      </c>
      <c r="S1939" s="2">
        <v>178</v>
      </c>
      <c r="T1939" t="s">
        <v>7165</v>
      </c>
      <c r="U1939" s="6">
        <v>23601</v>
      </c>
      <c r="V1939" s="2">
        <v>47037015613</v>
      </c>
      <c r="W1939" s="2" t="s">
        <v>68</v>
      </c>
      <c r="X1939" s="1">
        <v>45658</v>
      </c>
      <c r="Y1939" s="2">
        <v>85000</v>
      </c>
      <c r="Z1939" s="2">
        <v>0</v>
      </c>
      <c r="AA1939" s="2">
        <v>85000</v>
      </c>
    </row>
    <row r="1940" spans="1:27" x14ac:dyDescent="0.3">
      <c r="A1940" s="3">
        <v>28</v>
      </c>
      <c r="B1940" s="2" t="str">
        <f>"13505000900"</f>
        <v>13505000900</v>
      </c>
      <c r="C1940" s="2" t="s">
        <v>7166</v>
      </c>
      <c r="D1940" t="s">
        <v>29</v>
      </c>
      <c r="E1940" s="2" t="s">
        <v>30</v>
      </c>
      <c r="F1940" s="2">
        <v>37217</v>
      </c>
      <c r="G1940" s="2" t="s">
        <v>64</v>
      </c>
      <c r="H1940" t="s">
        <v>2707</v>
      </c>
      <c r="I1940" s="6">
        <v>34450</v>
      </c>
      <c r="J1940" s="2" t="s">
        <v>7167</v>
      </c>
      <c r="K1940" s="2" t="s">
        <v>34</v>
      </c>
      <c r="L1940" t="s">
        <v>2689</v>
      </c>
      <c r="M1940" t="s">
        <v>29</v>
      </c>
      <c r="N1940" t="s">
        <v>30</v>
      </c>
      <c r="O1940">
        <v>37214</v>
      </c>
      <c r="P1940" t="s">
        <v>7168</v>
      </c>
      <c r="Q1940" s="2">
        <v>0.39</v>
      </c>
      <c r="R1940" s="2">
        <v>70</v>
      </c>
      <c r="S1940" s="2">
        <v>251</v>
      </c>
      <c r="T1940" t="s">
        <v>7169</v>
      </c>
      <c r="U1940" s="6">
        <v>22998</v>
      </c>
      <c r="V1940" s="2">
        <v>47037015613</v>
      </c>
      <c r="W1940" s="2" t="s">
        <v>68</v>
      </c>
      <c r="X1940" s="1">
        <v>45658</v>
      </c>
      <c r="Y1940" s="2">
        <v>85000</v>
      </c>
      <c r="Z1940" s="2">
        <v>0</v>
      </c>
      <c r="AA1940" s="2">
        <v>85000</v>
      </c>
    </row>
    <row r="1941" spans="1:27" x14ac:dyDescent="0.3">
      <c r="A1941" s="3">
        <v>28</v>
      </c>
      <c r="B1941" s="2" t="str">
        <f>"13505000800"</f>
        <v>13505000800</v>
      </c>
      <c r="C1941" s="2" t="s">
        <v>7170</v>
      </c>
      <c r="D1941" t="s">
        <v>29</v>
      </c>
      <c r="E1941" s="2" t="s">
        <v>30</v>
      </c>
      <c r="F1941" s="2">
        <v>37217</v>
      </c>
      <c r="G1941" s="2" t="s">
        <v>64</v>
      </c>
      <c r="H1941" t="s">
        <v>2707</v>
      </c>
      <c r="I1941" s="6">
        <v>33641</v>
      </c>
      <c r="J1941" s="2" t="s">
        <v>7171</v>
      </c>
      <c r="K1941" s="2" t="s">
        <v>34</v>
      </c>
      <c r="L1941" t="s">
        <v>2689</v>
      </c>
      <c r="M1941" t="s">
        <v>29</v>
      </c>
      <c r="N1941" t="s">
        <v>30</v>
      </c>
      <c r="O1941">
        <v>37214</v>
      </c>
      <c r="P1941" t="s">
        <v>7172</v>
      </c>
      <c r="Q1941" s="2">
        <v>0.42</v>
      </c>
      <c r="R1941" s="2">
        <v>71</v>
      </c>
      <c r="S1941" s="2">
        <v>272</v>
      </c>
      <c r="T1941" t="s">
        <v>7173</v>
      </c>
      <c r="U1941" s="6">
        <v>23019</v>
      </c>
      <c r="V1941" s="2">
        <v>47037015613</v>
      </c>
      <c r="W1941" s="2" t="s">
        <v>68</v>
      </c>
      <c r="X1941" s="1">
        <v>45658</v>
      </c>
      <c r="Y1941" s="2">
        <v>85000</v>
      </c>
      <c r="Z1941" s="2">
        <v>0</v>
      </c>
      <c r="AA1941" s="2">
        <v>85000</v>
      </c>
    </row>
    <row r="1942" spans="1:27" x14ac:dyDescent="0.3">
      <c r="A1942" s="3">
        <v>28</v>
      </c>
      <c r="B1942" s="2" t="str">
        <f>"13408002000"</f>
        <v>13408002000</v>
      </c>
      <c r="C1942" s="2" t="s">
        <v>7174</v>
      </c>
      <c r="D1942" t="s">
        <v>29</v>
      </c>
      <c r="E1942" s="2" t="s">
        <v>30</v>
      </c>
      <c r="F1942" s="2">
        <v>37217</v>
      </c>
      <c r="G1942" s="2" t="s">
        <v>64</v>
      </c>
      <c r="H1942" t="s">
        <v>2707</v>
      </c>
      <c r="I1942" s="6">
        <v>38323</v>
      </c>
      <c r="J1942" s="2" t="s">
        <v>7175</v>
      </c>
      <c r="K1942" s="2">
        <v>15000</v>
      </c>
      <c r="L1942" t="s">
        <v>2689</v>
      </c>
      <c r="M1942" t="s">
        <v>29</v>
      </c>
      <c r="N1942" t="s">
        <v>30</v>
      </c>
      <c r="O1942">
        <v>37214</v>
      </c>
      <c r="P1942" t="s">
        <v>7176</v>
      </c>
      <c r="Q1942" s="2">
        <v>0.61</v>
      </c>
      <c r="R1942" s="2">
        <v>316</v>
      </c>
      <c r="S1942" s="2">
        <v>95</v>
      </c>
      <c r="T1942" t="s">
        <v>7177</v>
      </c>
      <c r="U1942" s="6">
        <v>22690</v>
      </c>
      <c r="V1942" s="2">
        <v>47037015613</v>
      </c>
      <c r="W1942" s="2" t="s">
        <v>68</v>
      </c>
      <c r="X1942" s="1">
        <v>45658</v>
      </c>
      <c r="Y1942" s="2">
        <v>1300</v>
      </c>
      <c r="Z1942" s="2">
        <v>0</v>
      </c>
      <c r="AA1942" s="2">
        <v>1300</v>
      </c>
    </row>
    <row r="1943" spans="1:27" x14ac:dyDescent="0.3">
      <c r="A1943" s="3">
        <v>28</v>
      </c>
      <c r="B1943" s="2" t="str">
        <f>"13408002300"</f>
        <v>13408002300</v>
      </c>
      <c r="C1943" s="2" t="s">
        <v>7178</v>
      </c>
      <c r="D1943" t="s">
        <v>29</v>
      </c>
      <c r="E1943" s="2" t="s">
        <v>30</v>
      </c>
      <c r="F1943" s="2">
        <v>37217</v>
      </c>
      <c r="G1943" s="2" t="s">
        <v>64</v>
      </c>
      <c r="H1943" t="s">
        <v>2707</v>
      </c>
      <c r="I1943" s="6">
        <v>33639</v>
      </c>
      <c r="J1943" s="2" t="s">
        <v>7179</v>
      </c>
      <c r="K1943" s="2">
        <v>70000</v>
      </c>
      <c r="L1943" t="s">
        <v>2689</v>
      </c>
      <c r="M1943" t="s">
        <v>29</v>
      </c>
      <c r="N1943" t="s">
        <v>30</v>
      </c>
      <c r="O1943">
        <v>37214</v>
      </c>
      <c r="P1943" t="s">
        <v>7180</v>
      </c>
      <c r="Q1943" s="2">
        <v>0.26</v>
      </c>
      <c r="R1943" s="2">
        <v>72</v>
      </c>
      <c r="S1943" s="2">
        <v>207</v>
      </c>
      <c r="T1943" t="s">
        <v>7181</v>
      </c>
      <c r="U1943" s="6">
        <v>23040</v>
      </c>
      <c r="V1943" s="2">
        <v>47037015613</v>
      </c>
      <c r="W1943" s="2" t="s">
        <v>68</v>
      </c>
      <c r="X1943" s="1">
        <v>45658</v>
      </c>
      <c r="Y1943" s="2">
        <v>85000</v>
      </c>
      <c r="Z1943" s="2">
        <v>0</v>
      </c>
      <c r="AA1943" s="2">
        <v>85000</v>
      </c>
    </row>
    <row r="1944" spans="1:27" x14ac:dyDescent="0.3">
      <c r="A1944" s="3">
        <v>28</v>
      </c>
      <c r="B1944" s="2" t="str">
        <f>"13505001900"</f>
        <v>13505001900</v>
      </c>
      <c r="C1944" s="2" t="s">
        <v>7182</v>
      </c>
      <c r="D1944" t="s">
        <v>29</v>
      </c>
      <c r="E1944" s="2" t="s">
        <v>30</v>
      </c>
      <c r="F1944" s="2">
        <v>37217</v>
      </c>
      <c r="G1944" s="2" t="s">
        <v>64</v>
      </c>
      <c r="H1944" t="s">
        <v>2707</v>
      </c>
      <c r="I1944" s="6">
        <v>38379</v>
      </c>
      <c r="J1944" s="2" t="s">
        <v>7183</v>
      </c>
      <c r="K1944" s="2">
        <v>22000</v>
      </c>
      <c r="L1944" t="s">
        <v>2689</v>
      </c>
      <c r="M1944" t="s">
        <v>29</v>
      </c>
      <c r="N1944" t="s">
        <v>30</v>
      </c>
      <c r="O1944">
        <v>37214</v>
      </c>
      <c r="P1944" t="s">
        <v>7184</v>
      </c>
      <c r="Q1944" s="2">
        <v>2.5299999999999998</v>
      </c>
      <c r="R1944" s="2">
        <v>533</v>
      </c>
      <c r="S1944" s="2">
        <v>387</v>
      </c>
      <c r="T1944" t="s">
        <v>7177</v>
      </c>
      <c r="U1944" s="6">
        <v>22690</v>
      </c>
      <c r="V1944" s="2">
        <v>47037015613</v>
      </c>
      <c r="W1944" s="2" t="s">
        <v>68</v>
      </c>
      <c r="X1944" s="1">
        <v>45658</v>
      </c>
      <c r="Y1944" s="2">
        <v>11100</v>
      </c>
      <c r="Z1944" s="2">
        <v>0</v>
      </c>
      <c r="AA1944" s="2">
        <v>11100</v>
      </c>
    </row>
    <row r="1945" spans="1:27" x14ac:dyDescent="0.3">
      <c r="A1945" s="3">
        <v>28</v>
      </c>
      <c r="B1945" s="2" t="str">
        <f>"13408002800"</f>
        <v>13408002800</v>
      </c>
      <c r="C1945" s="2" t="s">
        <v>7185</v>
      </c>
      <c r="D1945" t="s">
        <v>29</v>
      </c>
      <c r="E1945" s="2" t="s">
        <v>30</v>
      </c>
      <c r="F1945" s="2">
        <v>37217</v>
      </c>
      <c r="G1945" s="2" t="s">
        <v>64</v>
      </c>
      <c r="H1945" t="s">
        <v>2707</v>
      </c>
      <c r="I1945" s="6">
        <v>38335</v>
      </c>
      <c r="J1945" s="2" t="s">
        <v>7186</v>
      </c>
      <c r="K1945" s="2">
        <v>10000</v>
      </c>
      <c r="L1945" t="s">
        <v>2689</v>
      </c>
      <c r="M1945" t="s">
        <v>29</v>
      </c>
      <c r="N1945" t="s">
        <v>30</v>
      </c>
      <c r="O1945">
        <v>37214</v>
      </c>
      <c r="P1945" t="s">
        <v>7187</v>
      </c>
      <c r="Q1945" s="2">
        <v>0.22</v>
      </c>
      <c r="R1945" s="2">
        <v>68</v>
      </c>
      <c r="S1945" s="2">
        <v>293</v>
      </c>
      <c r="T1945" t="s">
        <v>7188</v>
      </c>
      <c r="U1945" s="6">
        <v>23522</v>
      </c>
      <c r="V1945" s="2">
        <v>47037015613</v>
      </c>
      <c r="W1945" s="2" t="s">
        <v>68</v>
      </c>
      <c r="X1945" s="1">
        <v>45658</v>
      </c>
      <c r="Y1945" s="2">
        <v>900</v>
      </c>
      <c r="Z1945" s="2">
        <v>0</v>
      </c>
      <c r="AA1945" s="2">
        <v>900</v>
      </c>
    </row>
    <row r="1946" spans="1:27" x14ac:dyDescent="0.3">
      <c r="A1946" s="3">
        <v>28</v>
      </c>
      <c r="B1946" s="2" t="str">
        <f>"13402004700"</f>
        <v>13402004700</v>
      </c>
      <c r="C1946" s="2" t="s">
        <v>7189</v>
      </c>
      <c r="D1946" t="s">
        <v>29</v>
      </c>
      <c r="E1946" s="2" t="s">
        <v>30</v>
      </c>
      <c r="F1946" s="2">
        <v>37217</v>
      </c>
      <c r="G1946" s="2" t="s">
        <v>64</v>
      </c>
      <c r="H1946" t="s">
        <v>2707</v>
      </c>
      <c r="I1946" s="6">
        <v>33221</v>
      </c>
      <c r="J1946" s="2" t="s">
        <v>7190</v>
      </c>
      <c r="K1946" s="2">
        <v>50000</v>
      </c>
      <c r="L1946" t="s">
        <v>2689</v>
      </c>
      <c r="M1946" t="s">
        <v>29</v>
      </c>
      <c r="N1946" t="s">
        <v>30</v>
      </c>
      <c r="O1946">
        <v>37214</v>
      </c>
      <c r="P1946" t="s">
        <v>7191</v>
      </c>
      <c r="Q1946" s="2">
        <v>0.73</v>
      </c>
      <c r="R1946" s="2">
        <v>154</v>
      </c>
      <c r="S1946" s="2">
        <v>208</v>
      </c>
      <c r="T1946" t="s">
        <v>3044</v>
      </c>
      <c r="U1946" s="6">
        <v>33721</v>
      </c>
      <c r="V1946" s="2">
        <v>47037015700</v>
      </c>
      <c r="W1946" s="2" t="s">
        <v>68</v>
      </c>
      <c r="X1946" s="1">
        <v>45658</v>
      </c>
      <c r="Y1946" s="2">
        <v>63400</v>
      </c>
      <c r="Z1946" s="2">
        <v>0</v>
      </c>
      <c r="AA1946" s="2">
        <v>63400</v>
      </c>
    </row>
    <row r="1947" spans="1:27" x14ac:dyDescent="0.3">
      <c r="A1947" s="3">
        <v>28</v>
      </c>
      <c r="B1947" s="2" t="str">
        <f>"13402005000"</f>
        <v>13402005000</v>
      </c>
      <c r="C1947" s="2" t="s">
        <v>7192</v>
      </c>
      <c r="D1947" t="s">
        <v>29</v>
      </c>
      <c r="E1947" s="2" t="s">
        <v>30</v>
      </c>
      <c r="F1947" s="2">
        <v>37217</v>
      </c>
      <c r="G1947" s="2" t="s">
        <v>64</v>
      </c>
      <c r="H1947" t="s">
        <v>2707</v>
      </c>
      <c r="I1947" s="6">
        <v>33102</v>
      </c>
      <c r="J1947" s="2" t="s">
        <v>7193</v>
      </c>
      <c r="K1947" s="2">
        <v>68000</v>
      </c>
      <c r="L1947" t="s">
        <v>2689</v>
      </c>
      <c r="M1947" t="s">
        <v>29</v>
      </c>
      <c r="N1947" t="s">
        <v>30</v>
      </c>
      <c r="O1947">
        <v>37214</v>
      </c>
      <c r="P1947" t="s">
        <v>7053</v>
      </c>
      <c r="Q1947" s="2">
        <v>0.72</v>
      </c>
      <c r="R1947" s="2">
        <v>145</v>
      </c>
      <c r="S1947" s="2">
        <v>219</v>
      </c>
      <c r="T1947" t="s">
        <v>3044</v>
      </c>
      <c r="U1947" s="6">
        <v>33721</v>
      </c>
      <c r="V1947" s="2">
        <v>47037015700</v>
      </c>
      <c r="W1947" s="2" t="s">
        <v>68</v>
      </c>
      <c r="X1947" s="1">
        <v>45658</v>
      </c>
      <c r="Y1947" s="2">
        <v>63400</v>
      </c>
      <c r="Z1947" s="2">
        <v>0</v>
      </c>
      <c r="AA1947" s="2">
        <v>63400</v>
      </c>
    </row>
    <row r="1948" spans="1:27" x14ac:dyDescent="0.3">
      <c r="A1948" s="3">
        <v>28</v>
      </c>
      <c r="B1948" s="2" t="str">
        <f>"13402004800"</f>
        <v>13402004800</v>
      </c>
      <c r="C1948" s="2" t="s">
        <v>7194</v>
      </c>
      <c r="D1948" t="s">
        <v>29</v>
      </c>
      <c r="E1948" s="2" t="s">
        <v>30</v>
      </c>
      <c r="F1948" s="2">
        <v>37217</v>
      </c>
      <c r="G1948" s="2" t="s">
        <v>64</v>
      </c>
      <c r="H1948" t="s">
        <v>2707</v>
      </c>
      <c r="I1948" s="6">
        <v>33898</v>
      </c>
      <c r="J1948" s="2" t="s">
        <v>7195</v>
      </c>
      <c r="K1948" s="2">
        <v>0</v>
      </c>
      <c r="L1948" t="s">
        <v>2689</v>
      </c>
      <c r="M1948" t="s">
        <v>29</v>
      </c>
      <c r="N1948" t="s">
        <v>30</v>
      </c>
      <c r="O1948">
        <v>37214</v>
      </c>
      <c r="P1948" t="s">
        <v>7196</v>
      </c>
      <c r="Q1948" s="2">
        <v>0.37</v>
      </c>
      <c r="R1948" s="2">
        <v>77</v>
      </c>
      <c r="S1948" s="2">
        <v>210</v>
      </c>
      <c r="T1948" t="s">
        <v>3044</v>
      </c>
      <c r="U1948" s="6">
        <v>33721</v>
      </c>
      <c r="V1948" s="2">
        <v>47037015700</v>
      </c>
      <c r="W1948" s="2" t="s">
        <v>68</v>
      </c>
      <c r="X1948" s="1">
        <v>45658</v>
      </c>
      <c r="Y1948" s="2">
        <v>57600</v>
      </c>
      <c r="Z1948" s="2">
        <v>0</v>
      </c>
      <c r="AA1948" s="2">
        <v>57600</v>
      </c>
    </row>
    <row r="1949" spans="1:27" x14ac:dyDescent="0.3">
      <c r="A1949" s="3">
        <v>28</v>
      </c>
      <c r="B1949" s="2" t="str">
        <f>"13402004900"</f>
        <v>13402004900</v>
      </c>
      <c r="C1949" s="2" t="s">
        <v>7197</v>
      </c>
      <c r="D1949" t="s">
        <v>29</v>
      </c>
      <c r="E1949" s="2" t="s">
        <v>30</v>
      </c>
      <c r="F1949" s="2">
        <v>37217</v>
      </c>
      <c r="G1949" s="2" t="s">
        <v>64</v>
      </c>
      <c r="H1949" t="s">
        <v>2707</v>
      </c>
      <c r="I1949" s="6">
        <v>33898</v>
      </c>
      <c r="J1949" s="2" t="s">
        <v>7195</v>
      </c>
      <c r="K1949" s="2">
        <v>0</v>
      </c>
      <c r="L1949" t="s">
        <v>2689</v>
      </c>
      <c r="M1949" t="s">
        <v>29</v>
      </c>
      <c r="N1949" t="s">
        <v>30</v>
      </c>
      <c r="O1949">
        <v>37214</v>
      </c>
      <c r="P1949" t="s">
        <v>7198</v>
      </c>
      <c r="Q1949" s="2">
        <v>0.36</v>
      </c>
      <c r="R1949" s="2">
        <v>75</v>
      </c>
      <c r="S1949" s="2">
        <v>213</v>
      </c>
      <c r="T1949" t="s">
        <v>3044</v>
      </c>
      <c r="U1949" s="6">
        <v>33721</v>
      </c>
      <c r="V1949" s="2">
        <v>47037015700</v>
      </c>
      <c r="W1949" s="2" t="s">
        <v>68</v>
      </c>
      <c r="X1949" s="1">
        <v>45658</v>
      </c>
      <c r="Y1949" s="2">
        <v>57600</v>
      </c>
      <c r="Z1949" s="2">
        <v>0</v>
      </c>
      <c r="AA1949" s="2">
        <v>57600</v>
      </c>
    </row>
    <row r="1950" spans="1:27" x14ac:dyDescent="0.3">
      <c r="A1950" s="3">
        <v>28</v>
      </c>
      <c r="B1950" s="2" t="str">
        <f>"13404002000"</f>
        <v>13404002000</v>
      </c>
      <c r="C1950" s="2" t="s">
        <v>7199</v>
      </c>
      <c r="D1950" t="s">
        <v>29</v>
      </c>
      <c r="E1950" s="2" t="s">
        <v>30</v>
      </c>
      <c r="F1950" s="2">
        <v>37217</v>
      </c>
      <c r="G1950" s="2" t="s">
        <v>64</v>
      </c>
      <c r="H1950" t="s">
        <v>2707</v>
      </c>
      <c r="I1950" s="6">
        <v>33266</v>
      </c>
      <c r="J1950" s="2" t="s">
        <v>7200</v>
      </c>
      <c r="K1950" s="2">
        <v>62500</v>
      </c>
      <c r="L1950" t="s">
        <v>2689</v>
      </c>
      <c r="M1950" t="s">
        <v>29</v>
      </c>
      <c r="N1950" t="s">
        <v>30</v>
      </c>
      <c r="O1950">
        <v>37214</v>
      </c>
      <c r="P1950" t="s">
        <v>7201</v>
      </c>
      <c r="Q1950" s="2">
        <v>0.35</v>
      </c>
      <c r="R1950" s="2">
        <v>128</v>
      </c>
      <c r="S1950" s="2">
        <v>161</v>
      </c>
      <c r="T1950" t="s">
        <v>7202</v>
      </c>
      <c r="U1950" s="6">
        <v>26429</v>
      </c>
      <c r="V1950" s="2">
        <v>47037015613</v>
      </c>
      <c r="W1950" s="2" t="s">
        <v>68</v>
      </c>
      <c r="X1950" s="1">
        <v>45658</v>
      </c>
      <c r="Y1950" s="2">
        <v>85000</v>
      </c>
      <c r="Z1950" s="2">
        <v>0</v>
      </c>
      <c r="AA1950" s="2">
        <v>85000</v>
      </c>
    </row>
    <row r="1951" spans="1:27" x14ac:dyDescent="0.3">
      <c r="A1951" s="3">
        <v>28</v>
      </c>
      <c r="B1951" s="2" t="str">
        <f>"13501000600"</f>
        <v>13501000600</v>
      </c>
      <c r="C1951" s="2" t="s">
        <v>7203</v>
      </c>
      <c r="D1951" t="s">
        <v>29</v>
      </c>
      <c r="E1951" s="2" t="s">
        <v>30</v>
      </c>
      <c r="F1951" s="2">
        <v>37217</v>
      </c>
      <c r="G1951" s="2" t="s">
        <v>64</v>
      </c>
      <c r="H1951" t="s">
        <v>2707</v>
      </c>
      <c r="I1951" s="6">
        <v>33364</v>
      </c>
      <c r="J1951" s="2" t="s">
        <v>7204</v>
      </c>
      <c r="K1951" s="2">
        <v>15000</v>
      </c>
      <c r="L1951" t="s">
        <v>2689</v>
      </c>
      <c r="M1951" t="s">
        <v>29</v>
      </c>
      <c r="N1951" t="s">
        <v>30</v>
      </c>
      <c r="O1951">
        <v>37214</v>
      </c>
      <c r="P1951" t="s">
        <v>7205</v>
      </c>
      <c r="Q1951" s="2">
        <v>0.28999999999999998</v>
      </c>
      <c r="R1951" s="2">
        <v>72</v>
      </c>
      <c r="S1951" s="2">
        <v>164</v>
      </c>
      <c r="T1951" t="s">
        <v>7206</v>
      </c>
      <c r="U1951" s="6">
        <v>25610</v>
      </c>
      <c r="V1951" s="2">
        <v>47037015613</v>
      </c>
      <c r="W1951" s="2" t="s">
        <v>68</v>
      </c>
      <c r="X1951" s="1">
        <v>45658</v>
      </c>
      <c r="Y1951" s="2">
        <v>85000</v>
      </c>
      <c r="Z1951" s="2">
        <v>0</v>
      </c>
      <c r="AA1951" s="2">
        <v>85000</v>
      </c>
    </row>
    <row r="1952" spans="1:27" x14ac:dyDescent="0.3">
      <c r="A1952" s="3">
        <v>28</v>
      </c>
      <c r="B1952" s="2" t="str">
        <f>"13501000500"</f>
        <v>13501000500</v>
      </c>
      <c r="C1952" s="2" t="s">
        <v>7207</v>
      </c>
      <c r="D1952" t="s">
        <v>29</v>
      </c>
      <c r="E1952" s="2" t="s">
        <v>30</v>
      </c>
      <c r="F1952" s="2">
        <v>37217</v>
      </c>
      <c r="G1952" s="2" t="s">
        <v>64</v>
      </c>
      <c r="H1952" t="s">
        <v>2707</v>
      </c>
      <c r="I1952" s="6">
        <v>33317</v>
      </c>
      <c r="J1952" s="2" t="s">
        <v>7208</v>
      </c>
      <c r="K1952" s="2">
        <v>73000</v>
      </c>
      <c r="L1952" t="s">
        <v>2689</v>
      </c>
      <c r="M1952" t="s">
        <v>29</v>
      </c>
      <c r="N1952" t="s">
        <v>30</v>
      </c>
      <c r="O1952">
        <v>37214</v>
      </c>
      <c r="P1952" t="s">
        <v>7209</v>
      </c>
      <c r="Q1952" s="2">
        <v>0.3</v>
      </c>
      <c r="R1952" s="2">
        <v>64</v>
      </c>
      <c r="S1952" s="2">
        <v>178</v>
      </c>
      <c r="T1952" t="s">
        <v>7210</v>
      </c>
      <c r="U1952" s="6">
        <v>23477</v>
      </c>
      <c r="V1952" s="2">
        <v>47037015613</v>
      </c>
      <c r="W1952" s="2" t="s">
        <v>68</v>
      </c>
      <c r="X1952" s="1">
        <v>45658</v>
      </c>
      <c r="Y1952" s="2">
        <v>85000</v>
      </c>
      <c r="Z1952" s="2">
        <v>0</v>
      </c>
      <c r="AA1952" s="2">
        <v>85000</v>
      </c>
    </row>
    <row r="1953" spans="1:27" x14ac:dyDescent="0.3">
      <c r="A1953" s="3">
        <v>28</v>
      </c>
      <c r="B1953" s="2" t="str">
        <f>"13501001700"</f>
        <v>13501001700</v>
      </c>
      <c r="C1953" s="2" t="s">
        <v>7211</v>
      </c>
      <c r="D1953" t="s">
        <v>29</v>
      </c>
      <c r="E1953" s="2" t="s">
        <v>30</v>
      </c>
      <c r="F1953" s="2">
        <v>37217</v>
      </c>
      <c r="G1953" s="2" t="s">
        <v>64</v>
      </c>
      <c r="H1953" t="s">
        <v>2707</v>
      </c>
      <c r="I1953" s="6">
        <v>33352</v>
      </c>
      <c r="J1953" s="2" t="s">
        <v>7212</v>
      </c>
      <c r="K1953" s="2">
        <v>71500</v>
      </c>
      <c r="L1953" t="s">
        <v>2689</v>
      </c>
      <c r="M1953" t="s">
        <v>29</v>
      </c>
      <c r="N1953" t="s">
        <v>30</v>
      </c>
      <c r="O1953">
        <v>37214</v>
      </c>
      <c r="P1953" t="s">
        <v>7213</v>
      </c>
      <c r="Q1953" s="2">
        <v>0.68</v>
      </c>
      <c r="R1953" s="2">
        <v>166</v>
      </c>
      <c r="S1953" s="2">
        <v>310</v>
      </c>
      <c r="T1953" t="s">
        <v>7214</v>
      </c>
      <c r="U1953" s="6">
        <v>27333</v>
      </c>
      <c r="V1953" s="2">
        <v>47037015613</v>
      </c>
      <c r="W1953" s="2" t="s">
        <v>68</v>
      </c>
      <c r="X1953" s="1">
        <v>45658</v>
      </c>
      <c r="Y1953" s="2">
        <v>106300</v>
      </c>
      <c r="Z1953" s="2">
        <v>0</v>
      </c>
      <c r="AA1953" s="2">
        <v>106300</v>
      </c>
    </row>
    <row r="1954" spans="1:27" x14ac:dyDescent="0.3">
      <c r="A1954" s="3">
        <v>28</v>
      </c>
      <c r="B1954" s="2" t="str">
        <f>"13501001600"</f>
        <v>13501001600</v>
      </c>
      <c r="C1954" s="2" t="s">
        <v>7215</v>
      </c>
      <c r="D1954" t="s">
        <v>29</v>
      </c>
      <c r="E1954" s="2" t="s">
        <v>30</v>
      </c>
      <c r="F1954" s="2">
        <v>37217</v>
      </c>
      <c r="G1954" s="2" t="s">
        <v>64</v>
      </c>
      <c r="H1954" t="s">
        <v>2707</v>
      </c>
      <c r="I1954" s="6">
        <v>33346</v>
      </c>
      <c r="J1954" s="2" t="s">
        <v>7216</v>
      </c>
      <c r="K1954" s="2">
        <v>68750</v>
      </c>
      <c r="L1954" t="s">
        <v>2689</v>
      </c>
      <c r="M1954" t="s">
        <v>29</v>
      </c>
      <c r="N1954" t="s">
        <v>30</v>
      </c>
      <c r="O1954">
        <v>37214</v>
      </c>
      <c r="P1954" t="s">
        <v>7217</v>
      </c>
      <c r="Q1954" s="2">
        <v>0.6</v>
      </c>
      <c r="R1954" s="2">
        <v>147</v>
      </c>
      <c r="S1954" s="2">
        <v>311</v>
      </c>
      <c r="T1954" t="s">
        <v>7218</v>
      </c>
      <c r="U1954" s="6">
        <v>25877</v>
      </c>
      <c r="V1954" s="2">
        <v>47037015613</v>
      </c>
      <c r="W1954" s="2" t="s">
        <v>68</v>
      </c>
      <c r="X1954" s="1">
        <v>45658</v>
      </c>
      <c r="Y1954" s="2">
        <v>106300</v>
      </c>
      <c r="Z1954" s="2">
        <v>0</v>
      </c>
      <c r="AA1954" s="2">
        <v>106300</v>
      </c>
    </row>
    <row r="1955" spans="1:27" x14ac:dyDescent="0.3">
      <c r="A1955" s="3">
        <v>28</v>
      </c>
      <c r="B1955" s="2" t="str">
        <f>"13501000400"</f>
        <v>13501000400</v>
      </c>
      <c r="C1955" s="2" t="s">
        <v>7219</v>
      </c>
      <c r="D1955" t="s">
        <v>29</v>
      </c>
      <c r="E1955" s="2" t="s">
        <v>30</v>
      </c>
      <c r="F1955" s="2">
        <v>37217</v>
      </c>
      <c r="G1955" s="2" t="s">
        <v>64</v>
      </c>
      <c r="H1955" t="s">
        <v>2707</v>
      </c>
      <c r="I1955" s="6">
        <v>38370</v>
      </c>
      <c r="J1955" s="2" t="s">
        <v>7220</v>
      </c>
      <c r="K1955" s="2">
        <v>121000</v>
      </c>
      <c r="L1955" t="s">
        <v>2689</v>
      </c>
      <c r="M1955" t="s">
        <v>29</v>
      </c>
      <c r="N1955" t="s">
        <v>30</v>
      </c>
      <c r="O1955">
        <v>37214</v>
      </c>
      <c r="P1955" t="s">
        <v>7221</v>
      </c>
      <c r="Q1955" s="2">
        <v>0.32</v>
      </c>
      <c r="R1955" s="2">
        <v>65</v>
      </c>
      <c r="S1955" s="2">
        <v>178</v>
      </c>
      <c r="T1955" t="s">
        <v>7222</v>
      </c>
      <c r="U1955" s="6">
        <v>25476</v>
      </c>
      <c r="V1955" s="2">
        <v>47037015613</v>
      </c>
      <c r="W1955" s="2" t="s">
        <v>68</v>
      </c>
      <c r="X1955" s="1">
        <v>45658</v>
      </c>
      <c r="Y1955" s="2">
        <v>85000</v>
      </c>
      <c r="Z1955" s="2">
        <v>0</v>
      </c>
      <c r="AA1955" s="2">
        <v>85000</v>
      </c>
    </row>
    <row r="1956" spans="1:27" x14ac:dyDescent="0.3">
      <c r="A1956" s="3">
        <v>28</v>
      </c>
      <c r="B1956" s="2" t="str">
        <f>"13404002800"</f>
        <v>13404002800</v>
      </c>
      <c r="C1956" s="2" t="s">
        <v>7223</v>
      </c>
      <c r="D1956" t="s">
        <v>29</v>
      </c>
      <c r="E1956" s="2" t="s">
        <v>30</v>
      </c>
      <c r="F1956" s="2">
        <v>37217</v>
      </c>
      <c r="G1956" s="2" t="s">
        <v>64</v>
      </c>
      <c r="H1956" t="s">
        <v>2707</v>
      </c>
      <c r="I1956" s="6">
        <v>33344</v>
      </c>
      <c r="J1956" s="2" t="s">
        <v>7224</v>
      </c>
      <c r="K1956" s="2">
        <v>67000</v>
      </c>
      <c r="L1956" t="s">
        <v>2689</v>
      </c>
      <c r="M1956" t="s">
        <v>29</v>
      </c>
      <c r="N1956" t="s">
        <v>30</v>
      </c>
      <c r="O1956">
        <v>37214</v>
      </c>
      <c r="P1956" t="s">
        <v>7225</v>
      </c>
      <c r="Q1956" s="2">
        <v>0.46</v>
      </c>
      <c r="R1956" s="2">
        <v>127</v>
      </c>
      <c r="S1956" s="2">
        <v>280</v>
      </c>
      <c r="T1956" t="s">
        <v>7226</v>
      </c>
      <c r="U1956" s="6">
        <v>24950</v>
      </c>
      <c r="V1956" s="2">
        <v>47037015613</v>
      </c>
      <c r="W1956" s="2" t="s">
        <v>68</v>
      </c>
      <c r="X1956" s="1">
        <v>45658</v>
      </c>
      <c r="Y1956" s="2">
        <v>26600</v>
      </c>
      <c r="Z1956" s="2">
        <v>0</v>
      </c>
      <c r="AA1956" s="2">
        <v>26600</v>
      </c>
    </row>
    <row r="1957" spans="1:27" x14ac:dyDescent="0.3">
      <c r="A1957" s="3">
        <v>28</v>
      </c>
      <c r="B1957" s="2" t="str">
        <f>"13501001800"</f>
        <v>13501001800</v>
      </c>
      <c r="C1957" s="2" t="s">
        <v>7227</v>
      </c>
      <c r="D1957" t="s">
        <v>29</v>
      </c>
      <c r="E1957" s="2" t="s">
        <v>30</v>
      </c>
      <c r="F1957" s="2">
        <v>37217</v>
      </c>
      <c r="G1957" s="2" t="s">
        <v>64</v>
      </c>
      <c r="H1957" t="s">
        <v>2707</v>
      </c>
      <c r="I1957" s="6">
        <v>33368</v>
      </c>
      <c r="J1957" s="2" t="s">
        <v>7228</v>
      </c>
      <c r="K1957" s="2">
        <v>68500</v>
      </c>
      <c r="L1957" t="s">
        <v>2689</v>
      </c>
      <c r="M1957" t="s">
        <v>29</v>
      </c>
      <c r="N1957" t="s">
        <v>30</v>
      </c>
      <c r="O1957">
        <v>37214</v>
      </c>
      <c r="P1957" t="s">
        <v>7229</v>
      </c>
      <c r="Q1957" s="2">
        <v>0.61</v>
      </c>
      <c r="R1957" s="2">
        <v>123</v>
      </c>
      <c r="S1957" s="2">
        <v>304</v>
      </c>
      <c r="T1957" t="s">
        <v>7230</v>
      </c>
      <c r="U1957" s="6">
        <v>23909</v>
      </c>
      <c r="V1957" s="2">
        <v>47037015613</v>
      </c>
      <c r="W1957" s="2" t="s">
        <v>68</v>
      </c>
      <c r="X1957" s="1">
        <v>45658</v>
      </c>
      <c r="Y1957" s="2">
        <v>106300</v>
      </c>
      <c r="Z1957" s="2">
        <v>0</v>
      </c>
      <c r="AA1957" s="2">
        <v>106300</v>
      </c>
    </row>
    <row r="1958" spans="1:27" x14ac:dyDescent="0.3">
      <c r="A1958" s="3">
        <v>28</v>
      </c>
      <c r="B1958" s="2" t="str">
        <f>"13501001900"</f>
        <v>13501001900</v>
      </c>
      <c r="C1958" s="2" t="s">
        <v>7231</v>
      </c>
      <c r="D1958" t="s">
        <v>29</v>
      </c>
      <c r="E1958" s="2" t="s">
        <v>30</v>
      </c>
      <c r="F1958" s="2">
        <v>37217</v>
      </c>
      <c r="G1958" s="2" t="s">
        <v>64</v>
      </c>
      <c r="H1958" t="s">
        <v>2707</v>
      </c>
      <c r="I1958" s="6">
        <v>33547</v>
      </c>
      <c r="J1958" s="2" t="s">
        <v>7232</v>
      </c>
      <c r="K1958" s="2">
        <v>62000</v>
      </c>
      <c r="L1958" t="s">
        <v>2689</v>
      </c>
      <c r="M1958" t="s">
        <v>29</v>
      </c>
      <c r="N1958" t="s">
        <v>30</v>
      </c>
      <c r="O1958">
        <v>37214</v>
      </c>
      <c r="P1958" t="s">
        <v>7233</v>
      </c>
      <c r="Q1958" s="2">
        <v>0.65</v>
      </c>
      <c r="R1958" s="2">
        <v>171</v>
      </c>
      <c r="S1958" s="2">
        <v>137</v>
      </c>
      <c r="T1958" t="s">
        <v>7234</v>
      </c>
      <c r="U1958" s="6">
        <v>22962</v>
      </c>
      <c r="V1958" s="2">
        <v>47037015613</v>
      </c>
      <c r="W1958" s="2" t="s">
        <v>68</v>
      </c>
      <c r="X1958" s="1">
        <v>45658</v>
      </c>
      <c r="Y1958" s="2">
        <v>106300</v>
      </c>
      <c r="Z1958" s="2">
        <v>0</v>
      </c>
      <c r="AA1958" s="2">
        <v>106300</v>
      </c>
    </row>
    <row r="1959" spans="1:27" x14ac:dyDescent="0.3">
      <c r="A1959" s="3">
        <v>28</v>
      </c>
      <c r="B1959" s="2" t="str">
        <f>"13501001400"</f>
        <v>13501001400</v>
      </c>
      <c r="C1959" s="2" t="s">
        <v>7235</v>
      </c>
      <c r="D1959" t="s">
        <v>29</v>
      </c>
      <c r="E1959" s="2" t="s">
        <v>30</v>
      </c>
      <c r="F1959" s="2">
        <v>37217</v>
      </c>
      <c r="G1959" s="2" t="s">
        <v>64</v>
      </c>
      <c r="H1959" t="s">
        <v>2707</v>
      </c>
      <c r="I1959" s="6">
        <v>33515</v>
      </c>
      <c r="J1959" s="2" t="s">
        <v>7236</v>
      </c>
      <c r="K1959" s="2">
        <v>86000</v>
      </c>
      <c r="L1959" t="s">
        <v>2689</v>
      </c>
      <c r="M1959" t="s">
        <v>29</v>
      </c>
      <c r="N1959" t="s">
        <v>30</v>
      </c>
      <c r="O1959">
        <v>37214</v>
      </c>
      <c r="P1959" t="s">
        <v>7237</v>
      </c>
      <c r="Q1959" s="2">
        <v>0.52</v>
      </c>
      <c r="R1959" s="2">
        <v>98</v>
      </c>
      <c r="S1959" s="2">
        <v>308</v>
      </c>
      <c r="T1959" t="s">
        <v>7238</v>
      </c>
      <c r="U1959" s="6">
        <v>25272</v>
      </c>
      <c r="V1959" s="2">
        <v>47037015613</v>
      </c>
      <c r="W1959" s="2" t="s">
        <v>68</v>
      </c>
      <c r="X1959" s="1">
        <v>45658</v>
      </c>
      <c r="Y1959" s="2">
        <v>106300</v>
      </c>
      <c r="Z1959" s="2">
        <v>0</v>
      </c>
      <c r="AA1959" s="2">
        <v>106300</v>
      </c>
    </row>
    <row r="1960" spans="1:27" x14ac:dyDescent="0.3">
      <c r="A1960" s="3">
        <v>28</v>
      </c>
      <c r="B1960" s="2" t="str">
        <f>"13404002500"</f>
        <v>13404002500</v>
      </c>
      <c r="C1960" s="2" t="s">
        <v>7239</v>
      </c>
      <c r="D1960" t="s">
        <v>29</v>
      </c>
      <c r="E1960" s="2" t="s">
        <v>30</v>
      </c>
      <c r="F1960" s="2">
        <v>37217</v>
      </c>
      <c r="G1960" s="2" t="s">
        <v>64</v>
      </c>
      <c r="H1960" t="s">
        <v>2707</v>
      </c>
      <c r="I1960" s="6">
        <v>33393</v>
      </c>
      <c r="J1960" s="2" t="s">
        <v>7240</v>
      </c>
      <c r="K1960" s="2">
        <v>83000</v>
      </c>
      <c r="L1960" t="s">
        <v>2689</v>
      </c>
      <c r="M1960" t="s">
        <v>29</v>
      </c>
      <c r="N1960" t="s">
        <v>30</v>
      </c>
      <c r="O1960">
        <v>37214</v>
      </c>
      <c r="P1960" t="s">
        <v>7241</v>
      </c>
      <c r="Q1960" s="2">
        <v>0.56000000000000005</v>
      </c>
      <c r="R1960" s="2">
        <v>117</v>
      </c>
      <c r="S1960" s="2">
        <v>185</v>
      </c>
      <c r="T1960" t="s">
        <v>7242</v>
      </c>
      <c r="U1960" s="6">
        <v>26201</v>
      </c>
      <c r="V1960" s="2">
        <v>47037015613</v>
      </c>
      <c r="W1960" s="2" t="s">
        <v>68</v>
      </c>
      <c r="X1960" s="1">
        <v>45658</v>
      </c>
      <c r="Y1960" s="2">
        <v>106300</v>
      </c>
      <c r="Z1960" s="2">
        <v>0</v>
      </c>
      <c r="AA1960" s="2">
        <v>106300</v>
      </c>
    </row>
    <row r="1961" spans="1:27" x14ac:dyDescent="0.3">
      <c r="A1961" s="3">
        <v>28</v>
      </c>
      <c r="B1961" s="2" t="str">
        <f>"13501000100"</f>
        <v>13501000100</v>
      </c>
      <c r="C1961" s="2" t="s">
        <v>7243</v>
      </c>
      <c r="D1961" t="s">
        <v>29</v>
      </c>
      <c r="E1961" s="2" t="s">
        <v>30</v>
      </c>
      <c r="F1961" s="2">
        <v>37217</v>
      </c>
      <c r="G1961" s="2" t="s">
        <v>64</v>
      </c>
      <c r="H1961" t="s">
        <v>2707</v>
      </c>
      <c r="I1961" s="6">
        <v>33309</v>
      </c>
      <c r="J1961" s="2" t="s">
        <v>7244</v>
      </c>
      <c r="K1961" s="2">
        <v>60000</v>
      </c>
      <c r="L1961" t="s">
        <v>2689</v>
      </c>
      <c r="M1961" t="s">
        <v>29</v>
      </c>
      <c r="N1961" t="s">
        <v>30</v>
      </c>
      <c r="O1961">
        <v>37214</v>
      </c>
      <c r="P1961" t="s">
        <v>7245</v>
      </c>
      <c r="Q1961" s="2">
        <v>0.41</v>
      </c>
      <c r="R1961" s="2">
        <v>93</v>
      </c>
      <c r="S1961" s="2">
        <v>140</v>
      </c>
      <c r="T1961" t="s">
        <v>7246</v>
      </c>
      <c r="U1961" s="6">
        <v>26407</v>
      </c>
      <c r="V1961" s="2">
        <v>47037015613</v>
      </c>
      <c r="W1961" s="2" t="s">
        <v>68</v>
      </c>
      <c r="X1961" s="1">
        <v>45658</v>
      </c>
      <c r="Y1961" s="2">
        <v>85000</v>
      </c>
      <c r="Z1961" s="2">
        <v>0</v>
      </c>
      <c r="AA1961" s="2">
        <v>85000</v>
      </c>
    </row>
    <row r="1962" spans="1:27" x14ac:dyDescent="0.3">
      <c r="A1962" s="3">
        <v>28</v>
      </c>
      <c r="B1962" s="2" t="str">
        <f>"13501002000"</f>
        <v>13501002000</v>
      </c>
      <c r="C1962" s="2" t="s">
        <v>7247</v>
      </c>
      <c r="D1962" t="s">
        <v>29</v>
      </c>
      <c r="E1962" s="2" t="s">
        <v>30</v>
      </c>
      <c r="F1962" s="2">
        <v>37217</v>
      </c>
      <c r="G1962" s="2" t="s">
        <v>64</v>
      </c>
      <c r="H1962" t="s">
        <v>2707</v>
      </c>
      <c r="I1962" s="6">
        <v>33470</v>
      </c>
      <c r="J1962" s="2" t="s">
        <v>7248</v>
      </c>
      <c r="K1962" s="2">
        <v>67000</v>
      </c>
      <c r="L1962" t="s">
        <v>2689</v>
      </c>
      <c r="M1962" t="s">
        <v>29</v>
      </c>
      <c r="N1962" t="s">
        <v>30</v>
      </c>
      <c r="O1962">
        <v>37214</v>
      </c>
      <c r="P1962" t="s">
        <v>7249</v>
      </c>
      <c r="Q1962" s="2">
        <v>0.39</v>
      </c>
      <c r="R1962" s="2">
        <v>89</v>
      </c>
      <c r="S1962" s="2">
        <v>202</v>
      </c>
      <c r="T1962" t="s">
        <v>7250</v>
      </c>
      <c r="U1962" s="6">
        <v>23417</v>
      </c>
      <c r="V1962" s="2">
        <v>47037015613</v>
      </c>
      <c r="W1962" s="2" t="s">
        <v>68</v>
      </c>
      <c r="X1962" s="1">
        <v>45658</v>
      </c>
      <c r="Y1962" s="2">
        <v>85000</v>
      </c>
      <c r="Z1962" s="2">
        <v>0</v>
      </c>
      <c r="AA1962" s="2">
        <v>85000</v>
      </c>
    </row>
    <row r="1963" spans="1:27" x14ac:dyDescent="0.3">
      <c r="A1963" s="3">
        <v>28</v>
      </c>
      <c r="B1963" s="2" t="str">
        <f>"13501002200"</f>
        <v>13501002200</v>
      </c>
      <c r="C1963" s="2" t="s">
        <v>7251</v>
      </c>
      <c r="D1963" t="s">
        <v>29</v>
      </c>
      <c r="E1963" s="2" t="s">
        <v>30</v>
      </c>
      <c r="F1963" s="2">
        <v>37217</v>
      </c>
      <c r="G1963" s="2" t="s">
        <v>64</v>
      </c>
      <c r="H1963" t="s">
        <v>2707</v>
      </c>
      <c r="I1963" s="6">
        <v>33374</v>
      </c>
      <c r="J1963" s="2" t="s">
        <v>7252</v>
      </c>
      <c r="K1963" s="2">
        <v>68000</v>
      </c>
      <c r="L1963" t="s">
        <v>2689</v>
      </c>
      <c r="M1963" t="s">
        <v>29</v>
      </c>
      <c r="N1963" t="s">
        <v>30</v>
      </c>
      <c r="O1963">
        <v>37214</v>
      </c>
      <c r="P1963" t="s">
        <v>7253</v>
      </c>
      <c r="Q1963" s="2">
        <v>0.61</v>
      </c>
      <c r="R1963" s="2">
        <v>97</v>
      </c>
      <c r="S1963" s="2">
        <v>253</v>
      </c>
      <c r="T1963" t="s">
        <v>7254</v>
      </c>
      <c r="U1963" s="6">
        <v>26584</v>
      </c>
      <c r="V1963" s="2">
        <v>47037015613</v>
      </c>
      <c r="W1963" s="2" t="s">
        <v>68</v>
      </c>
      <c r="X1963" s="1">
        <v>45658</v>
      </c>
      <c r="Y1963" s="2">
        <v>106300</v>
      </c>
      <c r="Z1963" s="2">
        <v>0</v>
      </c>
      <c r="AA1963" s="2">
        <v>106300</v>
      </c>
    </row>
    <row r="1964" spans="1:27" x14ac:dyDescent="0.3">
      <c r="A1964" s="3">
        <v>28</v>
      </c>
      <c r="B1964" s="2" t="str">
        <f>"13404002200"</f>
        <v>13404002200</v>
      </c>
      <c r="C1964" s="2" t="s">
        <v>7255</v>
      </c>
      <c r="D1964" t="s">
        <v>29</v>
      </c>
      <c r="E1964" s="2" t="s">
        <v>30</v>
      </c>
      <c r="F1964" s="2">
        <v>37217</v>
      </c>
      <c r="G1964" s="2" t="s">
        <v>64</v>
      </c>
      <c r="H1964" t="s">
        <v>2707</v>
      </c>
      <c r="I1964" s="6">
        <v>33527</v>
      </c>
      <c r="J1964" s="2" t="s">
        <v>7256</v>
      </c>
      <c r="K1964" s="2">
        <v>76000</v>
      </c>
      <c r="L1964" t="s">
        <v>2689</v>
      </c>
      <c r="M1964" t="s">
        <v>29</v>
      </c>
      <c r="N1964" t="s">
        <v>30</v>
      </c>
      <c r="O1964">
        <v>37214</v>
      </c>
      <c r="P1964" t="s">
        <v>7257</v>
      </c>
      <c r="Q1964" s="2">
        <v>0.32</v>
      </c>
      <c r="R1964" s="2">
        <v>105</v>
      </c>
      <c r="S1964" s="2">
        <v>103</v>
      </c>
      <c r="T1964" t="s">
        <v>7258</v>
      </c>
      <c r="U1964" s="6">
        <v>26193</v>
      </c>
      <c r="V1964" s="2">
        <v>47037015613</v>
      </c>
      <c r="W1964" s="2" t="s">
        <v>68</v>
      </c>
      <c r="X1964" s="1">
        <v>45658</v>
      </c>
      <c r="Y1964" s="2">
        <v>85000</v>
      </c>
      <c r="Z1964" s="2">
        <v>0</v>
      </c>
      <c r="AA1964" s="2">
        <v>85000</v>
      </c>
    </row>
    <row r="1965" spans="1:27" x14ac:dyDescent="0.3">
      <c r="A1965" s="3">
        <v>28</v>
      </c>
      <c r="B1965" s="2" t="str">
        <f>"13404001500"</f>
        <v>13404001500</v>
      </c>
      <c r="C1965" s="2" t="s">
        <v>7259</v>
      </c>
      <c r="D1965" t="s">
        <v>29</v>
      </c>
      <c r="E1965" s="2" t="s">
        <v>30</v>
      </c>
      <c r="F1965" s="2">
        <v>37217</v>
      </c>
      <c r="G1965" s="2" t="s">
        <v>64</v>
      </c>
      <c r="H1965" t="s">
        <v>2707</v>
      </c>
      <c r="I1965" s="6">
        <v>33505</v>
      </c>
      <c r="J1965" s="2" t="s">
        <v>7260</v>
      </c>
      <c r="K1965" s="2">
        <v>60000</v>
      </c>
      <c r="L1965" t="s">
        <v>2689</v>
      </c>
      <c r="M1965" t="s">
        <v>29</v>
      </c>
      <c r="N1965" t="s">
        <v>30</v>
      </c>
      <c r="O1965">
        <v>37214</v>
      </c>
      <c r="P1965" t="s">
        <v>7261</v>
      </c>
      <c r="Q1965" s="2">
        <v>0.28999999999999998</v>
      </c>
      <c r="R1965" s="2">
        <v>49</v>
      </c>
      <c r="S1965" s="2">
        <v>185</v>
      </c>
      <c r="T1965" t="s">
        <v>7262</v>
      </c>
      <c r="U1965" s="6">
        <v>23655</v>
      </c>
      <c r="V1965" s="2">
        <v>47037015613</v>
      </c>
      <c r="W1965" s="2" t="s">
        <v>68</v>
      </c>
      <c r="X1965" s="1">
        <v>45658</v>
      </c>
      <c r="Y1965" s="2">
        <v>85000</v>
      </c>
      <c r="Z1965" s="2">
        <v>0</v>
      </c>
      <c r="AA1965" s="2">
        <v>85000</v>
      </c>
    </row>
    <row r="1966" spans="1:27" x14ac:dyDescent="0.3">
      <c r="A1966" s="3">
        <v>28</v>
      </c>
      <c r="B1966" s="2" t="str">
        <f>"13404002100"</f>
        <v>13404002100</v>
      </c>
      <c r="C1966" s="2" t="s">
        <v>7263</v>
      </c>
      <c r="D1966" t="s">
        <v>29</v>
      </c>
      <c r="E1966" s="2" t="s">
        <v>30</v>
      </c>
      <c r="F1966" s="2">
        <v>37217</v>
      </c>
      <c r="G1966" s="2" t="s">
        <v>64</v>
      </c>
      <c r="H1966" t="s">
        <v>2707</v>
      </c>
      <c r="I1966" s="6">
        <v>33424</v>
      </c>
      <c r="J1966" s="2" t="s">
        <v>7264</v>
      </c>
      <c r="K1966" s="2">
        <v>75000</v>
      </c>
      <c r="L1966" t="s">
        <v>2689</v>
      </c>
      <c r="M1966" t="s">
        <v>29</v>
      </c>
      <c r="N1966" t="s">
        <v>30</v>
      </c>
      <c r="O1966">
        <v>37214</v>
      </c>
      <c r="P1966" t="s">
        <v>7265</v>
      </c>
      <c r="Q1966" s="2">
        <v>0.32</v>
      </c>
      <c r="R1966" s="2">
        <v>133</v>
      </c>
      <c r="S1966" s="2">
        <v>161</v>
      </c>
      <c r="T1966" t="s">
        <v>7266</v>
      </c>
      <c r="U1966" s="6">
        <v>24255</v>
      </c>
      <c r="V1966" s="2">
        <v>47037015613</v>
      </c>
      <c r="W1966" s="2" t="s">
        <v>68</v>
      </c>
      <c r="X1966" s="1">
        <v>45658</v>
      </c>
      <c r="Y1966" s="2">
        <v>85000</v>
      </c>
      <c r="Z1966" s="2">
        <v>0</v>
      </c>
      <c r="AA1966" s="2">
        <v>85000</v>
      </c>
    </row>
    <row r="1967" spans="1:27" x14ac:dyDescent="0.3">
      <c r="A1967" s="3">
        <v>28</v>
      </c>
      <c r="B1967" s="2" t="str">
        <f>"13404001600"</f>
        <v>13404001600</v>
      </c>
      <c r="C1967" s="2" t="s">
        <v>7267</v>
      </c>
      <c r="D1967" t="s">
        <v>29</v>
      </c>
      <c r="E1967" s="2" t="s">
        <v>30</v>
      </c>
      <c r="F1967" s="2">
        <v>37217</v>
      </c>
      <c r="G1967" s="2" t="s">
        <v>64</v>
      </c>
      <c r="H1967" t="s">
        <v>2707</v>
      </c>
      <c r="I1967" s="6">
        <v>33365</v>
      </c>
      <c r="J1967" s="2" t="s">
        <v>7268</v>
      </c>
      <c r="K1967" s="2">
        <v>77000</v>
      </c>
      <c r="L1967" t="s">
        <v>2689</v>
      </c>
      <c r="M1967" t="s">
        <v>29</v>
      </c>
      <c r="N1967" t="s">
        <v>30</v>
      </c>
      <c r="O1967">
        <v>37214</v>
      </c>
      <c r="P1967" t="s">
        <v>7269</v>
      </c>
      <c r="Q1967" s="2">
        <v>0.44</v>
      </c>
      <c r="R1967" s="2">
        <v>107</v>
      </c>
      <c r="S1967" s="2">
        <v>191</v>
      </c>
      <c r="T1967" t="s">
        <v>7270</v>
      </c>
      <c r="U1967" s="6">
        <v>23879</v>
      </c>
      <c r="V1967" s="2">
        <v>47037015613</v>
      </c>
      <c r="W1967" s="2" t="s">
        <v>68</v>
      </c>
      <c r="X1967" s="1">
        <v>45658</v>
      </c>
      <c r="Y1967" s="2">
        <v>85000</v>
      </c>
      <c r="Z1967" s="2">
        <v>0</v>
      </c>
      <c r="AA1967" s="2">
        <v>85000</v>
      </c>
    </row>
    <row r="1968" spans="1:27" x14ac:dyDescent="0.3">
      <c r="A1968" s="3">
        <v>28</v>
      </c>
      <c r="B1968" s="2" t="str">
        <f>"13404001800"</f>
        <v>13404001800</v>
      </c>
      <c r="C1968" s="2" t="s">
        <v>7271</v>
      </c>
      <c r="D1968" t="s">
        <v>29</v>
      </c>
      <c r="E1968" s="2" t="s">
        <v>30</v>
      </c>
      <c r="F1968" s="2">
        <v>37217</v>
      </c>
      <c r="G1968" s="2" t="s">
        <v>64</v>
      </c>
      <c r="H1968" t="s">
        <v>2707</v>
      </c>
      <c r="I1968" s="6">
        <v>33394</v>
      </c>
      <c r="J1968" s="2" t="s">
        <v>7272</v>
      </c>
      <c r="K1968" s="2">
        <v>73000</v>
      </c>
      <c r="L1968" t="s">
        <v>2689</v>
      </c>
      <c r="M1968" t="s">
        <v>29</v>
      </c>
      <c r="N1968" t="s">
        <v>30</v>
      </c>
      <c r="O1968">
        <v>37214</v>
      </c>
      <c r="P1968" t="s">
        <v>7273</v>
      </c>
      <c r="Q1968" s="2">
        <v>0.37</v>
      </c>
      <c r="R1968" s="2">
        <v>100</v>
      </c>
      <c r="S1968" s="2">
        <v>183</v>
      </c>
      <c r="T1968" t="s">
        <v>7274</v>
      </c>
      <c r="U1968" s="6">
        <v>23233</v>
      </c>
      <c r="V1968" s="2">
        <v>47037015613</v>
      </c>
      <c r="W1968" s="2" t="s">
        <v>68</v>
      </c>
      <c r="X1968" s="1">
        <v>45658</v>
      </c>
      <c r="Y1968" s="2">
        <v>85000</v>
      </c>
      <c r="Z1968" s="2">
        <v>0</v>
      </c>
      <c r="AA1968" s="2">
        <v>85000</v>
      </c>
    </row>
    <row r="1969" spans="1:27" x14ac:dyDescent="0.3">
      <c r="A1969" s="3">
        <v>28</v>
      </c>
      <c r="B1969" s="2" t="str">
        <f>"13501000800"</f>
        <v>13501000800</v>
      </c>
      <c r="C1969" s="2" t="s">
        <v>7275</v>
      </c>
      <c r="D1969" t="s">
        <v>29</v>
      </c>
      <c r="E1969" s="2" t="s">
        <v>30</v>
      </c>
      <c r="F1969" s="2">
        <v>37217</v>
      </c>
      <c r="G1969" s="2" t="s">
        <v>64</v>
      </c>
      <c r="H1969" t="s">
        <v>2707</v>
      </c>
      <c r="I1969" s="6">
        <v>33368</v>
      </c>
      <c r="J1969" s="2" t="s">
        <v>7276</v>
      </c>
      <c r="K1969" s="2">
        <v>53500</v>
      </c>
      <c r="L1969" t="s">
        <v>2689</v>
      </c>
      <c r="M1969" t="s">
        <v>29</v>
      </c>
      <c r="N1969" t="s">
        <v>30</v>
      </c>
      <c r="O1969">
        <v>37214</v>
      </c>
      <c r="P1969" t="s">
        <v>7277</v>
      </c>
      <c r="Q1969" s="2">
        <v>0.5</v>
      </c>
      <c r="R1969" s="2">
        <v>60</v>
      </c>
      <c r="S1969" s="2">
        <v>242</v>
      </c>
      <c r="T1969" t="s">
        <v>7278</v>
      </c>
      <c r="U1969" s="6">
        <v>25692</v>
      </c>
      <c r="V1969" s="2">
        <v>47037015613</v>
      </c>
      <c r="W1969" s="2" t="s">
        <v>68</v>
      </c>
      <c r="X1969" s="1">
        <v>45658</v>
      </c>
      <c r="Y1969" s="2">
        <v>106300</v>
      </c>
      <c r="Z1969" s="2">
        <v>0</v>
      </c>
      <c r="AA1969" s="2">
        <v>106300</v>
      </c>
    </row>
    <row r="1970" spans="1:27" x14ac:dyDescent="0.3">
      <c r="A1970" s="3">
        <v>28</v>
      </c>
      <c r="B1970" s="2" t="str">
        <f>"13501000700"</f>
        <v>13501000700</v>
      </c>
      <c r="C1970" s="2" t="s">
        <v>7279</v>
      </c>
      <c r="D1970" t="s">
        <v>29</v>
      </c>
      <c r="E1970" s="2" t="s">
        <v>30</v>
      </c>
      <c r="F1970" s="2">
        <v>37217</v>
      </c>
      <c r="G1970" s="2" t="s">
        <v>64</v>
      </c>
      <c r="H1970" t="s">
        <v>2707</v>
      </c>
      <c r="I1970" s="6">
        <v>33613</v>
      </c>
      <c r="J1970" s="2" t="s">
        <v>7280</v>
      </c>
      <c r="K1970" s="2" t="s">
        <v>34</v>
      </c>
      <c r="L1970" t="s">
        <v>2689</v>
      </c>
      <c r="M1970" t="s">
        <v>29</v>
      </c>
      <c r="N1970" t="s">
        <v>30</v>
      </c>
      <c r="O1970">
        <v>37214</v>
      </c>
      <c r="P1970" t="s">
        <v>7281</v>
      </c>
      <c r="Q1970" s="2">
        <v>0.55000000000000004</v>
      </c>
      <c r="R1970" s="2">
        <v>71</v>
      </c>
      <c r="S1970" s="2">
        <v>235</v>
      </c>
      <c r="T1970" t="s">
        <v>7282</v>
      </c>
      <c r="U1970" s="6">
        <v>24681</v>
      </c>
      <c r="V1970" s="2">
        <v>47037015613</v>
      </c>
      <c r="W1970" s="2" t="s">
        <v>68</v>
      </c>
      <c r="X1970" s="1">
        <v>45658</v>
      </c>
      <c r="Y1970" s="2">
        <v>106300</v>
      </c>
      <c r="Z1970" s="2">
        <v>0</v>
      </c>
      <c r="AA1970" s="2">
        <v>106300</v>
      </c>
    </row>
    <row r="1971" spans="1:27" x14ac:dyDescent="0.3">
      <c r="A1971" s="3">
        <v>28</v>
      </c>
      <c r="B1971" s="2" t="str">
        <f>"13501002500"</f>
        <v>13501002500</v>
      </c>
      <c r="C1971" s="2" t="s">
        <v>7283</v>
      </c>
      <c r="D1971" t="s">
        <v>29</v>
      </c>
      <c r="E1971" s="2" t="s">
        <v>30</v>
      </c>
      <c r="F1971" s="2">
        <v>37217</v>
      </c>
      <c r="G1971" s="2" t="s">
        <v>64</v>
      </c>
      <c r="H1971" t="s">
        <v>2707</v>
      </c>
      <c r="I1971" s="6">
        <v>33396</v>
      </c>
      <c r="J1971" s="2" t="s">
        <v>7284</v>
      </c>
      <c r="K1971" s="2">
        <v>80000</v>
      </c>
      <c r="L1971" t="s">
        <v>2689</v>
      </c>
      <c r="M1971" t="s">
        <v>29</v>
      </c>
      <c r="N1971" t="s">
        <v>30</v>
      </c>
      <c r="O1971">
        <v>37214</v>
      </c>
      <c r="P1971" t="s">
        <v>7285</v>
      </c>
      <c r="Q1971" s="2">
        <v>0.74</v>
      </c>
      <c r="R1971" s="2">
        <v>150</v>
      </c>
      <c r="S1971" s="2">
        <v>261</v>
      </c>
      <c r="T1971" t="s">
        <v>7286</v>
      </c>
      <c r="U1971" s="6">
        <v>23025</v>
      </c>
      <c r="V1971" s="2">
        <v>47037015613</v>
      </c>
      <c r="W1971" s="2" t="s">
        <v>68</v>
      </c>
      <c r="X1971" s="1">
        <v>45658</v>
      </c>
      <c r="Y1971" s="2">
        <v>106300</v>
      </c>
      <c r="Z1971" s="2">
        <v>0</v>
      </c>
      <c r="AA1971" s="2">
        <v>106300</v>
      </c>
    </row>
    <row r="1972" spans="1:27" x14ac:dyDescent="0.3">
      <c r="A1972" s="3">
        <v>28</v>
      </c>
      <c r="B1972" s="2" t="str">
        <f>"13404001700"</f>
        <v>13404001700</v>
      </c>
      <c r="C1972" s="2" t="s">
        <v>7287</v>
      </c>
      <c r="D1972" t="s">
        <v>29</v>
      </c>
      <c r="E1972" s="2" t="s">
        <v>30</v>
      </c>
      <c r="F1972" s="2">
        <v>37217</v>
      </c>
      <c r="G1972" s="2" t="s">
        <v>64</v>
      </c>
      <c r="H1972" t="s">
        <v>2707</v>
      </c>
      <c r="I1972" s="6">
        <v>33501</v>
      </c>
      <c r="J1972" s="2" t="s">
        <v>7288</v>
      </c>
      <c r="K1972" s="2">
        <v>78000</v>
      </c>
      <c r="L1972" t="s">
        <v>2689</v>
      </c>
      <c r="M1972" t="s">
        <v>29</v>
      </c>
      <c r="N1972" t="s">
        <v>30</v>
      </c>
      <c r="O1972">
        <v>37214</v>
      </c>
      <c r="P1972" t="s">
        <v>7289</v>
      </c>
      <c r="Q1972" s="2">
        <v>0.48</v>
      </c>
      <c r="R1972" s="2">
        <v>98</v>
      </c>
      <c r="S1972" s="2">
        <v>191</v>
      </c>
      <c r="T1972" t="s">
        <v>7290</v>
      </c>
      <c r="U1972" s="6">
        <v>23185</v>
      </c>
      <c r="V1972" s="2">
        <v>47037015613</v>
      </c>
      <c r="W1972" s="2" t="s">
        <v>68</v>
      </c>
      <c r="X1972" s="1">
        <v>45658</v>
      </c>
      <c r="Y1972" s="2">
        <v>106300</v>
      </c>
      <c r="Z1972" s="2">
        <v>0</v>
      </c>
      <c r="AA1972" s="2">
        <v>106300</v>
      </c>
    </row>
    <row r="1973" spans="1:27" x14ac:dyDescent="0.3">
      <c r="A1973" s="3">
        <v>28</v>
      </c>
      <c r="B1973" s="2" t="str">
        <f>"13404002900"</f>
        <v>13404002900</v>
      </c>
      <c r="C1973" s="2" t="s">
        <v>7291</v>
      </c>
      <c r="D1973" t="s">
        <v>29</v>
      </c>
      <c r="E1973" s="2" t="s">
        <v>30</v>
      </c>
      <c r="F1973" s="2">
        <v>37217</v>
      </c>
      <c r="G1973" s="2" t="s">
        <v>64</v>
      </c>
      <c r="H1973" t="s">
        <v>2707</v>
      </c>
      <c r="I1973" s="6">
        <v>33515</v>
      </c>
      <c r="J1973" s="2" t="s">
        <v>7292</v>
      </c>
      <c r="K1973" s="2">
        <v>85000</v>
      </c>
      <c r="L1973" t="s">
        <v>2689</v>
      </c>
      <c r="M1973" t="s">
        <v>29</v>
      </c>
      <c r="N1973" t="s">
        <v>30</v>
      </c>
      <c r="O1973">
        <v>37214</v>
      </c>
      <c r="P1973" t="s">
        <v>7293</v>
      </c>
      <c r="Q1973" s="2">
        <v>0.51</v>
      </c>
      <c r="R1973" s="2">
        <v>83</v>
      </c>
      <c r="S1973" s="2">
        <v>209</v>
      </c>
      <c r="T1973" t="s">
        <v>7294</v>
      </c>
      <c r="U1973" s="6">
        <v>26815</v>
      </c>
      <c r="V1973" s="2">
        <v>47037015613</v>
      </c>
      <c r="W1973" s="2" t="s">
        <v>68</v>
      </c>
      <c r="X1973" s="1">
        <v>45658</v>
      </c>
      <c r="Y1973" s="2">
        <v>106300</v>
      </c>
      <c r="Z1973" s="2">
        <v>0</v>
      </c>
      <c r="AA1973" s="2">
        <v>106300</v>
      </c>
    </row>
    <row r="1974" spans="1:27" x14ac:dyDescent="0.3">
      <c r="A1974" s="3">
        <v>28</v>
      </c>
      <c r="B1974" s="2" t="str">
        <f>"13501002600"</f>
        <v>13501002600</v>
      </c>
      <c r="C1974" s="2" t="s">
        <v>7295</v>
      </c>
      <c r="D1974" t="s">
        <v>29</v>
      </c>
      <c r="E1974" s="2" t="s">
        <v>30</v>
      </c>
      <c r="F1974" s="2">
        <v>37217</v>
      </c>
      <c r="G1974" s="2" t="s">
        <v>64</v>
      </c>
      <c r="H1974" t="s">
        <v>2707</v>
      </c>
      <c r="I1974" s="6">
        <v>33518</v>
      </c>
      <c r="J1974" s="2" t="s">
        <v>7296</v>
      </c>
      <c r="K1974" s="2">
        <v>66000</v>
      </c>
      <c r="L1974" t="s">
        <v>2689</v>
      </c>
      <c r="M1974" t="s">
        <v>29</v>
      </c>
      <c r="N1974" t="s">
        <v>30</v>
      </c>
      <c r="O1974">
        <v>37214</v>
      </c>
      <c r="P1974" t="s">
        <v>7297</v>
      </c>
      <c r="Q1974" s="2">
        <v>0.57999999999999996</v>
      </c>
      <c r="R1974" s="2">
        <v>140</v>
      </c>
      <c r="S1974" s="2">
        <v>260</v>
      </c>
      <c r="T1974" t="s">
        <v>7298</v>
      </c>
      <c r="U1974" s="6">
        <v>23938</v>
      </c>
      <c r="V1974" s="2">
        <v>47037015613</v>
      </c>
      <c r="W1974" s="2" t="s">
        <v>68</v>
      </c>
      <c r="X1974" s="1">
        <v>45658</v>
      </c>
      <c r="Y1974" s="2">
        <v>106300</v>
      </c>
      <c r="Z1974" s="2">
        <v>0</v>
      </c>
      <c r="AA1974" s="2">
        <v>106300</v>
      </c>
    </row>
    <row r="1975" spans="1:27" x14ac:dyDescent="0.3">
      <c r="A1975" s="3">
        <v>28</v>
      </c>
      <c r="B1975" s="2" t="str">
        <f>"13501003000"</f>
        <v>13501003000</v>
      </c>
      <c r="C1975" s="2" t="s">
        <v>7299</v>
      </c>
      <c r="D1975" t="s">
        <v>29</v>
      </c>
      <c r="E1975" s="2" t="s">
        <v>30</v>
      </c>
      <c r="F1975" s="2">
        <v>37217</v>
      </c>
      <c r="G1975" s="2" t="s">
        <v>64</v>
      </c>
      <c r="H1975" t="s">
        <v>2707</v>
      </c>
      <c r="I1975" s="6">
        <v>33407</v>
      </c>
      <c r="J1975" s="2" t="s">
        <v>7300</v>
      </c>
      <c r="K1975" s="2">
        <v>71000</v>
      </c>
      <c r="L1975" t="s">
        <v>2689</v>
      </c>
      <c r="M1975" t="s">
        <v>29</v>
      </c>
      <c r="N1975" t="s">
        <v>30</v>
      </c>
      <c r="O1975">
        <v>37214</v>
      </c>
      <c r="P1975" t="s">
        <v>7301</v>
      </c>
      <c r="Q1975" s="2">
        <v>0.39</v>
      </c>
      <c r="R1975" s="2">
        <v>94</v>
      </c>
      <c r="S1975" s="2">
        <v>134</v>
      </c>
      <c r="T1975" t="s">
        <v>7302</v>
      </c>
      <c r="U1975" s="6">
        <v>26892</v>
      </c>
      <c r="V1975" s="2">
        <v>47037015613</v>
      </c>
      <c r="W1975" s="2" t="s">
        <v>68</v>
      </c>
      <c r="X1975" s="1">
        <v>45658</v>
      </c>
      <c r="Y1975" s="2">
        <v>85000</v>
      </c>
      <c r="Z1975" s="2">
        <v>0</v>
      </c>
      <c r="AA1975" s="2">
        <v>85000</v>
      </c>
    </row>
    <row r="1976" spans="1:27" x14ac:dyDescent="0.3">
      <c r="A1976" s="3">
        <v>28</v>
      </c>
      <c r="B1976" s="2" t="str">
        <f>"13404003200"</f>
        <v>13404003200</v>
      </c>
      <c r="C1976" s="2" t="s">
        <v>7303</v>
      </c>
      <c r="D1976" t="s">
        <v>29</v>
      </c>
      <c r="E1976" s="2" t="s">
        <v>30</v>
      </c>
      <c r="F1976" s="2">
        <v>37217</v>
      </c>
      <c r="G1976" s="2" t="s">
        <v>64</v>
      </c>
      <c r="H1976" t="s">
        <v>2707</v>
      </c>
      <c r="I1976" s="6">
        <v>33403</v>
      </c>
      <c r="J1976" s="2" t="s">
        <v>7304</v>
      </c>
      <c r="K1976" s="2">
        <v>74000</v>
      </c>
      <c r="L1976" t="s">
        <v>2689</v>
      </c>
      <c r="M1976" t="s">
        <v>29</v>
      </c>
      <c r="N1976" t="s">
        <v>30</v>
      </c>
      <c r="O1976">
        <v>37214</v>
      </c>
      <c r="P1976" t="s">
        <v>7305</v>
      </c>
      <c r="Q1976" s="2">
        <v>0.98</v>
      </c>
      <c r="R1976" s="2">
        <v>121</v>
      </c>
      <c r="S1976" s="2">
        <v>270</v>
      </c>
      <c r="T1976" t="s">
        <v>7306</v>
      </c>
      <c r="U1976" s="6">
        <v>24590</v>
      </c>
      <c r="V1976" s="2">
        <v>47037015613</v>
      </c>
      <c r="W1976" s="2" t="s">
        <v>68</v>
      </c>
      <c r="X1976" s="1">
        <v>45658</v>
      </c>
      <c r="Y1976" s="2">
        <v>106300</v>
      </c>
      <c r="Z1976" s="2">
        <v>0</v>
      </c>
      <c r="AA1976" s="2">
        <v>106300</v>
      </c>
    </row>
    <row r="1977" spans="1:27" x14ac:dyDescent="0.3">
      <c r="A1977" s="3">
        <v>28</v>
      </c>
      <c r="B1977" s="2" t="str">
        <f>"13404003400"</f>
        <v>13404003400</v>
      </c>
      <c r="C1977" s="2" t="s">
        <v>7307</v>
      </c>
      <c r="D1977" t="s">
        <v>29</v>
      </c>
      <c r="E1977" s="2" t="s">
        <v>30</v>
      </c>
      <c r="F1977" s="2">
        <v>37217</v>
      </c>
      <c r="G1977" s="2" t="s">
        <v>64</v>
      </c>
      <c r="H1977" t="s">
        <v>2707</v>
      </c>
      <c r="I1977" s="6">
        <v>33414</v>
      </c>
      <c r="J1977" s="2" t="s">
        <v>7308</v>
      </c>
      <c r="K1977" s="2">
        <v>68500</v>
      </c>
      <c r="L1977" t="s">
        <v>2689</v>
      </c>
      <c r="M1977" t="s">
        <v>29</v>
      </c>
      <c r="N1977" t="s">
        <v>30</v>
      </c>
      <c r="O1977">
        <v>37214</v>
      </c>
      <c r="P1977" t="s">
        <v>7309</v>
      </c>
      <c r="Q1977" s="2">
        <v>0.52</v>
      </c>
      <c r="R1977" s="2">
        <v>81</v>
      </c>
      <c r="S1977" s="2">
        <v>191</v>
      </c>
      <c r="T1977" t="s">
        <v>7310</v>
      </c>
      <c r="U1977" s="6">
        <v>23285</v>
      </c>
      <c r="V1977" s="2">
        <v>47037015613</v>
      </c>
      <c r="W1977" s="2" t="s">
        <v>68</v>
      </c>
      <c r="X1977" s="1">
        <v>45658</v>
      </c>
      <c r="Y1977" s="2">
        <v>106300</v>
      </c>
      <c r="Z1977" s="2">
        <v>0</v>
      </c>
      <c r="AA1977" s="2">
        <v>106300</v>
      </c>
    </row>
    <row r="1978" spans="1:27" x14ac:dyDescent="0.3">
      <c r="A1978" s="3">
        <v>28</v>
      </c>
      <c r="B1978" s="2" t="str">
        <f>"13404003300"</f>
        <v>13404003300</v>
      </c>
      <c r="C1978" s="2" t="s">
        <v>7311</v>
      </c>
      <c r="D1978" t="s">
        <v>29</v>
      </c>
      <c r="E1978" s="2" t="s">
        <v>30</v>
      </c>
      <c r="F1978" s="2">
        <v>37217</v>
      </c>
      <c r="G1978" s="2" t="s">
        <v>64</v>
      </c>
      <c r="H1978" t="s">
        <v>2707</v>
      </c>
      <c r="I1978" s="6">
        <v>33333</v>
      </c>
      <c r="J1978" s="2" t="s">
        <v>7312</v>
      </c>
      <c r="K1978" s="2">
        <v>73000</v>
      </c>
      <c r="L1978" t="s">
        <v>2689</v>
      </c>
      <c r="M1978" t="s">
        <v>29</v>
      </c>
      <c r="N1978" t="s">
        <v>30</v>
      </c>
      <c r="O1978">
        <v>37214</v>
      </c>
      <c r="P1978" t="s">
        <v>7313</v>
      </c>
      <c r="Q1978" s="2">
        <v>0.45</v>
      </c>
      <c r="R1978" s="2">
        <v>76</v>
      </c>
      <c r="S1978" s="2">
        <v>258</v>
      </c>
      <c r="T1978" t="s">
        <v>7314</v>
      </c>
      <c r="U1978" s="6">
        <v>24643</v>
      </c>
      <c r="V1978" s="2">
        <v>47037015613</v>
      </c>
      <c r="W1978" s="2" t="s">
        <v>68</v>
      </c>
      <c r="X1978" s="1">
        <v>45658</v>
      </c>
      <c r="Y1978" s="2">
        <v>85000</v>
      </c>
      <c r="Z1978" s="2">
        <v>0</v>
      </c>
      <c r="AA1978" s="2">
        <v>85000</v>
      </c>
    </row>
    <row r="1979" spans="1:27" x14ac:dyDescent="0.3">
      <c r="A1979" s="3">
        <v>28</v>
      </c>
      <c r="B1979" s="2" t="str">
        <f>"13501005200"</f>
        <v>13501005200</v>
      </c>
      <c r="C1979" s="2" t="s">
        <v>7315</v>
      </c>
      <c r="D1979" t="s">
        <v>29</v>
      </c>
      <c r="E1979" s="2" t="s">
        <v>30</v>
      </c>
      <c r="F1979" s="2">
        <v>37217</v>
      </c>
      <c r="G1979" s="2" t="s">
        <v>64</v>
      </c>
      <c r="H1979" t="s">
        <v>2707</v>
      </c>
      <c r="I1979" s="6">
        <v>33429</v>
      </c>
      <c r="J1979" s="2" t="s">
        <v>7316</v>
      </c>
      <c r="K1979" s="2">
        <v>70000</v>
      </c>
      <c r="L1979" t="s">
        <v>2689</v>
      </c>
      <c r="M1979" t="s">
        <v>29</v>
      </c>
      <c r="N1979" t="s">
        <v>30</v>
      </c>
      <c r="O1979">
        <v>37214</v>
      </c>
      <c r="P1979" t="s">
        <v>7317</v>
      </c>
      <c r="Q1979" s="2">
        <v>0.34</v>
      </c>
      <c r="R1979" s="2">
        <v>74</v>
      </c>
      <c r="S1979" s="2">
        <v>207</v>
      </c>
      <c r="T1979" t="s">
        <v>7318</v>
      </c>
      <c r="U1979" s="6">
        <v>24241</v>
      </c>
      <c r="V1979" s="2">
        <v>47037015613</v>
      </c>
      <c r="W1979" s="2" t="s">
        <v>68</v>
      </c>
      <c r="X1979" s="1">
        <v>45658</v>
      </c>
      <c r="Y1979" s="2">
        <v>85000</v>
      </c>
      <c r="Z1979" s="2">
        <v>0</v>
      </c>
      <c r="AA1979" s="2">
        <v>85000</v>
      </c>
    </row>
    <row r="1980" spans="1:27" x14ac:dyDescent="0.3">
      <c r="A1980" s="3">
        <v>28</v>
      </c>
      <c r="B1980" s="2" t="str">
        <f>"13501005100"</f>
        <v>13501005100</v>
      </c>
      <c r="C1980" s="2" t="s">
        <v>7319</v>
      </c>
      <c r="D1980" t="s">
        <v>29</v>
      </c>
      <c r="E1980" s="2" t="s">
        <v>30</v>
      </c>
      <c r="F1980" s="2">
        <v>37217</v>
      </c>
      <c r="G1980" s="2" t="s">
        <v>64</v>
      </c>
      <c r="H1980" t="s">
        <v>2707</v>
      </c>
      <c r="I1980" s="6">
        <v>33472</v>
      </c>
      <c r="J1980" s="2" t="s">
        <v>7320</v>
      </c>
      <c r="K1980" s="2">
        <v>68500</v>
      </c>
      <c r="L1980" t="s">
        <v>2689</v>
      </c>
      <c r="M1980" t="s">
        <v>29</v>
      </c>
      <c r="N1980" t="s">
        <v>30</v>
      </c>
      <c r="O1980">
        <v>37214</v>
      </c>
      <c r="P1980" t="s">
        <v>7321</v>
      </c>
      <c r="Q1980" s="2">
        <v>0.39</v>
      </c>
      <c r="R1980" s="2">
        <v>64</v>
      </c>
      <c r="S1980" s="2">
        <v>207</v>
      </c>
      <c r="T1980" t="s">
        <v>7322</v>
      </c>
      <c r="U1980" s="6">
        <v>26919</v>
      </c>
      <c r="V1980" s="2">
        <v>47037015613</v>
      </c>
      <c r="W1980" s="2" t="s">
        <v>68</v>
      </c>
      <c r="X1980" s="1">
        <v>45658</v>
      </c>
      <c r="Y1980" s="2">
        <v>85000</v>
      </c>
      <c r="Z1980" s="2">
        <v>0</v>
      </c>
      <c r="AA1980" s="2">
        <v>85000</v>
      </c>
    </row>
    <row r="1981" spans="1:27" x14ac:dyDescent="0.3">
      <c r="A1981" s="3">
        <v>28</v>
      </c>
      <c r="B1981" s="2" t="str">
        <f>"13404004100"</f>
        <v>13404004100</v>
      </c>
      <c r="C1981" s="2" t="s">
        <v>7323</v>
      </c>
      <c r="D1981" t="s">
        <v>29</v>
      </c>
      <c r="E1981" s="2" t="s">
        <v>30</v>
      </c>
      <c r="F1981" s="2">
        <v>37217</v>
      </c>
      <c r="G1981" s="2" t="s">
        <v>64</v>
      </c>
      <c r="H1981" t="s">
        <v>2707</v>
      </c>
      <c r="I1981" s="6">
        <v>33361</v>
      </c>
      <c r="J1981" s="2" t="s">
        <v>7324</v>
      </c>
      <c r="K1981" s="2">
        <v>73000</v>
      </c>
      <c r="L1981" t="s">
        <v>2689</v>
      </c>
      <c r="M1981" t="s">
        <v>29</v>
      </c>
      <c r="N1981" t="s">
        <v>30</v>
      </c>
      <c r="O1981">
        <v>37214</v>
      </c>
      <c r="P1981" t="s">
        <v>7325</v>
      </c>
      <c r="Q1981" s="2">
        <v>0.5</v>
      </c>
      <c r="R1981" s="2">
        <v>79</v>
      </c>
      <c r="S1981" s="2">
        <v>224</v>
      </c>
      <c r="T1981" t="s">
        <v>7326</v>
      </c>
      <c r="U1981" s="6">
        <v>23601</v>
      </c>
      <c r="V1981" s="2">
        <v>47037015613</v>
      </c>
      <c r="W1981" s="2" t="s">
        <v>68</v>
      </c>
      <c r="X1981" s="1">
        <v>45658</v>
      </c>
      <c r="Y1981" s="2">
        <v>106300</v>
      </c>
      <c r="Z1981" s="2">
        <v>0</v>
      </c>
      <c r="AA1981" s="2">
        <v>106300</v>
      </c>
    </row>
    <row r="1982" spans="1:27" x14ac:dyDescent="0.3">
      <c r="A1982" s="3">
        <v>28</v>
      </c>
      <c r="B1982" s="2" t="str">
        <f>"13501005000"</f>
        <v>13501005000</v>
      </c>
      <c r="C1982" s="2" t="s">
        <v>7327</v>
      </c>
      <c r="D1982" t="s">
        <v>29</v>
      </c>
      <c r="E1982" s="2" t="s">
        <v>30</v>
      </c>
      <c r="F1982" s="2">
        <v>37217</v>
      </c>
      <c r="G1982" s="2" t="s">
        <v>64</v>
      </c>
      <c r="H1982" t="s">
        <v>2707</v>
      </c>
      <c r="I1982" s="6">
        <v>33388</v>
      </c>
      <c r="J1982" s="2" t="s">
        <v>7328</v>
      </c>
      <c r="K1982" s="2">
        <v>74000</v>
      </c>
      <c r="L1982" t="s">
        <v>2689</v>
      </c>
      <c r="M1982" t="s">
        <v>29</v>
      </c>
      <c r="N1982" t="s">
        <v>30</v>
      </c>
      <c r="O1982">
        <v>37214</v>
      </c>
      <c r="P1982" t="s">
        <v>7329</v>
      </c>
      <c r="Q1982" s="2">
        <v>0.31</v>
      </c>
      <c r="R1982" s="2">
        <v>60</v>
      </c>
      <c r="S1982" s="2">
        <v>195</v>
      </c>
      <c r="T1982" t="s">
        <v>7330</v>
      </c>
      <c r="U1982" s="6">
        <v>24677</v>
      </c>
      <c r="V1982" s="2">
        <v>47037015613</v>
      </c>
      <c r="W1982" s="2" t="s">
        <v>68</v>
      </c>
      <c r="X1982" s="1">
        <v>45658</v>
      </c>
      <c r="Y1982" s="2">
        <v>85000</v>
      </c>
      <c r="Z1982" s="2">
        <v>0</v>
      </c>
      <c r="AA1982" s="2">
        <v>85000</v>
      </c>
    </row>
    <row r="1983" spans="1:27" x14ac:dyDescent="0.3">
      <c r="A1983" s="3">
        <v>28</v>
      </c>
      <c r="B1983" s="2" t="str">
        <f>"13404003500"</f>
        <v>13404003500</v>
      </c>
      <c r="C1983" s="2" t="s">
        <v>7331</v>
      </c>
      <c r="D1983" t="s">
        <v>29</v>
      </c>
      <c r="E1983" s="2" t="s">
        <v>30</v>
      </c>
      <c r="F1983" s="2">
        <v>37217</v>
      </c>
      <c r="G1983" s="2" t="s">
        <v>64</v>
      </c>
      <c r="H1983" t="s">
        <v>2707</v>
      </c>
      <c r="I1983" s="6">
        <v>38611</v>
      </c>
      <c r="J1983" s="2" t="s">
        <v>7332</v>
      </c>
      <c r="K1983" s="2">
        <v>25000</v>
      </c>
      <c r="L1983" t="s">
        <v>2689</v>
      </c>
      <c r="M1983" t="s">
        <v>29</v>
      </c>
      <c r="N1983" t="s">
        <v>30</v>
      </c>
      <c r="O1983">
        <v>37214</v>
      </c>
      <c r="P1983" t="s">
        <v>7333</v>
      </c>
      <c r="Q1983" s="2">
        <v>0.91</v>
      </c>
      <c r="R1983" s="2">
        <v>136</v>
      </c>
      <c r="S1983" s="2">
        <v>324</v>
      </c>
      <c r="T1983" t="s">
        <v>7334</v>
      </c>
      <c r="U1983" s="6">
        <v>23572</v>
      </c>
      <c r="V1983" s="2">
        <v>47037015613</v>
      </c>
      <c r="W1983" s="2" t="s">
        <v>68</v>
      </c>
      <c r="X1983" s="1">
        <v>45658</v>
      </c>
      <c r="Y1983" s="2">
        <v>1300</v>
      </c>
      <c r="Z1983" s="2">
        <v>0</v>
      </c>
      <c r="AA1983" s="2">
        <v>1300</v>
      </c>
    </row>
    <row r="1984" spans="1:27" x14ac:dyDescent="0.3">
      <c r="A1984" s="3">
        <v>28</v>
      </c>
      <c r="B1984" s="2" t="str">
        <f>"13404004000"</f>
        <v>13404004000</v>
      </c>
      <c r="C1984" s="2" t="s">
        <v>7335</v>
      </c>
      <c r="D1984" t="s">
        <v>29</v>
      </c>
      <c r="E1984" s="2" t="s">
        <v>30</v>
      </c>
      <c r="F1984" s="2">
        <v>37217</v>
      </c>
      <c r="G1984" s="2" t="s">
        <v>64</v>
      </c>
      <c r="H1984" t="s">
        <v>2707</v>
      </c>
      <c r="I1984" s="6">
        <v>33946</v>
      </c>
      <c r="J1984" s="2" t="s">
        <v>7336</v>
      </c>
      <c r="K1984" s="2" t="s">
        <v>34</v>
      </c>
      <c r="L1984" t="s">
        <v>2689</v>
      </c>
      <c r="M1984" t="s">
        <v>29</v>
      </c>
      <c r="N1984" t="s">
        <v>30</v>
      </c>
      <c r="O1984">
        <v>37214</v>
      </c>
      <c r="P1984" t="s">
        <v>7337</v>
      </c>
      <c r="Q1984" s="2">
        <v>0.5</v>
      </c>
      <c r="R1984" s="2">
        <v>66</v>
      </c>
      <c r="S1984" s="2">
        <v>275</v>
      </c>
      <c r="T1984" t="s">
        <v>7338</v>
      </c>
      <c r="U1984" s="6">
        <v>23042</v>
      </c>
      <c r="V1984" s="2">
        <v>47037015613</v>
      </c>
      <c r="W1984" s="2" t="s">
        <v>68</v>
      </c>
      <c r="X1984" s="1">
        <v>45658</v>
      </c>
      <c r="Y1984" s="2">
        <v>106300</v>
      </c>
      <c r="Z1984" s="2">
        <v>0</v>
      </c>
      <c r="AA1984" s="2">
        <v>106300</v>
      </c>
    </row>
    <row r="1985" spans="1:27" x14ac:dyDescent="0.3">
      <c r="A1985" s="3">
        <v>28</v>
      </c>
      <c r="B1985" s="2" t="str">
        <f>"13501004900"</f>
        <v>13501004900</v>
      </c>
      <c r="C1985" s="2" t="s">
        <v>7339</v>
      </c>
      <c r="D1985" t="s">
        <v>29</v>
      </c>
      <c r="E1985" s="2" t="s">
        <v>30</v>
      </c>
      <c r="F1985" s="2">
        <v>37217</v>
      </c>
      <c r="G1985" s="2" t="s">
        <v>64</v>
      </c>
      <c r="H1985" t="s">
        <v>2707</v>
      </c>
      <c r="I1985" s="6">
        <v>33399</v>
      </c>
      <c r="J1985" s="2" t="s">
        <v>7340</v>
      </c>
      <c r="K1985" s="2">
        <v>74000</v>
      </c>
      <c r="L1985" t="s">
        <v>2689</v>
      </c>
      <c r="M1985" t="s">
        <v>29</v>
      </c>
      <c r="N1985" t="s">
        <v>30</v>
      </c>
      <c r="O1985">
        <v>37214</v>
      </c>
      <c r="P1985" t="s">
        <v>7341</v>
      </c>
      <c r="Q1985" s="2">
        <v>0.34</v>
      </c>
      <c r="R1985" s="2">
        <v>68</v>
      </c>
      <c r="S1985" s="2">
        <v>183</v>
      </c>
      <c r="T1985" t="s">
        <v>7342</v>
      </c>
      <c r="U1985" s="6">
        <v>23223</v>
      </c>
      <c r="V1985" s="2">
        <v>47037015613</v>
      </c>
      <c r="W1985" s="2" t="s">
        <v>68</v>
      </c>
      <c r="X1985" s="1">
        <v>45658</v>
      </c>
      <c r="Y1985" s="2">
        <v>85000</v>
      </c>
      <c r="Z1985" s="2">
        <v>0</v>
      </c>
      <c r="AA1985" s="2">
        <v>85000</v>
      </c>
    </row>
    <row r="1986" spans="1:27" x14ac:dyDescent="0.3">
      <c r="A1986" s="3">
        <v>28</v>
      </c>
      <c r="B1986" s="2" t="str">
        <f>"13404003900"</f>
        <v>13404003900</v>
      </c>
      <c r="C1986" s="2" t="s">
        <v>7343</v>
      </c>
      <c r="D1986" t="s">
        <v>29</v>
      </c>
      <c r="E1986" s="2" t="s">
        <v>30</v>
      </c>
      <c r="F1986" s="2">
        <v>37217</v>
      </c>
      <c r="G1986" s="2" t="s">
        <v>64</v>
      </c>
      <c r="H1986" t="s">
        <v>2707</v>
      </c>
      <c r="I1986" s="6">
        <v>33611</v>
      </c>
      <c r="J1986" s="2" t="s">
        <v>7344</v>
      </c>
      <c r="K1986" s="2" t="s">
        <v>34</v>
      </c>
      <c r="L1986" t="s">
        <v>2689</v>
      </c>
      <c r="M1986" t="s">
        <v>29</v>
      </c>
      <c r="N1986" t="s">
        <v>30</v>
      </c>
      <c r="O1986">
        <v>37214</v>
      </c>
      <c r="P1986" t="s">
        <v>7345</v>
      </c>
      <c r="Q1986" s="2">
        <v>0.64</v>
      </c>
      <c r="R1986" s="2">
        <v>60</v>
      </c>
      <c r="S1986" s="2">
        <v>320</v>
      </c>
      <c r="T1986" t="s">
        <v>7346</v>
      </c>
      <c r="U1986" s="6">
        <v>26886</v>
      </c>
      <c r="V1986" s="2">
        <v>47037015613</v>
      </c>
      <c r="W1986" s="2" t="s">
        <v>68</v>
      </c>
      <c r="X1986" s="1">
        <v>45658</v>
      </c>
      <c r="Y1986" s="2">
        <v>106300</v>
      </c>
      <c r="Z1986" s="2">
        <v>0</v>
      </c>
      <c r="AA1986" s="2">
        <v>106300</v>
      </c>
    </row>
    <row r="1987" spans="1:27" x14ac:dyDescent="0.3">
      <c r="A1987" s="3">
        <v>28</v>
      </c>
      <c r="B1987" s="2" t="str">
        <f>"13501004500"</f>
        <v>13501004500</v>
      </c>
      <c r="C1987" s="2" t="s">
        <v>7347</v>
      </c>
      <c r="D1987" t="s">
        <v>29</v>
      </c>
      <c r="E1987" s="2" t="s">
        <v>30</v>
      </c>
      <c r="F1987" s="2">
        <v>37217</v>
      </c>
      <c r="G1987" s="2" t="s">
        <v>64</v>
      </c>
      <c r="H1987" t="s">
        <v>2707</v>
      </c>
      <c r="I1987" s="6">
        <v>33382</v>
      </c>
      <c r="J1987" s="2" t="s">
        <v>7348</v>
      </c>
      <c r="K1987" s="2">
        <v>71000</v>
      </c>
      <c r="L1987" t="s">
        <v>2689</v>
      </c>
      <c r="M1987" t="s">
        <v>29</v>
      </c>
      <c r="N1987" t="s">
        <v>30</v>
      </c>
      <c r="O1987">
        <v>37214</v>
      </c>
      <c r="P1987" t="s">
        <v>7349</v>
      </c>
      <c r="Q1987" s="2">
        <v>0.31</v>
      </c>
      <c r="R1987" s="2">
        <v>112</v>
      </c>
      <c r="S1987" s="2">
        <v>195</v>
      </c>
      <c r="T1987" t="s">
        <v>7350</v>
      </c>
      <c r="U1987" s="6">
        <v>22948</v>
      </c>
      <c r="V1987" s="2">
        <v>47037015613</v>
      </c>
      <c r="W1987" s="2" t="s">
        <v>68</v>
      </c>
      <c r="X1987" s="1">
        <v>45658</v>
      </c>
      <c r="Y1987" s="2">
        <v>85000</v>
      </c>
      <c r="Z1987" s="2">
        <v>0</v>
      </c>
      <c r="AA1987" s="2">
        <v>85000</v>
      </c>
    </row>
    <row r="1988" spans="1:27" x14ac:dyDescent="0.3">
      <c r="A1988" s="3">
        <v>28</v>
      </c>
      <c r="B1988" s="2" t="str">
        <f>"13404003600"</f>
        <v>13404003600</v>
      </c>
      <c r="C1988" s="2" t="s">
        <v>7351</v>
      </c>
      <c r="D1988" t="s">
        <v>29</v>
      </c>
      <c r="E1988" s="2" t="s">
        <v>30</v>
      </c>
      <c r="F1988" s="2">
        <v>37217</v>
      </c>
      <c r="G1988" s="2" t="s">
        <v>64</v>
      </c>
      <c r="H1988" t="s">
        <v>2707</v>
      </c>
      <c r="I1988" s="6">
        <v>33340</v>
      </c>
      <c r="J1988" s="2" t="s">
        <v>7352</v>
      </c>
      <c r="K1988" s="2">
        <v>71000</v>
      </c>
      <c r="L1988" t="s">
        <v>2689</v>
      </c>
      <c r="M1988" t="s">
        <v>29</v>
      </c>
      <c r="N1988" t="s">
        <v>30</v>
      </c>
      <c r="O1988">
        <v>37214</v>
      </c>
      <c r="P1988" t="s">
        <v>7353</v>
      </c>
      <c r="Q1988" s="2">
        <v>0.88</v>
      </c>
      <c r="R1988" s="2">
        <v>133</v>
      </c>
      <c r="S1988" s="2">
        <v>324</v>
      </c>
      <c r="T1988" t="s">
        <v>7354</v>
      </c>
      <c r="U1988" s="6">
        <v>24315</v>
      </c>
      <c r="V1988" s="2">
        <v>47037015613</v>
      </c>
      <c r="W1988" s="2" t="s">
        <v>68</v>
      </c>
      <c r="X1988" s="1">
        <v>45658</v>
      </c>
      <c r="Y1988" s="2">
        <v>106300</v>
      </c>
      <c r="Z1988" s="2">
        <v>0</v>
      </c>
      <c r="AA1988" s="2">
        <v>106300</v>
      </c>
    </row>
    <row r="1989" spans="1:27" x14ac:dyDescent="0.3">
      <c r="A1989" s="3">
        <v>28</v>
      </c>
      <c r="B1989" s="2" t="str">
        <f>"13404003800"</f>
        <v>13404003800</v>
      </c>
      <c r="C1989" s="2" t="s">
        <v>7355</v>
      </c>
      <c r="D1989" t="s">
        <v>29</v>
      </c>
      <c r="E1989" s="2" t="s">
        <v>30</v>
      </c>
      <c r="F1989" s="2">
        <v>37217</v>
      </c>
      <c r="G1989" s="2" t="s">
        <v>64</v>
      </c>
      <c r="H1989" t="s">
        <v>2707</v>
      </c>
      <c r="I1989" s="6">
        <v>33352</v>
      </c>
      <c r="J1989" s="2" t="s">
        <v>7356</v>
      </c>
      <c r="K1989" s="2">
        <v>89000</v>
      </c>
      <c r="L1989" t="s">
        <v>2689</v>
      </c>
      <c r="M1989" t="s">
        <v>29</v>
      </c>
      <c r="N1989" t="s">
        <v>30</v>
      </c>
      <c r="O1989">
        <v>37214</v>
      </c>
      <c r="P1989" t="s">
        <v>7357</v>
      </c>
      <c r="Q1989" s="2">
        <v>0.61</v>
      </c>
      <c r="R1989" s="2">
        <v>60</v>
      </c>
      <c r="S1989" s="2">
        <v>320</v>
      </c>
      <c r="T1989" t="s">
        <v>7358</v>
      </c>
      <c r="U1989" s="6">
        <v>23117</v>
      </c>
      <c r="V1989" s="2">
        <v>47037015613</v>
      </c>
      <c r="W1989" s="2" t="s">
        <v>68</v>
      </c>
      <c r="X1989" s="1">
        <v>45658</v>
      </c>
      <c r="Y1989" s="2">
        <v>106300</v>
      </c>
      <c r="Z1989" s="2">
        <v>0</v>
      </c>
      <c r="AA1989" s="2">
        <v>106300</v>
      </c>
    </row>
    <row r="1990" spans="1:27" x14ac:dyDescent="0.3">
      <c r="A1990" s="3">
        <v>28</v>
      </c>
      <c r="B1990" s="2" t="str">
        <f>"13501004400"</f>
        <v>13501004400</v>
      </c>
      <c r="C1990" s="2" t="s">
        <v>7359</v>
      </c>
      <c r="D1990" t="s">
        <v>29</v>
      </c>
      <c r="E1990" s="2" t="s">
        <v>30</v>
      </c>
      <c r="F1990" s="2">
        <v>37217</v>
      </c>
      <c r="G1990" s="2" t="s">
        <v>64</v>
      </c>
      <c r="H1990" t="s">
        <v>2707</v>
      </c>
      <c r="I1990" s="6">
        <v>33322</v>
      </c>
      <c r="J1990" s="2" t="s">
        <v>7360</v>
      </c>
      <c r="K1990" s="2">
        <v>55000</v>
      </c>
      <c r="L1990" t="s">
        <v>2689</v>
      </c>
      <c r="M1990" t="s">
        <v>29</v>
      </c>
      <c r="N1990" t="s">
        <v>30</v>
      </c>
      <c r="O1990">
        <v>37214</v>
      </c>
      <c r="P1990" t="s">
        <v>7361</v>
      </c>
      <c r="Q1990" s="2">
        <v>0.35</v>
      </c>
      <c r="R1990" s="2">
        <v>129</v>
      </c>
      <c r="S1990" s="2">
        <v>195</v>
      </c>
      <c r="T1990" t="s">
        <v>7362</v>
      </c>
      <c r="U1990" s="6">
        <v>24545</v>
      </c>
      <c r="V1990" s="2">
        <v>47037015613</v>
      </c>
      <c r="W1990" s="2" t="s">
        <v>68</v>
      </c>
      <c r="X1990" s="1">
        <v>45658</v>
      </c>
      <c r="Y1990" s="2">
        <v>85000</v>
      </c>
      <c r="Z1990" s="2">
        <v>0</v>
      </c>
      <c r="AA1990" s="2">
        <v>85000</v>
      </c>
    </row>
    <row r="1991" spans="1:27" x14ac:dyDescent="0.3">
      <c r="A1991" s="3">
        <v>28</v>
      </c>
      <c r="B1991" s="2" t="str">
        <f>"13408001500"</f>
        <v>13408001500</v>
      </c>
      <c r="C1991" s="2" t="s">
        <v>7363</v>
      </c>
      <c r="D1991" t="s">
        <v>29</v>
      </c>
      <c r="E1991" s="2" t="s">
        <v>30</v>
      </c>
      <c r="F1991" s="2">
        <v>37217</v>
      </c>
      <c r="G1991" s="2" t="s">
        <v>64</v>
      </c>
      <c r="H1991" t="s">
        <v>2707</v>
      </c>
      <c r="I1991" s="6">
        <v>33311</v>
      </c>
      <c r="J1991" s="2" t="s">
        <v>7364</v>
      </c>
      <c r="K1991" s="2">
        <v>70500</v>
      </c>
      <c r="L1991" t="s">
        <v>2689</v>
      </c>
      <c r="M1991" t="s">
        <v>29</v>
      </c>
      <c r="N1991" t="s">
        <v>30</v>
      </c>
      <c r="O1991">
        <v>37214</v>
      </c>
      <c r="P1991" t="s">
        <v>7365</v>
      </c>
      <c r="Q1991" s="2">
        <v>0.51</v>
      </c>
      <c r="R1991" s="2">
        <v>82</v>
      </c>
      <c r="S1991" s="2">
        <v>368</v>
      </c>
      <c r="T1991" t="s">
        <v>7366</v>
      </c>
      <c r="U1991" s="6">
        <v>25175</v>
      </c>
      <c r="V1991" s="2">
        <v>47037015613</v>
      </c>
      <c r="W1991" s="2" t="s">
        <v>68</v>
      </c>
      <c r="X1991" s="1">
        <v>45658</v>
      </c>
      <c r="Y1991" s="2">
        <v>106300</v>
      </c>
      <c r="Z1991" s="2">
        <v>0</v>
      </c>
      <c r="AA1991" s="2">
        <v>106300</v>
      </c>
    </row>
    <row r="1992" spans="1:27" x14ac:dyDescent="0.3">
      <c r="A1992" s="3">
        <v>28</v>
      </c>
      <c r="B1992" s="2" t="str">
        <f>"13408001300"</f>
        <v>13408001300</v>
      </c>
      <c r="C1992" s="2" t="s">
        <v>7367</v>
      </c>
      <c r="D1992" t="s">
        <v>29</v>
      </c>
      <c r="E1992" s="2" t="s">
        <v>30</v>
      </c>
      <c r="F1992" s="2">
        <v>37217</v>
      </c>
      <c r="G1992" s="2" t="s">
        <v>64</v>
      </c>
      <c r="H1992" t="s">
        <v>2707</v>
      </c>
      <c r="I1992" s="6">
        <v>33417</v>
      </c>
      <c r="J1992" s="2" t="s">
        <v>7368</v>
      </c>
      <c r="K1992" s="2">
        <v>87000</v>
      </c>
      <c r="L1992" t="s">
        <v>2689</v>
      </c>
      <c r="M1992" t="s">
        <v>29</v>
      </c>
      <c r="N1992" t="s">
        <v>30</v>
      </c>
      <c r="O1992">
        <v>37214</v>
      </c>
      <c r="P1992" t="s">
        <v>7369</v>
      </c>
      <c r="Q1992" s="2">
        <v>1.17</v>
      </c>
      <c r="R1992" s="2">
        <v>161</v>
      </c>
      <c r="S1992" s="2">
        <v>256</v>
      </c>
      <c r="T1992" t="s">
        <v>7370</v>
      </c>
      <c r="U1992" s="6">
        <v>22976</v>
      </c>
      <c r="V1992" s="2">
        <v>47037015613</v>
      </c>
      <c r="W1992" s="2" t="s">
        <v>68</v>
      </c>
      <c r="X1992" s="1">
        <v>45658</v>
      </c>
      <c r="Y1992" s="2">
        <v>119100</v>
      </c>
      <c r="Z1992" s="2">
        <v>0</v>
      </c>
      <c r="AA1992" s="2">
        <v>119100</v>
      </c>
    </row>
    <row r="1993" spans="1:27" x14ac:dyDescent="0.3">
      <c r="A1993" s="3">
        <v>28</v>
      </c>
      <c r="B1993" s="2" t="str">
        <f>"13404003700"</f>
        <v>13404003700</v>
      </c>
      <c r="C1993" s="2" t="s">
        <v>7371</v>
      </c>
      <c r="D1993" t="s">
        <v>29</v>
      </c>
      <c r="E1993" s="2" t="s">
        <v>30</v>
      </c>
      <c r="F1993" s="2">
        <v>37217</v>
      </c>
      <c r="G1993" s="2" t="s">
        <v>64</v>
      </c>
      <c r="H1993" t="s">
        <v>2707</v>
      </c>
      <c r="I1993" s="6">
        <v>33337</v>
      </c>
      <c r="J1993" s="2" t="s">
        <v>7372</v>
      </c>
      <c r="K1993" s="2">
        <v>65000</v>
      </c>
      <c r="L1993" t="s">
        <v>2689</v>
      </c>
      <c r="M1993" t="s">
        <v>29</v>
      </c>
      <c r="N1993" t="s">
        <v>30</v>
      </c>
      <c r="O1993">
        <v>37214</v>
      </c>
      <c r="P1993" t="s">
        <v>7373</v>
      </c>
      <c r="Q1993" s="2">
        <v>0.45</v>
      </c>
      <c r="R1993" s="2">
        <v>60</v>
      </c>
      <c r="S1993" s="2">
        <v>275</v>
      </c>
      <c r="T1993" t="s">
        <v>7374</v>
      </c>
      <c r="U1993" s="6">
        <v>23076</v>
      </c>
      <c r="V1993" s="2">
        <v>47037015613</v>
      </c>
      <c r="W1993" s="2" t="s">
        <v>68</v>
      </c>
      <c r="X1993" s="1">
        <v>45658</v>
      </c>
      <c r="Y1993" s="2">
        <v>85000</v>
      </c>
      <c r="Z1993" s="2">
        <v>0</v>
      </c>
      <c r="AA1993" s="2">
        <v>85000</v>
      </c>
    </row>
    <row r="1994" spans="1:27" x14ac:dyDescent="0.3">
      <c r="A1994" s="3">
        <v>28</v>
      </c>
      <c r="B1994" s="2" t="str">
        <f>"13408001600"</f>
        <v>13408001600</v>
      </c>
      <c r="C1994" s="2" t="s">
        <v>7375</v>
      </c>
      <c r="D1994" t="s">
        <v>29</v>
      </c>
      <c r="E1994" s="2" t="s">
        <v>30</v>
      </c>
      <c r="F1994" s="2">
        <v>37217</v>
      </c>
      <c r="G1994" s="2" t="s">
        <v>64</v>
      </c>
      <c r="H1994" t="s">
        <v>2707</v>
      </c>
      <c r="I1994" s="6">
        <v>33480</v>
      </c>
      <c r="J1994" s="2" t="s">
        <v>7376</v>
      </c>
      <c r="K1994" s="2">
        <v>72000</v>
      </c>
      <c r="L1994" t="s">
        <v>2689</v>
      </c>
      <c r="M1994" t="s">
        <v>29</v>
      </c>
      <c r="N1994" t="s">
        <v>30</v>
      </c>
      <c r="O1994">
        <v>37214</v>
      </c>
      <c r="P1994" t="s">
        <v>7377</v>
      </c>
      <c r="Q1994" s="2">
        <v>0.51</v>
      </c>
      <c r="R1994" s="2">
        <v>82</v>
      </c>
      <c r="S1994" s="2">
        <v>315</v>
      </c>
      <c r="T1994" t="s">
        <v>7378</v>
      </c>
      <c r="U1994" s="6">
        <v>26802</v>
      </c>
      <c r="V1994" s="2">
        <v>47037015613</v>
      </c>
      <c r="W1994" s="2" t="s">
        <v>68</v>
      </c>
      <c r="X1994" s="1">
        <v>45658</v>
      </c>
      <c r="Y1994" s="2">
        <v>106300</v>
      </c>
      <c r="Z1994" s="2">
        <v>0</v>
      </c>
      <c r="AA1994" s="2">
        <v>106300</v>
      </c>
    </row>
    <row r="1995" spans="1:27" x14ac:dyDescent="0.3">
      <c r="A1995" s="3">
        <v>28</v>
      </c>
      <c r="B1995" s="2" t="str">
        <f>"13505000100"</f>
        <v>13505000100</v>
      </c>
      <c r="C1995" s="2" t="s">
        <v>7379</v>
      </c>
      <c r="D1995" t="s">
        <v>29</v>
      </c>
      <c r="E1995" s="2" t="s">
        <v>30</v>
      </c>
      <c r="F1995" s="2">
        <v>37217</v>
      </c>
      <c r="G1995" s="2" t="s">
        <v>64</v>
      </c>
      <c r="H1995" t="s">
        <v>2707</v>
      </c>
      <c r="I1995" s="6">
        <v>33876</v>
      </c>
      <c r="J1995" s="2" t="s">
        <v>7380</v>
      </c>
      <c r="K1995" s="2" t="s">
        <v>34</v>
      </c>
      <c r="L1995" t="s">
        <v>2689</v>
      </c>
      <c r="M1995" t="s">
        <v>29</v>
      </c>
      <c r="N1995" t="s">
        <v>30</v>
      </c>
      <c r="O1995">
        <v>37214</v>
      </c>
      <c r="P1995" t="s">
        <v>7381</v>
      </c>
      <c r="Q1995" s="2">
        <v>0.34</v>
      </c>
      <c r="R1995" s="2">
        <v>135</v>
      </c>
      <c r="S1995" s="2">
        <v>185</v>
      </c>
      <c r="T1995" t="s">
        <v>7382</v>
      </c>
      <c r="U1995" s="6">
        <v>26931</v>
      </c>
      <c r="V1995" s="2">
        <v>47037015613</v>
      </c>
      <c r="W1995" s="2" t="s">
        <v>68</v>
      </c>
      <c r="X1995" s="1">
        <v>45658</v>
      </c>
      <c r="Y1995" s="2">
        <v>85000</v>
      </c>
      <c r="Z1995" s="2">
        <v>0</v>
      </c>
      <c r="AA1995" s="2">
        <v>85000</v>
      </c>
    </row>
    <row r="1996" spans="1:27" x14ac:dyDescent="0.3">
      <c r="A1996" s="3">
        <v>28</v>
      </c>
      <c r="B1996" s="2" t="str">
        <f>"13505000300"</f>
        <v>13505000300</v>
      </c>
      <c r="C1996" s="2" t="s">
        <v>7383</v>
      </c>
      <c r="D1996" t="s">
        <v>29</v>
      </c>
      <c r="E1996" s="2" t="s">
        <v>30</v>
      </c>
      <c r="F1996" s="2">
        <v>37217</v>
      </c>
      <c r="G1996" s="2" t="s">
        <v>64</v>
      </c>
      <c r="H1996" t="s">
        <v>2707</v>
      </c>
      <c r="I1996" s="6">
        <v>33458</v>
      </c>
      <c r="J1996" s="2" t="s">
        <v>7384</v>
      </c>
      <c r="K1996" s="2">
        <v>65500</v>
      </c>
      <c r="L1996" t="s">
        <v>2689</v>
      </c>
      <c r="M1996" t="s">
        <v>29</v>
      </c>
      <c r="N1996" t="s">
        <v>30</v>
      </c>
      <c r="O1996">
        <v>37214</v>
      </c>
      <c r="P1996" t="s">
        <v>7385</v>
      </c>
      <c r="Q1996" s="2">
        <v>0.22</v>
      </c>
      <c r="R1996" s="2">
        <v>77</v>
      </c>
      <c r="S1996" s="2">
        <v>153</v>
      </c>
      <c r="T1996" t="s">
        <v>7378</v>
      </c>
      <c r="U1996" s="6">
        <v>26802</v>
      </c>
      <c r="V1996" s="2">
        <v>47037015613</v>
      </c>
      <c r="W1996" s="2" t="s">
        <v>68</v>
      </c>
      <c r="X1996" s="1">
        <v>45658</v>
      </c>
      <c r="Y1996" s="2">
        <v>76500</v>
      </c>
      <c r="Z1996" s="2">
        <v>0</v>
      </c>
      <c r="AA1996" s="2">
        <v>76500</v>
      </c>
    </row>
    <row r="1997" spans="1:27" x14ac:dyDescent="0.3">
      <c r="A1997" s="3">
        <v>28</v>
      </c>
      <c r="B1997" s="2" t="str">
        <f>"13408001700"</f>
        <v>13408001700</v>
      </c>
      <c r="C1997" s="2" t="s">
        <v>7386</v>
      </c>
      <c r="D1997" t="s">
        <v>29</v>
      </c>
      <c r="E1997" s="2" t="s">
        <v>30</v>
      </c>
      <c r="F1997" s="2">
        <v>37217</v>
      </c>
      <c r="G1997" s="2" t="s">
        <v>64</v>
      </c>
      <c r="H1997" t="s">
        <v>2707</v>
      </c>
      <c r="I1997" s="6">
        <v>33392</v>
      </c>
      <c r="J1997" s="2" t="s">
        <v>7387</v>
      </c>
      <c r="K1997" s="2">
        <v>75000</v>
      </c>
      <c r="L1997" t="s">
        <v>2689</v>
      </c>
      <c r="M1997" t="s">
        <v>29</v>
      </c>
      <c r="N1997" t="s">
        <v>30</v>
      </c>
      <c r="O1997">
        <v>37214</v>
      </c>
      <c r="P1997" t="s">
        <v>7388</v>
      </c>
      <c r="Q1997" s="2">
        <v>0.68</v>
      </c>
      <c r="R1997" s="2">
        <v>173</v>
      </c>
      <c r="S1997" s="2">
        <v>254</v>
      </c>
      <c r="T1997" t="s">
        <v>7389</v>
      </c>
      <c r="U1997" s="6">
        <v>24442</v>
      </c>
      <c r="V1997" s="2">
        <v>47037015613</v>
      </c>
      <c r="W1997" s="2" t="s">
        <v>68</v>
      </c>
      <c r="X1997" s="1">
        <v>45658</v>
      </c>
      <c r="Y1997" s="2">
        <v>106300</v>
      </c>
      <c r="Z1997" s="2">
        <v>0</v>
      </c>
      <c r="AA1997" s="2">
        <v>106300</v>
      </c>
    </row>
    <row r="1998" spans="1:27" x14ac:dyDescent="0.3">
      <c r="A1998" s="3">
        <v>28</v>
      </c>
      <c r="B1998" s="2" t="str">
        <f>"13408001900"</f>
        <v>13408001900</v>
      </c>
      <c r="C1998" s="2" t="s">
        <v>7390</v>
      </c>
      <c r="D1998" t="s">
        <v>29</v>
      </c>
      <c r="E1998" s="2" t="s">
        <v>30</v>
      </c>
      <c r="F1998" s="2">
        <v>37217</v>
      </c>
      <c r="G1998" s="2" t="s">
        <v>64</v>
      </c>
      <c r="H1998" t="s">
        <v>2707</v>
      </c>
      <c r="I1998" s="6">
        <v>33311</v>
      </c>
      <c r="J1998" s="2" t="s">
        <v>7391</v>
      </c>
      <c r="K1998" s="2">
        <v>66000</v>
      </c>
      <c r="L1998" t="s">
        <v>2689</v>
      </c>
      <c r="M1998" t="s">
        <v>29</v>
      </c>
      <c r="N1998" t="s">
        <v>30</v>
      </c>
      <c r="O1998">
        <v>37214</v>
      </c>
      <c r="P1998" t="s">
        <v>7392</v>
      </c>
      <c r="Q1998" s="2">
        <v>0.36</v>
      </c>
      <c r="R1998" s="2">
        <v>86</v>
      </c>
      <c r="S1998" s="2">
        <v>192</v>
      </c>
      <c r="T1998" t="s">
        <v>7393</v>
      </c>
      <c r="U1998" s="6">
        <v>23208</v>
      </c>
      <c r="V1998" s="2">
        <v>47037015613</v>
      </c>
      <c r="W1998" s="2" t="s">
        <v>68</v>
      </c>
      <c r="X1998" s="1">
        <v>45658</v>
      </c>
      <c r="Y1998" s="2">
        <v>85000</v>
      </c>
      <c r="Z1998" s="2">
        <v>0</v>
      </c>
      <c r="AA1998" s="2">
        <v>85000</v>
      </c>
    </row>
    <row r="1999" spans="1:27" x14ac:dyDescent="0.3">
      <c r="A1999" s="3">
        <v>28</v>
      </c>
      <c r="B1999" s="2" t="str">
        <f>"13505000200"</f>
        <v>13505000200</v>
      </c>
      <c r="C1999" s="2" t="s">
        <v>7394</v>
      </c>
      <c r="D1999" t="s">
        <v>29</v>
      </c>
      <c r="E1999" s="2" t="s">
        <v>30</v>
      </c>
      <c r="F1999" s="2">
        <v>37217</v>
      </c>
      <c r="G1999" s="2" t="s">
        <v>64</v>
      </c>
      <c r="H1999" t="s">
        <v>2707</v>
      </c>
      <c r="I1999" s="6">
        <v>33555</v>
      </c>
      <c r="J1999" s="2" t="s">
        <v>7395</v>
      </c>
      <c r="K1999" s="2">
        <v>54000</v>
      </c>
      <c r="L1999" t="s">
        <v>2689</v>
      </c>
      <c r="M1999" t="s">
        <v>29</v>
      </c>
      <c r="N1999" t="s">
        <v>30</v>
      </c>
      <c r="O1999">
        <v>37214</v>
      </c>
      <c r="P1999" t="s">
        <v>7396</v>
      </c>
      <c r="Q1999" s="2">
        <v>0.39</v>
      </c>
      <c r="R1999" s="2">
        <v>123</v>
      </c>
      <c r="S1999" s="2">
        <v>124</v>
      </c>
      <c r="T1999" t="s">
        <v>7397</v>
      </c>
      <c r="U1999" s="6">
        <v>23539</v>
      </c>
      <c r="V1999" s="2">
        <v>47037015613</v>
      </c>
      <c r="W1999" s="2" t="s">
        <v>68</v>
      </c>
      <c r="X1999" s="1">
        <v>45658</v>
      </c>
      <c r="Y1999" s="2">
        <v>85000</v>
      </c>
      <c r="Z1999" s="2">
        <v>0</v>
      </c>
      <c r="AA1999" s="2">
        <v>85000</v>
      </c>
    </row>
    <row r="2000" spans="1:27" x14ac:dyDescent="0.3">
      <c r="A2000" s="3">
        <v>28</v>
      </c>
      <c r="B2000" s="2" t="str">
        <f>"13408001800"</f>
        <v>13408001800</v>
      </c>
      <c r="C2000" s="2" t="s">
        <v>7398</v>
      </c>
      <c r="D2000" t="s">
        <v>29</v>
      </c>
      <c r="E2000" s="2" t="s">
        <v>30</v>
      </c>
      <c r="F2000" s="2">
        <v>37217</v>
      </c>
      <c r="G2000" s="2" t="s">
        <v>64</v>
      </c>
      <c r="H2000" t="s">
        <v>2707</v>
      </c>
      <c r="I2000" s="6">
        <v>33376</v>
      </c>
      <c r="J2000" s="2" t="s">
        <v>7399</v>
      </c>
      <c r="K2000" s="2">
        <v>72000</v>
      </c>
      <c r="L2000" t="s">
        <v>2689</v>
      </c>
      <c r="M2000" t="s">
        <v>29</v>
      </c>
      <c r="N2000" t="s">
        <v>30</v>
      </c>
      <c r="O2000">
        <v>37214</v>
      </c>
      <c r="P2000" t="s">
        <v>7400</v>
      </c>
      <c r="Q2000" s="2">
        <v>0.35</v>
      </c>
      <c r="R2000" s="2">
        <v>97</v>
      </c>
      <c r="S2000" s="2">
        <v>127</v>
      </c>
      <c r="T2000" t="s">
        <v>7401</v>
      </c>
      <c r="U2000" s="6">
        <v>22986</v>
      </c>
      <c r="V2000" s="2">
        <v>47037015613</v>
      </c>
      <c r="W2000" s="2" t="s">
        <v>68</v>
      </c>
      <c r="X2000" s="1">
        <v>45658</v>
      </c>
      <c r="Y2000" s="2">
        <v>85000</v>
      </c>
      <c r="Z2000" s="2">
        <v>0</v>
      </c>
      <c r="AA2000" s="2">
        <v>85000</v>
      </c>
    </row>
    <row r="2001" spans="1:27" x14ac:dyDescent="0.3">
      <c r="A2001" s="3">
        <v>28</v>
      </c>
      <c r="B2001" s="2" t="str">
        <f>"13505000700"</f>
        <v>13505000700</v>
      </c>
      <c r="C2001" s="2" t="s">
        <v>7402</v>
      </c>
      <c r="D2001" t="s">
        <v>29</v>
      </c>
      <c r="E2001" s="2" t="s">
        <v>30</v>
      </c>
      <c r="F2001" s="2">
        <v>37217</v>
      </c>
      <c r="G2001" s="2" t="s">
        <v>64</v>
      </c>
      <c r="H2001" t="s">
        <v>2707</v>
      </c>
      <c r="I2001" s="6">
        <v>33465</v>
      </c>
      <c r="J2001" s="2" t="s">
        <v>7403</v>
      </c>
      <c r="K2001" s="2">
        <v>82000</v>
      </c>
      <c r="L2001" t="s">
        <v>2689</v>
      </c>
      <c r="M2001" t="s">
        <v>29</v>
      </c>
      <c r="N2001" t="s">
        <v>30</v>
      </c>
      <c r="O2001">
        <v>37214</v>
      </c>
      <c r="P2001" t="s">
        <v>7404</v>
      </c>
      <c r="Q2001" s="2">
        <v>1.21</v>
      </c>
      <c r="R2001" s="2">
        <v>167</v>
      </c>
      <c r="S2001" s="2">
        <v>272</v>
      </c>
      <c r="T2001" t="s">
        <v>7405</v>
      </c>
      <c r="U2001" s="6">
        <v>27087</v>
      </c>
      <c r="V2001" s="2">
        <v>47037015613</v>
      </c>
      <c r="W2001" s="2" t="s">
        <v>68</v>
      </c>
      <c r="X2001" s="1">
        <v>45658</v>
      </c>
      <c r="Y2001" s="2">
        <v>122100</v>
      </c>
      <c r="Z2001" s="2">
        <v>0</v>
      </c>
      <c r="AA2001" s="2">
        <v>122100</v>
      </c>
    </row>
    <row r="2002" spans="1:27" x14ac:dyDescent="0.3">
      <c r="A2002" s="3">
        <v>28</v>
      </c>
      <c r="B2002" s="2" t="str">
        <f>"13505000600"</f>
        <v>13505000600</v>
      </c>
      <c r="C2002" s="2" t="s">
        <v>7406</v>
      </c>
      <c r="D2002" t="s">
        <v>29</v>
      </c>
      <c r="E2002" s="2" t="s">
        <v>30</v>
      </c>
      <c r="F2002" s="2">
        <v>37217</v>
      </c>
      <c r="G2002" s="2" t="s">
        <v>64</v>
      </c>
      <c r="H2002" t="s">
        <v>2707</v>
      </c>
      <c r="I2002" s="6">
        <v>33633</v>
      </c>
      <c r="J2002" s="2" t="s">
        <v>7407</v>
      </c>
      <c r="K2002" s="2">
        <v>77000</v>
      </c>
      <c r="L2002" t="s">
        <v>2689</v>
      </c>
      <c r="M2002" t="s">
        <v>29</v>
      </c>
      <c r="N2002" t="s">
        <v>30</v>
      </c>
      <c r="O2002">
        <v>37214</v>
      </c>
      <c r="P2002" t="s">
        <v>7408</v>
      </c>
      <c r="Q2002" s="2">
        <v>0.75</v>
      </c>
      <c r="R2002" s="2">
        <v>107</v>
      </c>
      <c r="S2002" s="2">
        <v>243</v>
      </c>
      <c r="T2002" t="s">
        <v>7409</v>
      </c>
      <c r="U2002" s="6">
        <v>23580</v>
      </c>
      <c r="V2002" s="2">
        <v>47037015613</v>
      </c>
      <c r="W2002" s="2" t="s">
        <v>68</v>
      </c>
      <c r="X2002" s="1">
        <v>45658</v>
      </c>
      <c r="Y2002" s="2">
        <v>106300</v>
      </c>
      <c r="Z2002" s="2">
        <v>0</v>
      </c>
      <c r="AA2002" s="2">
        <v>106300</v>
      </c>
    </row>
    <row r="2003" spans="1:27" x14ac:dyDescent="0.3">
      <c r="A2003" s="3">
        <v>28</v>
      </c>
      <c r="B2003" s="2" t="str">
        <f>"13408002100"</f>
        <v>13408002100</v>
      </c>
      <c r="C2003" s="2" t="s">
        <v>7410</v>
      </c>
      <c r="D2003" t="s">
        <v>29</v>
      </c>
      <c r="E2003" s="2" t="s">
        <v>30</v>
      </c>
      <c r="F2003" s="2">
        <v>37217</v>
      </c>
      <c r="G2003" s="2" t="s">
        <v>64</v>
      </c>
      <c r="H2003" t="s">
        <v>2707</v>
      </c>
      <c r="I2003" s="6">
        <v>33535</v>
      </c>
      <c r="J2003" s="2" t="s">
        <v>7411</v>
      </c>
      <c r="K2003" s="2">
        <v>75000</v>
      </c>
      <c r="L2003" t="s">
        <v>2689</v>
      </c>
      <c r="M2003" t="s">
        <v>29</v>
      </c>
      <c r="N2003" t="s">
        <v>30</v>
      </c>
      <c r="O2003">
        <v>37214</v>
      </c>
      <c r="P2003" t="s">
        <v>7412</v>
      </c>
      <c r="Q2003" s="2">
        <v>0.25</v>
      </c>
      <c r="R2003" s="2">
        <v>72</v>
      </c>
      <c r="S2003" s="2">
        <v>120</v>
      </c>
      <c r="T2003" t="s">
        <v>7413</v>
      </c>
      <c r="U2003" s="6">
        <v>24670</v>
      </c>
      <c r="V2003" s="2">
        <v>47037015613</v>
      </c>
      <c r="W2003" s="2" t="s">
        <v>68</v>
      </c>
      <c r="X2003" s="1">
        <v>45658</v>
      </c>
      <c r="Y2003" s="2">
        <v>85000</v>
      </c>
      <c r="Z2003" s="2">
        <v>0</v>
      </c>
      <c r="AA2003" s="2">
        <v>85000</v>
      </c>
    </row>
    <row r="2004" spans="1:27" x14ac:dyDescent="0.3">
      <c r="A2004" s="3">
        <v>28</v>
      </c>
      <c r="B2004" s="2" t="str">
        <f>"13408003100"</f>
        <v>13408003100</v>
      </c>
      <c r="C2004" s="2" t="s">
        <v>7414</v>
      </c>
      <c r="D2004" t="s">
        <v>29</v>
      </c>
      <c r="E2004" s="2" t="s">
        <v>30</v>
      </c>
      <c r="F2004" s="2">
        <v>37217</v>
      </c>
      <c r="G2004" s="2" t="s">
        <v>64</v>
      </c>
      <c r="H2004" t="s">
        <v>2707</v>
      </c>
      <c r="I2004" s="6">
        <v>33528</v>
      </c>
      <c r="J2004" s="2" t="s">
        <v>7415</v>
      </c>
      <c r="K2004" s="2">
        <v>80000</v>
      </c>
      <c r="L2004" t="s">
        <v>2689</v>
      </c>
      <c r="M2004" t="s">
        <v>29</v>
      </c>
      <c r="N2004" t="s">
        <v>30</v>
      </c>
      <c r="O2004">
        <v>37214</v>
      </c>
      <c r="P2004" t="s">
        <v>7416</v>
      </c>
      <c r="Q2004" s="2">
        <v>1.01</v>
      </c>
      <c r="R2004" s="2">
        <v>161</v>
      </c>
      <c r="S2004" s="2">
        <v>232</v>
      </c>
      <c r="T2004" t="s">
        <v>7417</v>
      </c>
      <c r="U2004" s="6">
        <v>25766</v>
      </c>
      <c r="V2004" s="2">
        <v>47037015613</v>
      </c>
      <c r="W2004" s="2" t="s">
        <v>68</v>
      </c>
      <c r="X2004" s="1">
        <v>45658</v>
      </c>
      <c r="Y2004" s="2">
        <v>107100</v>
      </c>
      <c r="Z2004" s="2">
        <v>0</v>
      </c>
      <c r="AA2004" s="2">
        <v>107100</v>
      </c>
    </row>
    <row r="2005" spans="1:27" x14ac:dyDescent="0.3">
      <c r="A2005" s="3">
        <v>28</v>
      </c>
      <c r="B2005" s="2" t="str">
        <f>"13408002200"</f>
        <v>13408002200</v>
      </c>
      <c r="C2005" s="2" t="s">
        <v>7418</v>
      </c>
      <c r="D2005" t="s">
        <v>29</v>
      </c>
      <c r="E2005" s="2" t="s">
        <v>30</v>
      </c>
      <c r="F2005" s="2">
        <v>37217</v>
      </c>
      <c r="G2005" s="2" t="s">
        <v>64</v>
      </c>
      <c r="H2005" t="s">
        <v>2707</v>
      </c>
      <c r="I2005" s="6">
        <v>33624</v>
      </c>
      <c r="J2005" s="2" t="s">
        <v>7419</v>
      </c>
      <c r="K2005" s="2" t="s">
        <v>34</v>
      </c>
      <c r="L2005" t="s">
        <v>2689</v>
      </c>
      <c r="M2005" t="s">
        <v>29</v>
      </c>
      <c r="N2005" t="s">
        <v>30</v>
      </c>
      <c r="O2005">
        <v>37214</v>
      </c>
      <c r="P2005" t="s">
        <v>7420</v>
      </c>
      <c r="Q2005" s="2">
        <v>0.37</v>
      </c>
      <c r="R2005" s="2">
        <v>96</v>
      </c>
      <c r="S2005" s="2">
        <v>138</v>
      </c>
      <c r="T2005" t="s">
        <v>7421</v>
      </c>
      <c r="U2005" s="6">
        <v>23609</v>
      </c>
      <c r="V2005" s="2">
        <v>47037015613</v>
      </c>
      <c r="W2005" s="2" t="s">
        <v>68</v>
      </c>
      <c r="X2005" s="1">
        <v>45658</v>
      </c>
      <c r="Y2005" s="2">
        <v>85000</v>
      </c>
      <c r="Z2005" s="2">
        <v>0</v>
      </c>
      <c r="AA2005" s="2">
        <v>85000</v>
      </c>
    </row>
    <row r="2006" spans="1:27" x14ac:dyDescent="0.3">
      <c r="A2006" s="3">
        <v>28</v>
      </c>
      <c r="B2006" s="2" t="str">
        <f>"13408002400"</f>
        <v>13408002400</v>
      </c>
      <c r="C2006" s="2" t="s">
        <v>7422</v>
      </c>
      <c r="D2006" t="s">
        <v>29</v>
      </c>
      <c r="E2006" s="2" t="s">
        <v>30</v>
      </c>
      <c r="F2006" s="2">
        <v>37217</v>
      </c>
      <c r="G2006" s="2" t="s">
        <v>64</v>
      </c>
      <c r="H2006" t="s">
        <v>2707</v>
      </c>
      <c r="I2006" s="6">
        <v>33466</v>
      </c>
      <c r="J2006" s="2" t="s">
        <v>7423</v>
      </c>
      <c r="K2006" s="2">
        <v>75000</v>
      </c>
      <c r="L2006" t="s">
        <v>2689</v>
      </c>
      <c r="M2006" t="s">
        <v>29</v>
      </c>
      <c r="N2006" t="s">
        <v>30</v>
      </c>
      <c r="O2006">
        <v>37214</v>
      </c>
      <c r="P2006" t="s">
        <v>7424</v>
      </c>
      <c r="Q2006" s="2">
        <v>0.32</v>
      </c>
      <c r="R2006" s="2">
        <v>70</v>
      </c>
      <c r="S2006" s="2">
        <v>207</v>
      </c>
      <c r="T2006" t="s">
        <v>7425</v>
      </c>
      <c r="U2006" s="6">
        <v>23141</v>
      </c>
      <c r="V2006" s="2">
        <v>47037015613</v>
      </c>
      <c r="W2006" s="2" t="s">
        <v>68</v>
      </c>
      <c r="X2006" s="1">
        <v>45658</v>
      </c>
      <c r="Y2006" s="2">
        <v>85000</v>
      </c>
      <c r="Z2006" s="2">
        <v>0</v>
      </c>
      <c r="AA2006" s="2">
        <v>85000</v>
      </c>
    </row>
    <row r="2007" spans="1:27" x14ac:dyDescent="0.3">
      <c r="A2007" s="3">
        <v>28</v>
      </c>
      <c r="B2007" s="2" t="str">
        <f>"13408003000"</f>
        <v>13408003000</v>
      </c>
      <c r="C2007" s="2" t="s">
        <v>7426</v>
      </c>
      <c r="D2007" t="s">
        <v>29</v>
      </c>
      <c r="E2007" s="2" t="s">
        <v>30</v>
      </c>
      <c r="F2007" s="2">
        <v>37217</v>
      </c>
      <c r="G2007" s="2" t="s">
        <v>64</v>
      </c>
      <c r="H2007" t="s">
        <v>2707</v>
      </c>
      <c r="I2007" s="6">
        <v>33763</v>
      </c>
      <c r="J2007" s="2" t="s">
        <v>7427</v>
      </c>
      <c r="K2007" s="2">
        <v>75000</v>
      </c>
      <c r="L2007" t="s">
        <v>2689</v>
      </c>
      <c r="M2007" t="s">
        <v>29</v>
      </c>
      <c r="N2007" t="s">
        <v>30</v>
      </c>
      <c r="O2007">
        <v>37214</v>
      </c>
      <c r="P2007" t="s">
        <v>7428</v>
      </c>
      <c r="Q2007" s="2">
        <v>1.04</v>
      </c>
      <c r="R2007" s="2">
        <v>115</v>
      </c>
      <c r="S2007" s="2">
        <v>298</v>
      </c>
      <c r="T2007" t="s">
        <v>7429</v>
      </c>
      <c r="U2007" s="6">
        <v>22998</v>
      </c>
      <c r="V2007" s="2">
        <v>47037015613</v>
      </c>
      <c r="W2007" s="2" t="s">
        <v>68</v>
      </c>
      <c r="X2007" s="1">
        <v>45658</v>
      </c>
      <c r="Y2007" s="2">
        <v>109300</v>
      </c>
      <c r="Z2007" s="2">
        <v>0</v>
      </c>
      <c r="AA2007" s="2">
        <v>109300</v>
      </c>
    </row>
    <row r="2008" spans="1:27" x14ac:dyDescent="0.3">
      <c r="A2008" s="3">
        <v>28</v>
      </c>
      <c r="B2008" s="2" t="str">
        <f>"13408002500"</f>
        <v>13408002500</v>
      </c>
      <c r="C2008" s="2" t="s">
        <v>7430</v>
      </c>
      <c r="D2008" t="s">
        <v>29</v>
      </c>
      <c r="E2008" s="2" t="s">
        <v>30</v>
      </c>
      <c r="F2008" s="2">
        <v>37217</v>
      </c>
      <c r="G2008" s="2" t="s">
        <v>64</v>
      </c>
      <c r="H2008" t="s">
        <v>2707</v>
      </c>
      <c r="I2008" s="6">
        <v>33707</v>
      </c>
      <c r="J2008" s="2" t="s">
        <v>7431</v>
      </c>
      <c r="K2008" s="2" t="s">
        <v>34</v>
      </c>
      <c r="L2008" t="s">
        <v>2689</v>
      </c>
      <c r="M2008" t="s">
        <v>29</v>
      </c>
      <c r="N2008" t="s">
        <v>30</v>
      </c>
      <c r="O2008">
        <v>37214</v>
      </c>
      <c r="P2008" t="s">
        <v>7432</v>
      </c>
      <c r="Q2008" s="2">
        <v>0.34</v>
      </c>
      <c r="R2008" s="2">
        <v>74</v>
      </c>
      <c r="S2008" s="2">
        <v>203</v>
      </c>
      <c r="T2008" t="s">
        <v>7433</v>
      </c>
      <c r="U2008" s="6">
        <v>26807</v>
      </c>
      <c r="V2008" s="2">
        <v>47037015613</v>
      </c>
      <c r="W2008" s="2" t="s">
        <v>68</v>
      </c>
      <c r="X2008" s="1">
        <v>45658</v>
      </c>
      <c r="Y2008" s="2">
        <v>85000</v>
      </c>
      <c r="Z2008" s="2">
        <v>0</v>
      </c>
      <c r="AA2008" s="2">
        <v>85000</v>
      </c>
    </row>
    <row r="2009" spans="1:27" x14ac:dyDescent="0.3">
      <c r="A2009" s="3">
        <v>28</v>
      </c>
      <c r="B2009" s="2" t="str">
        <f>"13408002600"</f>
        <v>13408002600</v>
      </c>
      <c r="C2009" s="2" t="s">
        <v>7434</v>
      </c>
      <c r="D2009" t="s">
        <v>29</v>
      </c>
      <c r="E2009" s="2" t="s">
        <v>30</v>
      </c>
      <c r="F2009" s="2">
        <v>37217</v>
      </c>
      <c r="G2009" s="2" t="s">
        <v>64</v>
      </c>
      <c r="H2009" t="s">
        <v>2707</v>
      </c>
      <c r="I2009" s="6">
        <v>33620</v>
      </c>
      <c r="J2009" s="2" t="s">
        <v>7435</v>
      </c>
      <c r="K2009" s="2" t="s">
        <v>34</v>
      </c>
      <c r="L2009" t="s">
        <v>2689</v>
      </c>
      <c r="M2009" t="s">
        <v>29</v>
      </c>
      <c r="N2009" t="s">
        <v>30</v>
      </c>
      <c r="O2009">
        <v>37214</v>
      </c>
      <c r="P2009" t="s">
        <v>7436</v>
      </c>
      <c r="Q2009" s="2">
        <v>0.28999999999999998</v>
      </c>
      <c r="R2009" s="2">
        <v>72</v>
      </c>
      <c r="S2009" s="2">
        <v>193</v>
      </c>
      <c r="T2009" t="s">
        <v>7437</v>
      </c>
      <c r="U2009" s="6">
        <v>24189</v>
      </c>
      <c r="V2009" s="2">
        <v>47037015613</v>
      </c>
      <c r="W2009" s="2" t="s">
        <v>68</v>
      </c>
      <c r="X2009" s="1">
        <v>45658</v>
      </c>
      <c r="Y2009" s="2">
        <v>85000</v>
      </c>
      <c r="Z2009" s="2">
        <v>0</v>
      </c>
      <c r="AA2009" s="2">
        <v>85000</v>
      </c>
    </row>
    <row r="2010" spans="1:27" x14ac:dyDescent="0.3">
      <c r="A2010" s="3">
        <v>28</v>
      </c>
      <c r="B2010" s="2" t="str">
        <f>"13408002900"</f>
        <v>13408002900</v>
      </c>
      <c r="C2010" s="2" t="s">
        <v>7185</v>
      </c>
      <c r="D2010" t="s">
        <v>29</v>
      </c>
      <c r="E2010" s="2" t="s">
        <v>30</v>
      </c>
      <c r="F2010" s="2">
        <v>37217</v>
      </c>
      <c r="G2010" s="2" t="s">
        <v>64</v>
      </c>
      <c r="H2010" t="s">
        <v>2707</v>
      </c>
      <c r="I2010" s="6">
        <v>33536</v>
      </c>
      <c r="J2010" s="2" t="s">
        <v>7438</v>
      </c>
      <c r="K2010" s="2">
        <v>81000</v>
      </c>
      <c r="L2010" t="s">
        <v>2689</v>
      </c>
      <c r="M2010" t="s">
        <v>29</v>
      </c>
      <c r="N2010" t="s">
        <v>30</v>
      </c>
      <c r="O2010">
        <v>37214</v>
      </c>
      <c r="P2010" t="s">
        <v>7439</v>
      </c>
      <c r="Q2010" s="2">
        <v>0.81</v>
      </c>
      <c r="R2010" s="2">
        <v>107</v>
      </c>
      <c r="S2010" s="2">
        <v>298</v>
      </c>
      <c r="T2010" t="s">
        <v>7440</v>
      </c>
      <c r="U2010" s="6">
        <v>22906</v>
      </c>
      <c r="V2010" s="2">
        <v>47037015613</v>
      </c>
      <c r="W2010" s="2" t="s">
        <v>68</v>
      </c>
      <c r="X2010" s="1">
        <v>45658</v>
      </c>
      <c r="Y2010" s="2">
        <v>106300</v>
      </c>
      <c r="Z2010" s="2">
        <v>0</v>
      </c>
      <c r="AA2010" s="2">
        <v>106300</v>
      </c>
    </row>
    <row r="2011" spans="1:27" x14ac:dyDescent="0.3">
      <c r="A2011" s="3">
        <v>28</v>
      </c>
      <c r="B2011" s="2" t="str">
        <f>"13408002700"</f>
        <v>13408002700</v>
      </c>
      <c r="C2011" s="2" t="s">
        <v>7441</v>
      </c>
      <c r="D2011" t="s">
        <v>29</v>
      </c>
      <c r="E2011" s="2" t="s">
        <v>30</v>
      </c>
      <c r="F2011" s="2">
        <v>37217</v>
      </c>
      <c r="G2011" s="2" t="s">
        <v>64</v>
      </c>
      <c r="H2011" t="s">
        <v>2707</v>
      </c>
      <c r="I2011" s="6">
        <v>33616</v>
      </c>
      <c r="J2011" s="2" t="s">
        <v>7442</v>
      </c>
      <c r="K2011" s="2" t="s">
        <v>34</v>
      </c>
      <c r="L2011" t="s">
        <v>2689</v>
      </c>
      <c r="M2011" t="s">
        <v>29</v>
      </c>
      <c r="N2011" t="s">
        <v>30</v>
      </c>
      <c r="O2011">
        <v>37214</v>
      </c>
      <c r="P2011" t="s">
        <v>7443</v>
      </c>
      <c r="Q2011" s="2">
        <v>0.28000000000000003</v>
      </c>
      <c r="R2011" s="2">
        <v>45</v>
      </c>
      <c r="S2011" s="2">
        <v>178</v>
      </c>
      <c r="T2011" t="s">
        <v>7444</v>
      </c>
      <c r="U2011" s="6">
        <v>23151</v>
      </c>
      <c r="V2011" s="2">
        <v>47037015613</v>
      </c>
      <c r="W2011" s="2" t="s">
        <v>68</v>
      </c>
      <c r="X2011" s="1">
        <v>45658</v>
      </c>
      <c r="Y2011" s="2">
        <v>85000</v>
      </c>
      <c r="Z2011" s="2">
        <v>0</v>
      </c>
      <c r="AA2011" s="2">
        <v>85000</v>
      </c>
    </row>
    <row r="2012" spans="1:27" x14ac:dyDescent="0.3">
      <c r="A2012" s="3">
        <v>29</v>
      </c>
      <c r="B2012" s="2" t="str">
        <f>"13614016900"</f>
        <v>13614016900</v>
      </c>
      <c r="C2012" s="2" t="s">
        <v>7445</v>
      </c>
      <c r="D2012" t="s">
        <v>29</v>
      </c>
      <c r="E2012" s="2" t="s">
        <v>30</v>
      </c>
      <c r="F2012" s="2">
        <v>37217</v>
      </c>
      <c r="G2012" s="2" t="s">
        <v>64</v>
      </c>
      <c r="H2012" t="s">
        <v>32</v>
      </c>
      <c r="I2012" s="6">
        <v>41285</v>
      </c>
      <c r="J2012" s="2" t="s">
        <v>7446</v>
      </c>
      <c r="K2012" s="2">
        <v>0</v>
      </c>
      <c r="L2012" t="s">
        <v>35</v>
      </c>
      <c r="M2012" t="s">
        <v>29</v>
      </c>
      <c r="N2012" t="s">
        <v>30</v>
      </c>
      <c r="O2012">
        <v>37219</v>
      </c>
      <c r="P2012" t="s">
        <v>7447</v>
      </c>
      <c r="Q2012" s="2">
        <v>0.02</v>
      </c>
      <c r="R2012" s="2">
        <v>61</v>
      </c>
      <c r="S2012" s="2">
        <v>46</v>
      </c>
      <c r="T2012" t="s">
        <v>7448</v>
      </c>
      <c r="U2012" s="6">
        <v>31254</v>
      </c>
      <c r="V2012" s="2">
        <v>47037015618</v>
      </c>
      <c r="W2012" s="2" t="s">
        <v>68</v>
      </c>
      <c r="X2012" s="1">
        <v>45658</v>
      </c>
      <c r="Y2012" s="2">
        <v>500</v>
      </c>
      <c r="Z2012" s="2">
        <v>0</v>
      </c>
      <c r="AA2012" s="2">
        <v>500</v>
      </c>
    </row>
    <row r="2013" spans="1:27" x14ac:dyDescent="0.3">
      <c r="A2013" s="3">
        <v>29</v>
      </c>
      <c r="B2013" s="2" t="str">
        <f>"13600007100"</f>
        <v>13600007100</v>
      </c>
      <c r="C2013" s="2" t="s">
        <v>7449</v>
      </c>
      <c r="D2013" t="s">
        <v>29</v>
      </c>
      <c r="E2013" s="2" t="s">
        <v>30</v>
      </c>
      <c r="F2013" s="2">
        <v>37217</v>
      </c>
      <c r="G2013" s="2" t="s">
        <v>64</v>
      </c>
      <c r="H2013" t="s">
        <v>32</v>
      </c>
      <c r="I2013" s="6">
        <v>41285</v>
      </c>
      <c r="J2013" s="2" t="s">
        <v>7446</v>
      </c>
      <c r="K2013" s="2">
        <v>0</v>
      </c>
      <c r="L2013" t="s">
        <v>35</v>
      </c>
      <c r="M2013" t="s">
        <v>29</v>
      </c>
      <c r="N2013" t="s">
        <v>30</v>
      </c>
      <c r="O2013">
        <v>37219</v>
      </c>
      <c r="P2013" t="s">
        <v>7450</v>
      </c>
      <c r="Q2013" s="2">
        <v>12.66</v>
      </c>
      <c r="R2013" s="2">
        <v>0</v>
      </c>
      <c r="S2013" s="2">
        <v>0</v>
      </c>
      <c r="T2013" t="s">
        <v>7451</v>
      </c>
      <c r="U2013" s="6">
        <v>33786</v>
      </c>
      <c r="V2013" s="2">
        <v>47037015618</v>
      </c>
      <c r="W2013" s="2" t="s">
        <v>68</v>
      </c>
      <c r="X2013" s="1">
        <v>45658</v>
      </c>
      <c r="Y2013" s="2">
        <v>943400</v>
      </c>
      <c r="Z2013" s="2">
        <v>0</v>
      </c>
      <c r="AA2013" s="2">
        <v>943400</v>
      </c>
    </row>
    <row r="2014" spans="1:27" x14ac:dyDescent="0.3">
      <c r="A2014" s="3">
        <v>29</v>
      </c>
      <c r="B2014" s="2" t="str">
        <f>"13600011300"</f>
        <v>13600011300</v>
      </c>
      <c r="C2014" s="2" t="s">
        <v>7452</v>
      </c>
      <c r="D2014" t="s">
        <v>29</v>
      </c>
      <c r="E2014" s="2" t="s">
        <v>30</v>
      </c>
      <c r="F2014" s="2">
        <v>37217</v>
      </c>
      <c r="G2014" s="2" t="s">
        <v>31</v>
      </c>
      <c r="H2014" t="s">
        <v>32</v>
      </c>
      <c r="I2014" s="6">
        <v>41285</v>
      </c>
      <c r="J2014" s="2" t="s">
        <v>7446</v>
      </c>
      <c r="K2014" s="2">
        <v>0</v>
      </c>
      <c r="L2014" t="s">
        <v>35</v>
      </c>
      <c r="M2014" t="s">
        <v>29</v>
      </c>
      <c r="N2014" t="s">
        <v>30</v>
      </c>
      <c r="O2014">
        <v>37219</v>
      </c>
      <c r="P2014" t="s">
        <v>7453</v>
      </c>
      <c r="Q2014" s="2">
        <v>2.2000000000000002</v>
      </c>
      <c r="R2014" s="2">
        <v>0</v>
      </c>
      <c r="S2014" s="2">
        <v>0</v>
      </c>
      <c r="T2014" t="s">
        <v>7454</v>
      </c>
      <c r="U2014" s="6">
        <v>23791</v>
      </c>
      <c r="V2014" s="2">
        <v>47037015618</v>
      </c>
      <c r="W2014" s="2" t="s">
        <v>68</v>
      </c>
      <c r="X2014" s="1">
        <v>45658</v>
      </c>
      <c r="Y2014" s="2">
        <v>138200</v>
      </c>
      <c r="Z2014" s="2">
        <v>0</v>
      </c>
      <c r="AA2014" s="2">
        <v>138200</v>
      </c>
    </row>
    <row r="2015" spans="1:27" x14ac:dyDescent="0.3">
      <c r="A2015" s="3">
        <v>29</v>
      </c>
      <c r="B2015" s="2" t="str">
        <f>"13614016800"</f>
        <v>13614016800</v>
      </c>
      <c r="C2015" s="2" t="s">
        <v>7445</v>
      </c>
      <c r="D2015" t="s">
        <v>29</v>
      </c>
      <c r="E2015" s="2" t="s">
        <v>30</v>
      </c>
      <c r="F2015" s="2">
        <v>37217</v>
      </c>
      <c r="G2015" s="2" t="s">
        <v>64</v>
      </c>
      <c r="H2015" t="s">
        <v>32</v>
      </c>
      <c r="I2015" s="6">
        <v>41285</v>
      </c>
      <c r="J2015" s="2" t="s">
        <v>7446</v>
      </c>
      <c r="K2015" s="2">
        <v>0</v>
      </c>
      <c r="L2015" t="s">
        <v>35</v>
      </c>
      <c r="M2015" t="s">
        <v>29</v>
      </c>
      <c r="N2015" t="s">
        <v>30</v>
      </c>
      <c r="O2015">
        <v>37219</v>
      </c>
      <c r="P2015" t="s">
        <v>7447</v>
      </c>
      <c r="Q2015" s="2">
        <v>0.35</v>
      </c>
      <c r="R2015" s="2">
        <v>45</v>
      </c>
      <c r="S2015" s="2">
        <v>135</v>
      </c>
      <c r="T2015" t="s">
        <v>7448</v>
      </c>
      <c r="U2015" s="6">
        <v>31254</v>
      </c>
      <c r="V2015" s="2">
        <v>47037015618</v>
      </c>
      <c r="W2015" s="2" t="s">
        <v>68</v>
      </c>
      <c r="X2015" s="1">
        <v>45658</v>
      </c>
      <c r="Y2015" s="2">
        <v>500</v>
      </c>
      <c r="Z2015" s="2">
        <v>0</v>
      </c>
      <c r="AA2015" s="2">
        <v>500</v>
      </c>
    </row>
    <row r="2016" spans="1:27" x14ac:dyDescent="0.3">
      <c r="A2016" s="3">
        <v>29</v>
      </c>
      <c r="B2016" s="2" t="str">
        <f>"13614016700"</f>
        <v>13614016700</v>
      </c>
      <c r="C2016" s="2" t="s">
        <v>7455</v>
      </c>
      <c r="D2016" t="s">
        <v>29</v>
      </c>
      <c r="E2016" s="2" t="s">
        <v>30</v>
      </c>
      <c r="F2016" s="2">
        <v>37217</v>
      </c>
      <c r="G2016" s="2" t="s">
        <v>64</v>
      </c>
      <c r="H2016" t="s">
        <v>32</v>
      </c>
      <c r="I2016" s="6">
        <v>41285</v>
      </c>
      <c r="J2016" s="2" t="s">
        <v>7446</v>
      </c>
      <c r="K2016" s="2">
        <v>0</v>
      </c>
      <c r="L2016" t="s">
        <v>35</v>
      </c>
      <c r="M2016" t="s">
        <v>29</v>
      </c>
      <c r="N2016" t="s">
        <v>30</v>
      </c>
      <c r="O2016">
        <v>37219</v>
      </c>
      <c r="P2016" t="s">
        <v>7456</v>
      </c>
      <c r="Q2016" s="2">
        <v>0.2</v>
      </c>
      <c r="R2016" s="2">
        <v>0</v>
      </c>
      <c r="S2016" s="2">
        <v>172</v>
      </c>
      <c r="T2016" t="s">
        <v>7457</v>
      </c>
      <c r="U2016" s="6">
        <v>30846</v>
      </c>
      <c r="V2016" s="2">
        <v>47037015618</v>
      </c>
      <c r="W2016" s="2" t="s">
        <v>68</v>
      </c>
      <c r="X2016" s="1">
        <v>45658</v>
      </c>
      <c r="Y2016" s="2">
        <v>500</v>
      </c>
      <c r="Z2016" s="2">
        <v>0</v>
      </c>
      <c r="AA2016" s="2">
        <v>500</v>
      </c>
    </row>
    <row r="2017" spans="1:27" x14ac:dyDescent="0.3">
      <c r="A2017" s="3">
        <v>29</v>
      </c>
      <c r="B2017" s="2" t="str">
        <f>"15001035300"</f>
        <v>15001035300</v>
      </c>
      <c r="C2017" s="2" t="s">
        <v>7458</v>
      </c>
      <c r="D2017" t="s">
        <v>1945</v>
      </c>
      <c r="E2017" s="2" t="s">
        <v>30</v>
      </c>
      <c r="F2017" s="2">
        <v>37013</v>
      </c>
      <c r="G2017" s="2" t="s">
        <v>64</v>
      </c>
      <c r="H2017" t="s">
        <v>99</v>
      </c>
      <c r="I2017" s="6">
        <v>41626</v>
      </c>
      <c r="J2017" s="2" t="s">
        <v>7459</v>
      </c>
      <c r="K2017" s="2">
        <v>648</v>
      </c>
      <c r="L2017" t="s">
        <v>35</v>
      </c>
      <c r="M2017" t="s">
        <v>29</v>
      </c>
      <c r="N2017" t="s">
        <v>30</v>
      </c>
      <c r="O2017">
        <v>37219</v>
      </c>
      <c r="P2017" t="s">
        <v>7460</v>
      </c>
      <c r="Q2017" s="2">
        <v>0.04</v>
      </c>
      <c r="R2017" s="2">
        <v>0</v>
      </c>
      <c r="S2017" s="2">
        <v>113</v>
      </c>
      <c r="T2017" t="s">
        <v>7461</v>
      </c>
      <c r="U2017" s="6">
        <v>26647</v>
      </c>
      <c r="V2017" s="2">
        <v>47037015618</v>
      </c>
      <c r="W2017" s="2" t="s">
        <v>68</v>
      </c>
      <c r="X2017" s="1">
        <v>45658</v>
      </c>
      <c r="Y2017" s="2">
        <v>500</v>
      </c>
      <c r="Z2017" s="2">
        <v>0</v>
      </c>
      <c r="AA2017" s="2">
        <v>500</v>
      </c>
    </row>
    <row r="2018" spans="1:27" x14ac:dyDescent="0.3">
      <c r="A2018" s="3">
        <v>29</v>
      </c>
      <c r="B2018" s="2" t="str">
        <f>"14900024900"</f>
        <v>14900024900</v>
      </c>
      <c r="C2018" s="2" t="s">
        <v>7462</v>
      </c>
      <c r="D2018" t="s">
        <v>1945</v>
      </c>
      <c r="E2018" s="2" t="s">
        <v>30</v>
      </c>
      <c r="F2018" s="2">
        <v>37013</v>
      </c>
      <c r="G2018" s="2" t="s">
        <v>147</v>
      </c>
      <c r="H2018" t="s">
        <v>1131</v>
      </c>
      <c r="I2018" s="6">
        <v>28524</v>
      </c>
      <c r="J2018" s="2" t="s">
        <v>7463</v>
      </c>
      <c r="K2018" s="2">
        <v>85000</v>
      </c>
      <c r="L2018" t="s">
        <v>35</v>
      </c>
      <c r="M2018" t="s">
        <v>29</v>
      </c>
      <c r="N2018" t="s">
        <v>30</v>
      </c>
      <c r="O2018">
        <v>37219</v>
      </c>
      <c r="P2018" t="s">
        <v>7464</v>
      </c>
      <c r="Q2018" s="2">
        <v>0.92</v>
      </c>
      <c r="R2018" s="2">
        <v>170</v>
      </c>
      <c r="S2018" s="2">
        <v>201</v>
      </c>
      <c r="T2018" t="s">
        <v>7465</v>
      </c>
      <c r="U2018" s="6">
        <v>28597</v>
      </c>
      <c r="V2018" s="2">
        <v>47037015620</v>
      </c>
      <c r="W2018" s="2" t="s">
        <v>68</v>
      </c>
      <c r="X2018" s="1">
        <v>45658</v>
      </c>
      <c r="Y2018" s="2">
        <v>601100</v>
      </c>
      <c r="Z2018" s="2">
        <v>0</v>
      </c>
      <c r="AA2018" s="2">
        <v>601100</v>
      </c>
    </row>
    <row r="2019" spans="1:27" x14ac:dyDescent="0.3">
      <c r="A2019" s="3">
        <v>29</v>
      </c>
      <c r="B2019" s="2" t="str">
        <f>"14904004200"</f>
        <v>14904004200</v>
      </c>
      <c r="C2019" s="2" t="s">
        <v>7466</v>
      </c>
      <c r="D2019" t="s">
        <v>29</v>
      </c>
      <c r="E2019" s="2" t="s">
        <v>30</v>
      </c>
      <c r="F2019" s="2">
        <v>37217</v>
      </c>
      <c r="G2019" s="2" t="s">
        <v>253</v>
      </c>
      <c r="H2019" t="s">
        <v>7467</v>
      </c>
      <c r="I2019" s="6">
        <v>23279</v>
      </c>
      <c r="J2019" s="2" t="s">
        <v>7468</v>
      </c>
      <c r="K2019" s="2" t="s">
        <v>34</v>
      </c>
      <c r="L2019" t="s">
        <v>35</v>
      </c>
      <c r="M2019" t="s">
        <v>29</v>
      </c>
      <c r="N2019" t="s">
        <v>30</v>
      </c>
      <c r="O2019">
        <v>37219</v>
      </c>
      <c r="P2019" t="s">
        <v>7469</v>
      </c>
      <c r="Q2019" s="2">
        <v>11.34</v>
      </c>
      <c r="R2019" s="2">
        <v>533</v>
      </c>
      <c r="S2019" s="2">
        <v>0</v>
      </c>
      <c r="T2019" t="s">
        <v>7470</v>
      </c>
      <c r="U2019" s="6">
        <v>45294</v>
      </c>
      <c r="V2019" s="2">
        <v>47047037015618</v>
      </c>
      <c r="W2019" s="2" t="s">
        <v>68</v>
      </c>
      <c r="X2019" s="1">
        <v>45658</v>
      </c>
      <c r="Y2019" s="2">
        <v>693500</v>
      </c>
      <c r="Z2019" s="2">
        <v>0</v>
      </c>
      <c r="AA2019" s="2">
        <v>693500</v>
      </c>
    </row>
    <row r="2020" spans="1:27" x14ac:dyDescent="0.3">
      <c r="A2020" s="3">
        <v>29</v>
      </c>
      <c r="B2020" s="2" t="str">
        <f>"13606000100"</f>
        <v>13606000100</v>
      </c>
      <c r="C2020" s="2" t="s">
        <v>7471</v>
      </c>
      <c r="D2020" t="s">
        <v>29</v>
      </c>
      <c r="E2020" s="2" t="s">
        <v>30</v>
      </c>
      <c r="F2020" s="2">
        <v>37217</v>
      </c>
      <c r="G2020" s="2" t="s">
        <v>64</v>
      </c>
      <c r="H2020" t="s">
        <v>280</v>
      </c>
      <c r="I2020" s="6">
        <v>40198</v>
      </c>
      <c r="J2020" s="2" t="s">
        <v>7472</v>
      </c>
      <c r="K2020" s="2">
        <v>432</v>
      </c>
      <c r="L2020" t="s">
        <v>35</v>
      </c>
      <c r="M2020" t="s">
        <v>29</v>
      </c>
      <c r="N2020" t="s">
        <v>30</v>
      </c>
      <c r="O2020">
        <v>37219</v>
      </c>
      <c r="P2020" t="s">
        <v>7473</v>
      </c>
      <c r="Q2020" s="2">
        <v>0.05</v>
      </c>
      <c r="R2020" s="2">
        <v>20</v>
      </c>
      <c r="S2020" s="2">
        <v>128</v>
      </c>
      <c r="T2020" t="s">
        <v>7474</v>
      </c>
      <c r="U2020" s="6">
        <v>23977</v>
      </c>
      <c r="V2020" s="2">
        <v>47037015617</v>
      </c>
      <c r="W2020" s="2" t="s">
        <v>68</v>
      </c>
      <c r="X2020" s="1">
        <v>45658</v>
      </c>
      <c r="Y2020" s="2">
        <v>500</v>
      </c>
      <c r="Z2020" s="2">
        <v>0</v>
      </c>
      <c r="AA2020" s="2">
        <v>500</v>
      </c>
    </row>
    <row r="2021" spans="1:27" x14ac:dyDescent="0.3">
      <c r="A2021" s="3">
        <v>29</v>
      </c>
      <c r="B2021" s="2" t="str">
        <f>"13600006401"</f>
        <v>13600006401</v>
      </c>
      <c r="C2021" s="2" t="s">
        <v>7475</v>
      </c>
      <c r="D2021" t="s">
        <v>29</v>
      </c>
      <c r="E2021" s="2" t="s">
        <v>30</v>
      </c>
      <c r="F2021" s="2">
        <v>37217</v>
      </c>
      <c r="G2021" s="2" t="s">
        <v>152</v>
      </c>
      <c r="H2021" t="s">
        <v>280</v>
      </c>
      <c r="I2021" s="6">
        <v>26846</v>
      </c>
      <c r="J2021" s="2" t="s">
        <v>1990</v>
      </c>
      <c r="K2021" s="2" t="s">
        <v>34</v>
      </c>
      <c r="L2021" t="s">
        <v>35</v>
      </c>
      <c r="M2021" t="s">
        <v>29</v>
      </c>
      <c r="N2021" t="s">
        <v>30</v>
      </c>
      <c r="O2021">
        <v>37219</v>
      </c>
      <c r="P2021" t="s">
        <v>7476</v>
      </c>
      <c r="Q2021" s="2">
        <v>2.2000000000000002</v>
      </c>
      <c r="R2021" s="2">
        <v>0</v>
      </c>
      <c r="S2021" s="2">
        <v>0</v>
      </c>
      <c r="T2021" t="s">
        <v>7477</v>
      </c>
      <c r="U2021" s="6">
        <v>23249</v>
      </c>
      <c r="V2021" s="2">
        <v>47037015618</v>
      </c>
      <c r="W2021" s="2" t="s">
        <v>68</v>
      </c>
      <c r="X2021" s="1">
        <v>45658</v>
      </c>
      <c r="Y2021" s="2">
        <v>184200</v>
      </c>
      <c r="Z2021" s="2">
        <v>0</v>
      </c>
      <c r="AA2021" s="2">
        <v>184200</v>
      </c>
    </row>
    <row r="2022" spans="1:27" x14ac:dyDescent="0.3">
      <c r="A2022" s="3">
        <v>29</v>
      </c>
      <c r="B2022" s="2" t="str">
        <f>"15002050100"</f>
        <v>15002050100</v>
      </c>
      <c r="C2022" s="2" t="s">
        <v>7478</v>
      </c>
      <c r="D2022" t="s">
        <v>29</v>
      </c>
      <c r="E2022" s="2" t="s">
        <v>30</v>
      </c>
      <c r="F2022" s="2">
        <v>37217</v>
      </c>
      <c r="G2022" s="2" t="s">
        <v>64</v>
      </c>
      <c r="H2022" t="s">
        <v>280</v>
      </c>
      <c r="I2022" s="6">
        <v>43074</v>
      </c>
      <c r="J2022" s="2" t="s">
        <v>7479</v>
      </c>
      <c r="K2022" s="2" t="s">
        <v>34</v>
      </c>
      <c r="L2022" t="s">
        <v>343</v>
      </c>
      <c r="M2022" t="s">
        <v>29</v>
      </c>
      <c r="N2022" t="s">
        <v>30</v>
      </c>
      <c r="O2022">
        <v>37201</v>
      </c>
      <c r="P2022" t="s">
        <v>7480</v>
      </c>
      <c r="Q2022" s="2">
        <v>0.15</v>
      </c>
      <c r="R2022" s="2">
        <v>31</v>
      </c>
      <c r="S2022" s="2">
        <v>200</v>
      </c>
      <c r="T2022" t="s">
        <v>7481</v>
      </c>
      <c r="U2022" s="6">
        <v>32331</v>
      </c>
      <c r="V2022" s="2">
        <v>47037015618</v>
      </c>
      <c r="W2022" s="2" t="s">
        <v>68</v>
      </c>
      <c r="X2022" s="1">
        <v>45658</v>
      </c>
      <c r="Y2022" s="2">
        <v>52000</v>
      </c>
      <c r="Z2022" s="2">
        <v>0</v>
      </c>
      <c r="AA2022" s="2">
        <v>52000</v>
      </c>
    </row>
    <row r="2023" spans="1:27" x14ac:dyDescent="0.3">
      <c r="A2023" s="3">
        <v>29</v>
      </c>
      <c r="B2023" s="2" t="str">
        <f>"15002028400"</f>
        <v>15002028400</v>
      </c>
      <c r="C2023" s="2" t="s">
        <v>7482</v>
      </c>
      <c r="D2023" t="s">
        <v>29</v>
      </c>
      <c r="E2023" s="2" t="s">
        <v>30</v>
      </c>
      <c r="F2023" s="2">
        <v>37217</v>
      </c>
      <c r="G2023" s="2" t="s">
        <v>7483</v>
      </c>
      <c r="H2023" t="s">
        <v>280</v>
      </c>
      <c r="I2023" s="6">
        <v>43074</v>
      </c>
      <c r="J2023" s="2" t="s">
        <v>7484</v>
      </c>
      <c r="K2023" s="2" t="s">
        <v>34</v>
      </c>
      <c r="L2023" t="s">
        <v>343</v>
      </c>
      <c r="M2023" t="s">
        <v>29</v>
      </c>
      <c r="N2023" t="s">
        <v>30</v>
      </c>
      <c r="O2023">
        <v>37201</v>
      </c>
      <c r="P2023" t="s">
        <v>7485</v>
      </c>
      <c r="Q2023" s="2">
        <v>0.13</v>
      </c>
      <c r="R2023" s="2">
        <v>29</v>
      </c>
      <c r="S2023" s="2">
        <v>200</v>
      </c>
      <c r="T2023" t="s">
        <v>7481</v>
      </c>
      <c r="U2023" s="6">
        <v>32331</v>
      </c>
      <c r="V2023" s="2">
        <v>47037015618</v>
      </c>
      <c r="W2023" s="2" t="s">
        <v>68</v>
      </c>
      <c r="X2023" s="1">
        <v>45658</v>
      </c>
      <c r="Y2023" s="2">
        <v>52000</v>
      </c>
      <c r="Z2023" s="2">
        <v>0</v>
      </c>
      <c r="AA2023" s="2">
        <v>52000</v>
      </c>
    </row>
    <row r="2024" spans="1:27" x14ac:dyDescent="0.3">
      <c r="A2024" s="3">
        <v>29</v>
      </c>
      <c r="B2024" s="2" t="str">
        <f>"15002050200"</f>
        <v>15002050200</v>
      </c>
      <c r="C2024" s="2" t="s">
        <v>7486</v>
      </c>
      <c r="D2024" t="s">
        <v>29</v>
      </c>
      <c r="E2024" s="2" t="s">
        <v>30</v>
      </c>
      <c r="F2024" s="2">
        <v>37217</v>
      </c>
      <c r="G2024" s="2" t="s">
        <v>64</v>
      </c>
      <c r="H2024" t="s">
        <v>280</v>
      </c>
      <c r="I2024" s="6">
        <v>42937</v>
      </c>
      <c r="J2024" s="2" t="s">
        <v>7487</v>
      </c>
      <c r="K2024" s="2" t="s">
        <v>34</v>
      </c>
      <c r="L2024" t="s">
        <v>343</v>
      </c>
      <c r="M2024" t="s">
        <v>29</v>
      </c>
      <c r="N2024" t="s">
        <v>30</v>
      </c>
      <c r="O2024">
        <v>37201</v>
      </c>
      <c r="P2024" t="s">
        <v>7488</v>
      </c>
      <c r="Q2024" s="2">
        <v>0.15</v>
      </c>
      <c r="R2024" s="2">
        <v>32</v>
      </c>
      <c r="S2024" s="2">
        <v>200</v>
      </c>
      <c r="T2024" t="s">
        <v>7481</v>
      </c>
      <c r="U2024" s="6">
        <v>32331</v>
      </c>
      <c r="V2024" s="2">
        <v>47037015618</v>
      </c>
      <c r="W2024" s="2" t="s">
        <v>68</v>
      </c>
      <c r="X2024" s="1">
        <v>45658</v>
      </c>
      <c r="Y2024" s="2">
        <v>52000</v>
      </c>
      <c r="Z2024" s="2">
        <v>0</v>
      </c>
      <c r="AA2024" s="2">
        <v>52000</v>
      </c>
    </row>
    <row r="2025" spans="1:27" x14ac:dyDescent="0.3">
      <c r="A2025" s="3">
        <v>29</v>
      </c>
      <c r="B2025" s="2" t="str">
        <f>"15002028500"</f>
        <v>15002028500</v>
      </c>
      <c r="C2025" s="2" t="s">
        <v>7489</v>
      </c>
      <c r="D2025" t="s">
        <v>29</v>
      </c>
      <c r="E2025" s="2" t="s">
        <v>30</v>
      </c>
      <c r="F2025" s="2">
        <v>37217</v>
      </c>
      <c r="G2025" s="2" t="s">
        <v>7483</v>
      </c>
      <c r="H2025" t="s">
        <v>280</v>
      </c>
      <c r="I2025" s="6">
        <v>42860</v>
      </c>
      <c r="J2025" s="2" t="s">
        <v>7490</v>
      </c>
      <c r="K2025" s="2" t="s">
        <v>34</v>
      </c>
      <c r="L2025" t="s">
        <v>343</v>
      </c>
      <c r="M2025" t="s">
        <v>29</v>
      </c>
      <c r="N2025" t="s">
        <v>30</v>
      </c>
      <c r="O2025">
        <v>37201</v>
      </c>
      <c r="P2025" t="s">
        <v>7491</v>
      </c>
      <c r="Q2025" s="2">
        <v>0.13</v>
      </c>
      <c r="R2025" s="2">
        <v>28</v>
      </c>
      <c r="S2025" s="2">
        <v>200</v>
      </c>
      <c r="T2025" t="s">
        <v>7481</v>
      </c>
      <c r="U2025" s="6">
        <v>32331</v>
      </c>
      <c r="V2025" s="2">
        <v>47037015618</v>
      </c>
      <c r="W2025" s="2" t="s">
        <v>68</v>
      </c>
      <c r="X2025" s="1">
        <v>45658</v>
      </c>
      <c r="Y2025" s="2">
        <v>52000</v>
      </c>
      <c r="Z2025" s="2">
        <v>0</v>
      </c>
      <c r="AA2025" s="2">
        <v>52000</v>
      </c>
    </row>
    <row r="2026" spans="1:27" x14ac:dyDescent="0.3">
      <c r="A2026" s="3">
        <v>29</v>
      </c>
      <c r="B2026" s="2" t="str">
        <f>"15002028600"</f>
        <v>15002028600</v>
      </c>
      <c r="C2026" s="2" t="s">
        <v>7492</v>
      </c>
      <c r="D2026" t="s">
        <v>29</v>
      </c>
      <c r="E2026" s="2" t="s">
        <v>30</v>
      </c>
      <c r="F2026" s="2">
        <v>37217</v>
      </c>
      <c r="G2026" s="2" t="s">
        <v>64</v>
      </c>
      <c r="H2026" t="s">
        <v>280</v>
      </c>
      <c r="I2026" s="6">
        <v>42208</v>
      </c>
      <c r="J2026" s="2" t="s">
        <v>7493</v>
      </c>
      <c r="K2026" s="2">
        <v>0</v>
      </c>
      <c r="L2026" t="s">
        <v>35</v>
      </c>
      <c r="M2026" t="s">
        <v>29</v>
      </c>
      <c r="N2026" t="s">
        <v>30</v>
      </c>
      <c r="O2026">
        <v>37219</v>
      </c>
      <c r="P2026" t="s">
        <v>7494</v>
      </c>
      <c r="Q2026" s="2">
        <v>0.34</v>
      </c>
      <c r="R2026" s="2">
        <v>10</v>
      </c>
      <c r="S2026" s="2">
        <v>242</v>
      </c>
      <c r="T2026" t="s">
        <v>7495</v>
      </c>
      <c r="U2026" s="6">
        <v>32122</v>
      </c>
      <c r="V2026" s="2">
        <v>47037015618</v>
      </c>
      <c r="W2026" s="2" t="s">
        <v>68</v>
      </c>
      <c r="X2026" s="1">
        <v>45658</v>
      </c>
      <c r="Y2026" s="2">
        <v>500</v>
      </c>
      <c r="Z2026" s="2">
        <v>0</v>
      </c>
      <c r="AA2026" s="2">
        <v>500</v>
      </c>
    </row>
    <row r="2027" spans="1:27" x14ac:dyDescent="0.3">
      <c r="A2027" s="3">
        <v>29</v>
      </c>
      <c r="B2027" s="2" t="str">
        <f>"15002028800"</f>
        <v>15002028800</v>
      </c>
      <c r="C2027" s="2" t="s">
        <v>7492</v>
      </c>
      <c r="D2027" t="s">
        <v>29</v>
      </c>
      <c r="E2027" s="2" t="s">
        <v>30</v>
      </c>
      <c r="F2027" s="2">
        <v>37217</v>
      </c>
      <c r="G2027" s="2" t="s">
        <v>64</v>
      </c>
      <c r="H2027" t="s">
        <v>280</v>
      </c>
      <c r="I2027" s="6">
        <v>42208</v>
      </c>
      <c r="J2027" s="2" t="s">
        <v>7496</v>
      </c>
      <c r="K2027" s="2">
        <v>0</v>
      </c>
      <c r="L2027" t="s">
        <v>35</v>
      </c>
      <c r="M2027" t="s">
        <v>29</v>
      </c>
      <c r="N2027" t="s">
        <v>30</v>
      </c>
      <c r="O2027">
        <v>37219</v>
      </c>
      <c r="P2027" t="s">
        <v>7497</v>
      </c>
      <c r="Q2027" s="2">
        <v>0.03</v>
      </c>
      <c r="R2027" s="2">
        <v>44</v>
      </c>
      <c r="S2027" s="2">
        <v>69</v>
      </c>
      <c r="T2027" t="s">
        <v>7457</v>
      </c>
      <c r="U2027" s="6">
        <v>30846</v>
      </c>
      <c r="V2027" s="2">
        <v>47037015618</v>
      </c>
      <c r="W2027" s="2" t="s">
        <v>68</v>
      </c>
      <c r="X2027" s="1">
        <v>45658</v>
      </c>
      <c r="Y2027" s="2">
        <v>500</v>
      </c>
      <c r="Z2027" s="2">
        <v>0</v>
      </c>
      <c r="AA2027" s="2">
        <v>500</v>
      </c>
    </row>
    <row r="2028" spans="1:27" x14ac:dyDescent="0.3">
      <c r="A2028" s="3">
        <v>30</v>
      </c>
      <c r="B2028" s="2" t="str">
        <f>"13312000200"</f>
        <v>13312000200</v>
      </c>
      <c r="C2028" s="2" t="s">
        <v>7498</v>
      </c>
      <c r="D2028" t="s">
        <v>29</v>
      </c>
      <c r="E2028" s="2" t="s">
        <v>30</v>
      </c>
      <c r="F2028" s="2">
        <v>37211</v>
      </c>
      <c r="G2028" s="2" t="s">
        <v>152</v>
      </c>
      <c r="H2028" t="s">
        <v>176</v>
      </c>
      <c r="I2028" s="6">
        <v>23475</v>
      </c>
      <c r="J2028" s="2" t="s">
        <v>7499</v>
      </c>
      <c r="K2028" s="2" t="s">
        <v>34</v>
      </c>
      <c r="L2028" t="s">
        <v>178</v>
      </c>
      <c r="M2028" t="s">
        <v>29</v>
      </c>
      <c r="N2028" t="s">
        <v>30</v>
      </c>
      <c r="O2028">
        <v>37246</v>
      </c>
      <c r="P2028" t="s">
        <v>7500</v>
      </c>
      <c r="Q2028" s="2">
        <v>0.3</v>
      </c>
      <c r="R2028" s="2">
        <v>72</v>
      </c>
      <c r="S2028" s="2">
        <v>226</v>
      </c>
      <c r="T2028" t="s">
        <v>7501</v>
      </c>
      <c r="U2028" s="6">
        <v>31615</v>
      </c>
      <c r="V2028" s="2">
        <v>47037019006</v>
      </c>
      <c r="W2028" s="2" t="s">
        <v>68</v>
      </c>
      <c r="X2028" s="1">
        <v>45658</v>
      </c>
      <c r="Y2028" s="2">
        <v>76000</v>
      </c>
      <c r="Z2028" s="2">
        <v>0</v>
      </c>
      <c r="AA2028" s="2">
        <v>76000</v>
      </c>
    </row>
    <row r="2029" spans="1:27" x14ac:dyDescent="0.3">
      <c r="A2029" s="3">
        <v>30</v>
      </c>
      <c r="B2029" s="2" t="str">
        <f>"13315006000"</f>
        <v>13315006000</v>
      </c>
      <c r="C2029" s="2" t="s">
        <v>7502</v>
      </c>
      <c r="D2029" t="s">
        <v>29</v>
      </c>
      <c r="E2029" s="2" t="s">
        <v>30</v>
      </c>
      <c r="F2029" s="2">
        <v>37211</v>
      </c>
      <c r="G2029" s="2" t="s">
        <v>152</v>
      </c>
      <c r="H2029" t="s">
        <v>176</v>
      </c>
      <c r="I2029" s="6">
        <v>23012</v>
      </c>
      <c r="J2029" s="2" t="s">
        <v>7503</v>
      </c>
      <c r="K2029" s="2" t="s">
        <v>34</v>
      </c>
      <c r="L2029" t="s">
        <v>178</v>
      </c>
      <c r="M2029" t="s">
        <v>29</v>
      </c>
      <c r="N2029" t="s">
        <v>30</v>
      </c>
      <c r="O2029">
        <v>37246</v>
      </c>
      <c r="P2029" t="s">
        <v>7504</v>
      </c>
      <c r="Q2029" s="2">
        <v>0.42</v>
      </c>
      <c r="R2029" s="2">
        <v>70</v>
      </c>
      <c r="S2029" s="2">
        <v>279</v>
      </c>
      <c r="T2029" t="s">
        <v>7505</v>
      </c>
      <c r="U2029" s="6">
        <v>22875</v>
      </c>
      <c r="V2029" s="2">
        <v>47037019006</v>
      </c>
      <c r="W2029" s="2" t="s">
        <v>68</v>
      </c>
      <c r="X2029" s="1">
        <v>45658</v>
      </c>
      <c r="Y2029" s="2">
        <v>70000</v>
      </c>
      <c r="Z2029" s="2">
        <v>0</v>
      </c>
      <c r="AA2029" s="2">
        <v>70000</v>
      </c>
    </row>
    <row r="2030" spans="1:27" x14ac:dyDescent="0.3">
      <c r="A2030" s="3">
        <v>30</v>
      </c>
      <c r="B2030" s="2" t="str">
        <f>"14704010400"</f>
        <v>14704010400</v>
      </c>
      <c r="C2030" s="2" t="s">
        <v>7506</v>
      </c>
      <c r="D2030" t="s">
        <v>29</v>
      </c>
      <c r="E2030" s="2" t="s">
        <v>30</v>
      </c>
      <c r="F2030" s="2">
        <v>37211</v>
      </c>
      <c r="G2030" s="2" t="s">
        <v>152</v>
      </c>
      <c r="H2030" t="s">
        <v>176</v>
      </c>
      <c r="I2030" s="6">
        <v>23205</v>
      </c>
      <c r="J2030" s="2" t="s">
        <v>7507</v>
      </c>
      <c r="K2030" s="2" t="s">
        <v>34</v>
      </c>
      <c r="L2030" t="s">
        <v>178</v>
      </c>
      <c r="M2030" t="s">
        <v>29</v>
      </c>
      <c r="N2030" t="s">
        <v>30</v>
      </c>
      <c r="O2030">
        <v>37246</v>
      </c>
      <c r="P2030" t="s">
        <v>7508</v>
      </c>
      <c r="Q2030" s="2">
        <v>0.28000000000000003</v>
      </c>
      <c r="R2030" s="2">
        <v>60</v>
      </c>
      <c r="S2030" s="2">
        <v>174</v>
      </c>
      <c r="T2030" t="s">
        <v>7507</v>
      </c>
      <c r="U2030" s="6">
        <v>23205</v>
      </c>
      <c r="V2030" s="2">
        <v>47037019003</v>
      </c>
      <c r="W2030" s="2" t="s">
        <v>68</v>
      </c>
      <c r="X2030" s="1">
        <v>45658</v>
      </c>
      <c r="Y2030" s="2">
        <v>75000</v>
      </c>
      <c r="Z2030" s="2">
        <v>0</v>
      </c>
      <c r="AA2030" s="2">
        <v>75000</v>
      </c>
    </row>
    <row r="2031" spans="1:27" x14ac:dyDescent="0.3">
      <c r="A2031" s="3">
        <v>30</v>
      </c>
      <c r="B2031" s="2" t="str">
        <f>"13300011000"</f>
        <v>13300011000</v>
      </c>
      <c r="C2031" s="2" t="s">
        <v>7509</v>
      </c>
      <c r="D2031" t="s">
        <v>29</v>
      </c>
      <c r="E2031" s="2" t="s">
        <v>30</v>
      </c>
      <c r="F2031" s="2">
        <v>37211</v>
      </c>
      <c r="G2031" s="2" t="s">
        <v>200</v>
      </c>
      <c r="H2031" t="s">
        <v>7510</v>
      </c>
      <c r="I2031" s="6">
        <v>26921</v>
      </c>
      <c r="J2031" s="2" t="s">
        <v>7511</v>
      </c>
      <c r="K2031" s="2" t="s">
        <v>34</v>
      </c>
      <c r="L2031" t="s">
        <v>35</v>
      </c>
      <c r="M2031" t="s">
        <v>29</v>
      </c>
      <c r="N2031" t="s">
        <v>30</v>
      </c>
      <c r="O2031">
        <v>37219</v>
      </c>
      <c r="P2031" t="s">
        <v>7512</v>
      </c>
      <c r="Q2031" s="2">
        <v>35.43</v>
      </c>
      <c r="R2031" s="2">
        <v>0</v>
      </c>
      <c r="S2031" s="2">
        <v>0</v>
      </c>
      <c r="T2031" t="s">
        <v>278</v>
      </c>
      <c r="U2031" s="6">
        <v>30068</v>
      </c>
      <c r="V2031" s="2">
        <v>47037019006</v>
      </c>
      <c r="W2031" s="2" t="s">
        <v>68</v>
      </c>
      <c r="X2031" s="1">
        <v>45658</v>
      </c>
      <c r="Y2031" s="2">
        <v>1323100</v>
      </c>
      <c r="Z2031" s="2">
        <v>0</v>
      </c>
      <c r="AA2031" s="2">
        <v>1323100</v>
      </c>
    </row>
    <row r="2032" spans="1:27" x14ac:dyDescent="0.3">
      <c r="A2032" s="3">
        <v>30</v>
      </c>
      <c r="B2032" s="2" t="str">
        <f>"134090B15100CO"</f>
        <v>134090B15100CO</v>
      </c>
      <c r="C2032" s="2" t="s">
        <v>7513</v>
      </c>
      <c r="D2032" t="s">
        <v>29</v>
      </c>
      <c r="E2032" s="2" t="s">
        <v>30</v>
      </c>
      <c r="F2032" s="2">
        <v>37211</v>
      </c>
      <c r="G2032" s="2" t="s">
        <v>64</v>
      </c>
      <c r="H2032" t="s">
        <v>206</v>
      </c>
      <c r="I2032" s="6">
        <v>39090</v>
      </c>
      <c r="J2032" s="2" t="s">
        <v>7514</v>
      </c>
      <c r="K2032" s="2">
        <v>0</v>
      </c>
      <c r="L2032" t="s">
        <v>7515</v>
      </c>
      <c r="M2032" t="s">
        <v>29</v>
      </c>
      <c r="N2032" t="s">
        <v>30</v>
      </c>
      <c r="O2032">
        <v>37219</v>
      </c>
      <c r="P2032" t="s">
        <v>7516</v>
      </c>
      <c r="Q2032" s="2">
        <v>0.62</v>
      </c>
      <c r="R2032" s="2">
        <v>110</v>
      </c>
      <c r="S2032" s="2">
        <v>144</v>
      </c>
      <c r="T2032" t="s">
        <v>7517</v>
      </c>
      <c r="U2032" s="6">
        <v>39111</v>
      </c>
      <c r="V2032" s="2">
        <v>47037019006</v>
      </c>
      <c r="W2032" s="2" t="s">
        <v>68</v>
      </c>
      <c r="X2032" s="1">
        <v>45658</v>
      </c>
      <c r="Y2032" s="2">
        <v>200</v>
      </c>
      <c r="Z2032" s="2">
        <v>0</v>
      </c>
      <c r="AA2032" s="2">
        <v>200</v>
      </c>
    </row>
    <row r="2033" spans="1:27" x14ac:dyDescent="0.3">
      <c r="A2033" s="3">
        <v>30</v>
      </c>
      <c r="B2033" s="2" t="str">
        <f>"13409017400"</f>
        <v>13409017400</v>
      </c>
      <c r="C2033" s="2" t="s">
        <v>7518</v>
      </c>
      <c r="D2033" t="s">
        <v>29</v>
      </c>
      <c r="E2033" s="2" t="s">
        <v>30</v>
      </c>
      <c r="F2033" s="2">
        <v>37211</v>
      </c>
      <c r="G2033" s="2" t="s">
        <v>64</v>
      </c>
      <c r="H2033" t="s">
        <v>211</v>
      </c>
      <c r="I2033" s="6">
        <v>38163</v>
      </c>
      <c r="J2033" s="2" t="s">
        <v>7519</v>
      </c>
      <c r="K2033" s="2">
        <v>0</v>
      </c>
      <c r="L2033" t="s">
        <v>35</v>
      </c>
      <c r="M2033" t="s">
        <v>29</v>
      </c>
      <c r="N2033" t="s">
        <v>30</v>
      </c>
      <c r="O2033">
        <v>37219</v>
      </c>
      <c r="P2033" t="s">
        <v>7520</v>
      </c>
      <c r="Q2033" s="2">
        <v>4.13</v>
      </c>
      <c r="R2033" s="2">
        <v>0</v>
      </c>
      <c r="S2033" s="2">
        <v>0</v>
      </c>
      <c r="T2033" t="s">
        <v>7519</v>
      </c>
      <c r="U2033" s="6">
        <v>38163</v>
      </c>
      <c r="V2033" s="2">
        <v>47037019006</v>
      </c>
      <c r="W2033" s="2" t="s">
        <v>68</v>
      </c>
      <c r="X2033" s="1">
        <v>45658</v>
      </c>
      <c r="Y2033" s="2">
        <v>51600</v>
      </c>
      <c r="Z2033" s="2">
        <v>0</v>
      </c>
      <c r="AA2033" s="2">
        <v>51600</v>
      </c>
    </row>
    <row r="2034" spans="1:27" x14ac:dyDescent="0.3">
      <c r="A2034" s="3">
        <v>30</v>
      </c>
      <c r="B2034" s="2" t="str">
        <f>"13306015202"</f>
        <v>13306015202</v>
      </c>
      <c r="C2034" s="2" t="s">
        <v>7521</v>
      </c>
      <c r="D2034" t="s">
        <v>29</v>
      </c>
      <c r="E2034" s="2" t="s">
        <v>30</v>
      </c>
      <c r="F2034" s="2">
        <v>37211</v>
      </c>
      <c r="G2034" s="2" t="s">
        <v>152</v>
      </c>
      <c r="H2034" t="s">
        <v>7522</v>
      </c>
      <c r="I2034" s="6">
        <v>27117</v>
      </c>
      <c r="J2034" s="2" t="s">
        <v>7523</v>
      </c>
      <c r="K2034" s="2">
        <v>160000</v>
      </c>
      <c r="L2034" t="s">
        <v>35</v>
      </c>
      <c r="M2034" t="s">
        <v>29</v>
      </c>
      <c r="N2034" t="s">
        <v>30</v>
      </c>
      <c r="O2034">
        <v>37219</v>
      </c>
      <c r="P2034" t="s">
        <v>7524</v>
      </c>
      <c r="Q2034" s="2">
        <v>0.32</v>
      </c>
      <c r="R2034" s="2">
        <v>130</v>
      </c>
      <c r="S2034" s="2">
        <v>200</v>
      </c>
      <c r="T2034" t="s">
        <v>7523</v>
      </c>
      <c r="U2034" s="6">
        <v>27117</v>
      </c>
      <c r="V2034" s="2">
        <v>47037017402</v>
      </c>
      <c r="W2034" s="2" t="s">
        <v>68</v>
      </c>
      <c r="X2034" s="1">
        <v>45658</v>
      </c>
      <c r="Y2034" s="2">
        <v>348500</v>
      </c>
      <c r="Z2034" s="2">
        <v>0</v>
      </c>
      <c r="AA2034" s="2">
        <v>348500</v>
      </c>
    </row>
    <row r="2035" spans="1:27" x14ac:dyDescent="0.3">
      <c r="A2035" s="3">
        <v>30</v>
      </c>
      <c r="B2035" s="2" t="str">
        <f>"14805010400"</f>
        <v>14805010400</v>
      </c>
      <c r="C2035" s="2" t="s">
        <v>7525</v>
      </c>
      <c r="D2035" t="s">
        <v>29</v>
      </c>
      <c r="E2035" s="2" t="s">
        <v>30</v>
      </c>
      <c r="F2035" s="2">
        <v>37211</v>
      </c>
      <c r="G2035" s="2" t="s">
        <v>253</v>
      </c>
      <c r="H2035" t="s">
        <v>7526</v>
      </c>
      <c r="I2035" s="6">
        <v>21441</v>
      </c>
      <c r="J2035" s="2" t="s">
        <v>7527</v>
      </c>
      <c r="K2035" s="2" t="s">
        <v>34</v>
      </c>
      <c r="L2035" t="s">
        <v>35</v>
      </c>
      <c r="M2035" t="s">
        <v>29</v>
      </c>
      <c r="N2035" t="s">
        <v>30</v>
      </c>
      <c r="O2035">
        <v>37219</v>
      </c>
      <c r="P2035" t="s">
        <v>7528</v>
      </c>
      <c r="Q2035" s="2">
        <v>11.87</v>
      </c>
      <c r="R2035" s="2">
        <v>0</v>
      </c>
      <c r="S2035" s="2">
        <v>0</v>
      </c>
      <c r="T2035" t="s">
        <v>278</v>
      </c>
      <c r="U2035" s="6">
        <v>36581</v>
      </c>
      <c r="V2035" s="2">
        <v>47037019003</v>
      </c>
      <c r="W2035" s="2" t="s">
        <v>68</v>
      </c>
      <c r="X2035" s="1">
        <v>45658</v>
      </c>
      <c r="Y2035" s="2">
        <v>875200</v>
      </c>
      <c r="Z2035" s="2">
        <v>0</v>
      </c>
      <c r="AA2035" s="2">
        <v>875200</v>
      </c>
    </row>
    <row r="2036" spans="1:27" x14ac:dyDescent="0.3">
      <c r="A2036" s="3">
        <v>30</v>
      </c>
      <c r="B2036" s="2" t="str">
        <f>"13400006400"</f>
        <v>13400006400</v>
      </c>
      <c r="C2036" s="2" t="s">
        <v>7529</v>
      </c>
      <c r="D2036" t="s">
        <v>29</v>
      </c>
      <c r="E2036" s="2" t="s">
        <v>30</v>
      </c>
      <c r="F2036" s="2">
        <v>37211</v>
      </c>
      <c r="G2036" s="2" t="s">
        <v>253</v>
      </c>
      <c r="H2036" t="s">
        <v>7530</v>
      </c>
      <c r="I2036" s="6">
        <v>22971</v>
      </c>
      <c r="J2036" s="2" t="s">
        <v>7531</v>
      </c>
      <c r="K2036" s="2" t="s">
        <v>34</v>
      </c>
      <c r="L2036" t="s">
        <v>35</v>
      </c>
      <c r="M2036" t="s">
        <v>29</v>
      </c>
      <c r="N2036" t="s">
        <v>30</v>
      </c>
      <c r="O2036">
        <v>37219</v>
      </c>
      <c r="P2036" t="s">
        <v>7532</v>
      </c>
      <c r="Q2036" s="2">
        <v>7.89</v>
      </c>
      <c r="R2036" s="2">
        <v>0</v>
      </c>
      <c r="S2036" s="2">
        <v>0</v>
      </c>
      <c r="T2036" t="s">
        <v>7531</v>
      </c>
      <c r="U2036" s="6">
        <v>22971</v>
      </c>
      <c r="V2036" s="2">
        <v>47037019006</v>
      </c>
      <c r="W2036" s="2" t="s">
        <v>68</v>
      </c>
      <c r="X2036" s="1">
        <v>45658</v>
      </c>
      <c r="Y2036" s="2">
        <v>498400</v>
      </c>
      <c r="Z2036" s="2">
        <v>0</v>
      </c>
      <c r="AA2036" s="2">
        <v>498400</v>
      </c>
    </row>
    <row r="2037" spans="1:27" x14ac:dyDescent="0.3">
      <c r="A2037" s="3">
        <v>30</v>
      </c>
      <c r="B2037" s="2" t="str">
        <f>"13312016900"</f>
        <v>13312016900</v>
      </c>
      <c r="C2037" s="2" t="s">
        <v>7533</v>
      </c>
      <c r="D2037" t="s">
        <v>29</v>
      </c>
      <c r="E2037" s="2" t="s">
        <v>30</v>
      </c>
      <c r="F2037" s="2">
        <v>37211</v>
      </c>
      <c r="G2037" s="2" t="s">
        <v>64</v>
      </c>
      <c r="H2037" t="s">
        <v>280</v>
      </c>
      <c r="I2037" s="6">
        <v>38799</v>
      </c>
      <c r="J2037" s="2" t="s">
        <v>7534</v>
      </c>
      <c r="K2037" s="2">
        <v>132000</v>
      </c>
      <c r="L2037" t="s">
        <v>35</v>
      </c>
      <c r="M2037" t="s">
        <v>29</v>
      </c>
      <c r="N2037" t="s">
        <v>30</v>
      </c>
      <c r="O2037">
        <v>37219</v>
      </c>
      <c r="P2037" t="s">
        <v>7535</v>
      </c>
      <c r="Q2037" s="2">
        <v>0.48</v>
      </c>
      <c r="R2037" s="2">
        <v>75</v>
      </c>
      <c r="S2037" s="2">
        <v>236</v>
      </c>
      <c r="T2037" t="s">
        <v>7536</v>
      </c>
      <c r="U2037" s="6">
        <v>24964</v>
      </c>
      <c r="V2037" s="2">
        <v>47037019006</v>
      </c>
      <c r="W2037" s="2" t="s">
        <v>68</v>
      </c>
      <c r="X2037" s="1">
        <v>45658</v>
      </c>
      <c r="Y2037" s="2">
        <v>76000</v>
      </c>
      <c r="Z2037" s="2">
        <v>0</v>
      </c>
      <c r="AA2037" s="2">
        <v>76000</v>
      </c>
    </row>
    <row r="2038" spans="1:27" x14ac:dyDescent="0.3">
      <c r="A2038" s="3">
        <v>30</v>
      </c>
      <c r="B2038" s="2" t="str">
        <f>"13300006900"</f>
        <v>13300006900</v>
      </c>
      <c r="C2038" s="2" t="s">
        <v>7537</v>
      </c>
      <c r="D2038" t="s">
        <v>29</v>
      </c>
      <c r="E2038" s="2" t="s">
        <v>30</v>
      </c>
      <c r="F2038" s="2">
        <v>37211</v>
      </c>
      <c r="G2038" s="2" t="s">
        <v>64</v>
      </c>
      <c r="H2038" t="s">
        <v>280</v>
      </c>
      <c r="I2038" s="6">
        <v>38799</v>
      </c>
      <c r="J2038" s="2" t="s">
        <v>7538</v>
      </c>
      <c r="K2038" s="2">
        <v>216000</v>
      </c>
      <c r="L2038" t="s">
        <v>35</v>
      </c>
      <c r="M2038" t="s">
        <v>29</v>
      </c>
      <c r="N2038" t="s">
        <v>30</v>
      </c>
      <c r="O2038">
        <v>37219</v>
      </c>
      <c r="P2038" t="s">
        <v>7539</v>
      </c>
      <c r="Q2038" s="2">
        <v>1.96</v>
      </c>
      <c r="R2038" s="2">
        <v>0</v>
      </c>
      <c r="S2038" s="2">
        <v>0</v>
      </c>
      <c r="T2038" t="s">
        <v>7540</v>
      </c>
      <c r="U2038" s="6">
        <v>32283</v>
      </c>
      <c r="V2038" s="2">
        <v>47037019006</v>
      </c>
      <c r="W2038" s="2" t="s">
        <v>68</v>
      </c>
      <c r="X2038" s="1">
        <v>45658</v>
      </c>
      <c r="Y2038" s="2">
        <v>134800</v>
      </c>
      <c r="Z2038" s="2">
        <v>0</v>
      </c>
      <c r="AA2038" s="2">
        <v>134800</v>
      </c>
    </row>
    <row r="2039" spans="1:27" x14ac:dyDescent="0.3">
      <c r="A2039" s="3">
        <v>30</v>
      </c>
      <c r="B2039" s="2" t="str">
        <f>"14704003800"</f>
        <v>14704003800</v>
      </c>
      <c r="C2039" s="2" t="s">
        <v>7541</v>
      </c>
      <c r="D2039" t="s">
        <v>29</v>
      </c>
      <c r="E2039" s="2" t="s">
        <v>30</v>
      </c>
      <c r="F2039" s="2">
        <v>37211</v>
      </c>
      <c r="G2039" s="2" t="s">
        <v>64</v>
      </c>
      <c r="H2039" t="s">
        <v>280</v>
      </c>
      <c r="I2039" s="6">
        <v>33305</v>
      </c>
      <c r="J2039" s="2" t="s">
        <v>7542</v>
      </c>
      <c r="K2039" s="2">
        <v>85000</v>
      </c>
      <c r="L2039" t="s">
        <v>35</v>
      </c>
      <c r="M2039" t="s">
        <v>29</v>
      </c>
      <c r="N2039" t="s">
        <v>30</v>
      </c>
      <c r="O2039">
        <v>37219</v>
      </c>
      <c r="P2039" t="s">
        <v>7543</v>
      </c>
      <c r="Q2039" s="2">
        <v>0.91</v>
      </c>
      <c r="R2039" s="2">
        <v>170</v>
      </c>
      <c r="S2039" s="2">
        <v>207</v>
      </c>
      <c r="T2039" t="s">
        <v>7544</v>
      </c>
      <c r="U2039" s="6">
        <v>23273</v>
      </c>
      <c r="V2039" s="2">
        <v>47037019004</v>
      </c>
      <c r="W2039" s="2" t="s">
        <v>68</v>
      </c>
      <c r="X2039" s="1">
        <v>45658</v>
      </c>
      <c r="Y2039" s="2">
        <v>100800</v>
      </c>
      <c r="Z2039" s="2">
        <v>0</v>
      </c>
      <c r="AA2039" s="2">
        <v>100800</v>
      </c>
    </row>
    <row r="2040" spans="1:27" x14ac:dyDescent="0.3">
      <c r="A2040" s="3">
        <v>30</v>
      </c>
      <c r="B2040" s="2" t="str">
        <f>"14704018100"</f>
        <v>14704018100</v>
      </c>
      <c r="C2040" s="2" t="s">
        <v>7545</v>
      </c>
      <c r="D2040" t="s">
        <v>29</v>
      </c>
      <c r="E2040" s="2" t="s">
        <v>30</v>
      </c>
      <c r="F2040" s="2">
        <v>37211</v>
      </c>
      <c r="G2040" s="2" t="s">
        <v>152</v>
      </c>
      <c r="H2040" t="s">
        <v>280</v>
      </c>
      <c r="I2040" s="6">
        <v>31390</v>
      </c>
      <c r="J2040" s="2" t="s">
        <v>7546</v>
      </c>
      <c r="K2040" s="2">
        <v>4200</v>
      </c>
      <c r="L2040" t="s">
        <v>35</v>
      </c>
      <c r="M2040" t="s">
        <v>29</v>
      </c>
      <c r="N2040" t="s">
        <v>30</v>
      </c>
      <c r="O2040">
        <v>37219</v>
      </c>
      <c r="P2040" t="s">
        <v>7547</v>
      </c>
      <c r="Q2040" s="2">
        <v>0.02</v>
      </c>
      <c r="R2040" s="2">
        <v>25</v>
      </c>
      <c r="S2040" s="2">
        <v>40</v>
      </c>
      <c r="T2040" t="s">
        <v>7546</v>
      </c>
      <c r="U2040" s="6">
        <v>31390</v>
      </c>
      <c r="V2040" s="2">
        <v>47037019004</v>
      </c>
      <c r="W2040" s="2" t="s">
        <v>68</v>
      </c>
      <c r="X2040" s="1">
        <v>45658</v>
      </c>
      <c r="Y2040" s="2">
        <v>500</v>
      </c>
      <c r="Z2040" s="2">
        <v>0</v>
      </c>
      <c r="AA2040" s="2">
        <v>500</v>
      </c>
    </row>
    <row r="2041" spans="1:27" x14ac:dyDescent="0.3">
      <c r="A2041" s="3">
        <v>30</v>
      </c>
      <c r="B2041" s="2" t="str">
        <f>"14704003900"</f>
        <v>14704003900</v>
      </c>
      <c r="C2041" s="2" t="s">
        <v>7548</v>
      </c>
      <c r="D2041" t="s">
        <v>29</v>
      </c>
      <c r="E2041" s="2" t="s">
        <v>30</v>
      </c>
      <c r="F2041" s="2">
        <v>37211</v>
      </c>
      <c r="G2041" s="2" t="s">
        <v>64</v>
      </c>
      <c r="H2041" t="s">
        <v>280</v>
      </c>
      <c r="I2041" s="6">
        <v>33317</v>
      </c>
      <c r="J2041" s="2" t="s">
        <v>7549</v>
      </c>
      <c r="K2041" s="2">
        <v>68000</v>
      </c>
      <c r="L2041" t="s">
        <v>35</v>
      </c>
      <c r="M2041" t="s">
        <v>29</v>
      </c>
      <c r="N2041" t="s">
        <v>30</v>
      </c>
      <c r="O2041">
        <v>37219</v>
      </c>
      <c r="P2041" t="s">
        <v>7550</v>
      </c>
      <c r="Q2041" s="2">
        <v>0.95</v>
      </c>
      <c r="R2041" s="2">
        <v>196</v>
      </c>
      <c r="S2041" s="2">
        <v>188</v>
      </c>
      <c r="T2041" t="s">
        <v>7551</v>
      </c>
      <c r="U2041" s="6">
        <v>25122</v>
      </c>
      <c r="V2041" s="2">
        <v>47037019004</v>
      </c>
      <c r="W2041" s="2" t="s">
        <v>68</v>
      </c>
      <c r="X2041" s="1">
        <v>45658</v>
      </c>
      <c r="Y2041" s="2">
        <v>100800</v>
      </c>
      <c r="Z2041" s="2">
        <v>0</v>
      </c>
      <c r="AA2041" s="2">
        <v>100800</v>
      </c>
    </row>
    <row r="2042" spans="1:27" x14ac:dyDescent="0.3">
      <c r="A2042" s="3">
        <v>30</v>
      </c>
      <c r="B2042" s="2" t="str">
        <f>"14704005500"</f>
        <v>14704005500</v>
      </c>
      <c r="C2042" s="2" t="s">
        <v>7552</v>
      </c>
      <c r="D2042" t="s">
        <v>29</v>
      </c>
      <c r="E2042" s="2" t="s">
        <v>30</v>
      </c>
      <c r="F2042" s="2">
        <v>37211</v>
      </c>
      <c r="G2042" s="2" t="s">
        <v>64</v>
      </c>
      <c r="H2042" t="s">
        <v>280</v>
      </c>
      <c r="I2042" s="6">
        <v>42859</v>
      </c>
      <c r="J2042" s="2" t="s">
        <v>7553</v>
      </c>
      <c r="K2042" s="2">
        <v>0</v>
      </c>
      <c r="L2042" t="s">
        <v>343</v>
      </c>
      <c r="M2042" t="s">
        <v>29</v>
      </c>
      <c r="N2042" t="s">
        <v>30</v>
      </c>
      <c r="O2042">
        <v>37201</v>
      </c>
      <c r="P2042" t="s">
        <v>7554</v>
      </c>
      <c r="Q2042" s="2">
        <v>0.9</v>
      </c>
      <c r="R2042" s="2">
        <v>135</v>
      </c>
      <c r="S2042" s="2">
        <v>243</v>
      </c>
      <c r="T2042" t="s">
        <v>7555</v>
      </c>
      <c r="U2042" s="6">
        <v>24561</v>
      </c>
      <c r="V2042" s="2">
        <v>47037019004</v>
      </c>
      <c r="W2042" s="2" t="s">
        <v>68</v>
      </c>
      <c r="X2042" s="1">
        <v>45658</v>
      </c>
      <c r="Y2042" s="2">
        <v>100800</v>
      </c>
      <c r="Z2042" s="2">
        <v>0</v>
      </c>
      <c r="AA2042" s="2">
        <v>100800</v>
      </c>
    </row>
    <row r="2043" spans="1:27" x14ac:dyDescent="0.3">
      <c r="A2043" s="3">
        <v>30</v>
      </c>
      <c r="B2043" s="2" t="str">
        <f>"13300007000"</f>
        <v>13300007000</v>
      </c>
      <c r="C2043" s="2" t="s">
        <v>7556</v>
      </c>
      <c r="D2043" t="s">
        <v>29</v>
      </c>
      <c r="E2043" s="2" t="s">
        <v>30</v>
      </c>
      <c r="F2043" s="2">
        <v>37211</v>
      </c>
      <c r="G2043" s="2" t="s">
        <v>64</v>
      </c>
      <c r="H2043" t="s">
        <v>280</v>
      </c>
      <c r="I2043" s="6">
        <v>38800</v>
      </c>
      <c r="J2043" s="2" t="s">
        <v>7557</v>
      </c>
      <c r="K2043" s="2">
        <v>220000</v>
      </c>
      <c r="L2043" t="s">
        <v>35</v>
      </c>
      <c r="M2043" t="s">
        <v>29</v>
      </c>
      <c r="N2043" t="s">
        <v>30</v>
      </c>
      <c r="O2043">
        <v>37219</v>
      </c>
      <c r="P2043" t="s">
        <v>7539</v>
      </c>
      <c r="Q2043" s="2">
        <v>2.84</v>
      </c>
      <c r="R2043" s="2">
        <v>0</v>
      </c>
      <c r="S2043" s="2">
        <v>0</v>
      </c>
      <c r="T2043" t="s">
        <v>7558</v>
      </c>
      <c r="U2043" s="6">
        <v>32225</v>
      </c>
      <c r="V2043" s="2">
        <v>47037019006</v>
      </c>
      <c r="W2043" s="2" t="s">
        <v>68</v>
      </c>
      <c r="X2043" s="1">
        <v>45658</v>
      </c>
      <c r="Y2043" s="2">
        <v>187800</v>
      </c>
      <c r="Z2043" s="2">
        <v>0</v>
      </c>
      <c r="AA2043" s="2">
        <v>187800</v>
      </c>
    </row>
    <row r="2044" spans="1:27" x14ac:dyDescent="0.3">
      <c r="A2044" s="3">
        <v>30</v>
      </c>
      <c r="B2044" s="2" t="str">
        <f>"13308005100"</f>
        <v>13308005100</v>
      </c>
      <c r="C2044" s="2" t="s">
        <v>7559</v>
      </c>
      <c r="D2044" t="s">
        <v>29</v>
      </c>
      <c r="E2044" s="2" t="s">
        <v>30</v>
      </c>
      <c r="F2044" s="2">
        <v>37211</v>
      </c>
      <c r="G2044" s="2" t="s">
        <v>194</v>
      </c>
      <c r="H2044" t="s">
        <v>1084</v>
      </c>
      <c r="I2044" s="6">
        <v>44995</v>
      </c>
      <c r="J2044" s="2" t="s">
        <v>7560</v>
      </c>
      <c r="K2044" s="2">
        <v>0</v>
      </c>
      <c r="L2044" t="s">
        <v>7561</v>
      </c>
      <c r="M2044" t="s">
        <v>29</v>
      </c>
      <c r="N2044" t="s">
        <v>30</v>
      </c>
      <c r="O2044">
        <v>37208</v>
      </c>
      <c r="P2044" t="s">
        <v>7562</v>
      </c>
      <c r="Q2044" s="2">
        <v>0.28000000000000003</v>
      </c>
      <c r="R2044" s="2">
        <v>94</v>
      </c>
      <c r="S2044" s="2">
        <v>133</v>
      </c>
      <c r="T2044" t="s">
        <v>7563</v>
      </c>
      <c r="U2044" s="6">
        <v>27267</v>
      </c>
      <c r="V2044" s="2">
        <v>47037019006</v>
      </c>
      <c r="W2044" s="2" t="s">
        <v>68</v>
      </c>
      <c r="X2044" s="1">
        <v>45658</v>
      </c>
      <c r="Y2044" s="2">
        <v>76000</v>
      </c>
      <c r="Z2044" s="2">
        <v>0</v>
      </c>
      <c r="AA2044" s="2">
        <v>76000</v>
      </c>
    </row>
    <row r="2045" spans="1:27" x14ac:dyDescent="0.3">
      <c r="A2045" s="3">
        <v>30</v>
      </c>
      <c r="B2045" s="2" t="str">
        <f>"13312014700"</f>
        <v>13312014700</v>
      </c>
      <c r="C2045" s="2" t="s">
        <v>7564</v>
      </c>
      <c r="D2045" t="s">
        <v>29</v>
      </c>
      <c r="E2045" s="2" t="s">
        <v>30</v>
      </c>
      <c r="F2045" s="2">
        <v>37211</v>
      </c>
      <c r="G2045" s="2" t="s">
        <v>194</v>
      </c>
      <c r="H2045" t="s">
        <v>1084</v>
      </c>
      <c r="I2045" s="6">
        <v>44813</v>
      </c>
      <c r="J2045" s="2" t="s">
        <v>7565</v>
      </c>
      <c r="K2045" s="2">
        <v>0</v>
      </c>
      <c r="L2045" t="s">
        <v>1104</v>
      </c>
      <c r="M2045" t="s">
        <v>29</v>
      </c>
      <c r="N2045" t="s">
        <v>30</v>
      </c>
      <c r="O2045">
        <v>37208</v>
      </c>
      <c r="P2045" t="s">
        <v>7566</v>
      </c>
      <c r="Q2045" s="2">
        <v>0.23</v>
      </c>
      <c r="R2045" s="2">
        <v>80</v>
      </c>
      <c r="S2045" s="2">
        <v>133</v>
      </c>
      <c r="T2045" t="s">
        <v>7567</v>
      </c>
      <c r="U2045" s="6">
        <v>24678</v>
      </c>
      <c r="V2045" s="2">
        <v>47037019006</v>
      </c>
      <c r="W2045" s="2" t="s">
        <v>68</v>
      </c>
      <c r="X2045" s="1">
        <v>45658</v>
      </c>
      <c r="Y2045" s="2">
        <v>76000</v>
      </c>
      <c r="Z2045" s="2">
        <v>0</v>
      </c>
      <c r="AA2045" s="2">
        <v>76000</v>
      </c>
    </row>
    <row r="2046" spans="1:27" x14ac:dyDescent="0.3">
      <c r="A2046" s="3">
        <v>30</v>
      </c>
      <c r="B2046" s="2" t="str">
        <f>"13311007200"</f>
        <v>13311007200</v>
      </c>
      <c r="C2046" s="2" t="s">
        <v>7568</v>
      </c>
      <c r="D2046" t="s">
        <v>29</v>
      </c>
      <c r="E2046" s="2" t="s">
        <v>30</v>
      </c>
      <c r="F2046" s="2">
        <v>37211</v>
      </c>
      <c r="G2046" s="2" t="s">
        <v>194</v>
      </c>
      <c r="H2046" t="s">
        <v>1084</v>
      </c>
      <c r="I2046" s="6">
        <v>45555</v>
      </c>
      <c r="J2046" s="2" t="s">
        <v>7569</v>
      </c>
      <c r="K2046" s="2" t="s">
        <v>34</v>
      </c>
      <c r="L2046" t="s">
        <v>315</v>
      </c>
      <c r="M2046" t="s">
        <v>29</v>
      </c>
      <c r="N2046" t="s">
        <v>30</v>
      </c>
      <c r="O2046">
        <v>37208</v>
      </c>
      <c r="P2046" t="s">
        <v>7570</v>
      </c>
      <c r="Q2046" s="2">
        <v>0.22</v>
      </c>
      <c r="R2046" s="2">
        <v>80</v>
      </c>
      <c r="S2046" s="2">
        <v>135</v>
      </c>
      <c r="T2046" t="s">
        <v>7571</v>
      </c>
      <c r="U2046" s="6">
        <v>24242</v>
      </c>
      <c r="V2046" s="2">
        <v>47037019006</v>
      </c>
      <c r="W2046" s="2" t="s">
        <v>68</v>
      </c>
      <c r="X2046" s="1">
        <v>45658</v>
      </c>
      <c r="Y2046" s="2">
        <v>456500</v>
      </c>
      <c r="Z2046" s="2">
        <v>380500</v>
      </c>
      <c r="AA2046" s="2">
        <v>76000</v>
      </c>
    </row>
    <row r="2047" spans="1:27" x14ac:dyDescent="0.3">
      <c r="A2047" s="3">
        <v>30</v>
      </c>
      <c r="B2047" s="2" t="str">
        <f>"13312011700"</f>
        <v>13312011700</v>
      </c>
      <c r="C2047" s="2" t="s">
        <v>7572</v>
      </c>
      <c r="D2047" t="s">
        <v>29</v>
      </c>
      <c r="E2047" s="2" t="s">
        <v>30</v>
      </c>
      <c r="F2047" s="2">
        <v>37211</v>
      </c>
      <c r="G2047" s="2" t="s">
        <v>194</v>
      </c>
      <c r="H2047" t="s">
        <v>1084</v>
      </c>
      <c r="I2047" s="6">
        <v>44951</v>
      </c>
      <c r="J2047" s="2" t="s">
        <v>7573</v>
      </c>
      <c r="K2047" s="2">
        <v>0</v>
      </c>
      <c r="L2047" t="s">
        <v>315</v>
      </c>
      <c r="M2047" t="s">
        <v>29</v>
      </c>
      <c r="N2047" t="s">
        <v>30</v>
      </c>
      <c r="O2047">
        <v>37208</v>
      </c>
      <c r="P2047" t="s">
        <v>7574</v>
      </c>
      <c r="Q2047" s="2">
        <v>0.45</v>
      </c>
      <c r="R2047" s="2">
        <v>72</v>
      </c>
      <c r="S2047" s="2">
        <v>276</v>
      </c>
      <c r="T2047" t="s">
        <v>7575</v>
      </c>
      <c r="U2047" s="6">
        <v>25269</v>
      </c>
      <c r="V2047" s="2">
        <v>47037019006</v>
      </c>
      <c r="W2047" s="2" t="s">
        <v>68</v>
      </c>
      <c r="X2047" s="1">
        <v>45658</v>
      </c>
      <c r="Y2047" s="2">
        <v>76000</v>
      </c>
      <c r="Z2047" s="2">
        <v>0</v>
      </c>
      <c r="AA2047" s="2">
        <v>76000</v>
      </c>
    </row>
    <row r="2048" spans="1:27" x14ac:dyDescent="0.3">
      <c r="A2048" s="3">
        <v>30</v>
      </c>
      <c r="B2048" s="2" t="str">
        <f>"13312015700"</f>
        <v>13312015700</v>
      </c>
      <c r="C2048" s="2" t="s">
        <v>7576</v>
      </c>
      <c r="D2048" t="s">
        <v>29</v>
      </c>
      <c r="E2048" s="2" t="s">
        <v>30</v>
      </c>
      <c r="F2048" s="2">
        <v>37211</v>
      </c>
      <c r="G2048" s="2" t="s">
        <v>194</v>
      </c>
      <c r="H2048" t="s">
        <v>379</v>
      </c>
      <c r="I2048" s="6">
        <v>45042</v>
      </c>
      <c r="J2048" s="2" t="s">
        <v>7577</v>
      </c>
      <c r="K2048" s="2" t="s">
        <v>34</v>
      </c>
      <c r="L2048" t="s">
        <v>315</v>
      </c>
      <c r="M2048" t="s">
        <v>29</v>
      </c>
      <c r="N2048" t="s">
        <v>30</v>
      </c>
      <c r="O2048">
        <v>37208</v>
      </c>
      <c r="P2048" t="s">
        <v>7578</v>
      </c>
      <c r="Q2048" s="2">
        <v>0.39</v>
      </c>
      <c r="R2048" s="2">
        <v>80</v>
      </c>
      <c r="S2048" s="2">
        <v>186</v>
      </c>
      <c r="T2048" t="s">
        <v>7579</v>
      </c>
      <c r="U2048" s="6">
        <v>27134</v>
      </c>
      <c r="V2048" s="2">
        <v>47037019006</v>
      </c>
      <c r="W2048" s="2" t="s">
        <v>68</v>
      </c>
      <c r="X2048" s="1">
        <v>45658</v>
      </c>
      <c r="Y2048" s="2">
        <v>76000</v>
      </c>
      <c r="Z2048" s="2">
        <v>0</v>
      </c>
      <c r="AA2048" s="2">
        <v>76000</v>
      </c>
    </row>
    <row r="2049" spans="1:27" x14ac:dyDescent="0.3">
      <c r="A2049" s="3">
        <v>30</v>
      </c>
      <c r="B2049" s="2" t="str">
        <f>"13312013800"</f>
        <v>13312013800</v>
      </c>
      <c r="C2049" s="2" t="s">
        <v>7580</v>
      </c>
      <c r="D2049" t="s">
        <v>29</v>
      </c>
      <c r="E2049" s="2" t="s">
        <v>30</v>
      </c>
      <c r="F2049" s="2">
        <v>37211</v>
      </c>
      <c r="G2049" s="2" t="s">
        <v>64</v>
      </c>
      <c r="H2049" t="s">
        <v>379</v>
      </c>
      <c r="I2049" s="6">
        <v>44467</v>
      </c>
      <c r="J2049" s="2" t="s">
        <v>7581</v>
      </c>
      <c r="K2049" s="2" t="s">
        <v>34</v>
      </c>
      <c r="L2049" t="s">
        <v>315</v>
      </c>
      <c r="M2049" t="s">
        <v>29</v>
      </c>
      <c r="N2049" t="s">
        <v>30</v>
      </c>
      <c r="O2049">
        <v>37208</v>
      </c>
      <c r="P2049" t="s">
        <v>7582</v>
      </c>
      <c r="Q2049" s="2">
        <v>0.25</v>
      </c>
      <c r="R2049" s="2">
        <v>80</v>
      </c>
      <c r="S2049" s="2">
        <v>133</v>
      </c>
      <c r="T2049" t="s">
        <v>7583</v>
      </c>
      <c r="U2049" s="6">
        <v>25055</v>
      </c>
      <c r="V2049" s="2">
        <v>47037019006</v>
      </c>
      <c r="W2049" s="2" t="s">
        <v>68</v>
      </c>
      <c r="X2049" s="1">
        <v>45658</v>
      </c>
      <c r="Y2049" s="2">
        <v>76000</v>
      </c>
      <c r="Z2049" s="2">
        <v>0</v>
      </c>
      <c r="AA2049" s="2">
        <v>76000</v>
      </c>
    </row>
    <row r="2050" spans="1:27" x14ac:dyDescent="0.3">
      <c r="A2050" s="3">
        <v>30</v>
      </c>
      <c r="B2050" s="2" t="str">
        <f>"13312016000"</f>
        <v>13312016000</v>
      </c>
      <c r="C2050" s="2" t="s">
        <v>7584</v>
      </c>
      <c r="D2050" t="s">
        <v>29</v>
      </c>
      <c r="E2050" s="2" t="s">
        <v>30</v>
      </c>
      <c r="F2050" s="2">
        <v>37211</v>
      </c>
      <c r="G2050" s="2" t="s">
        <v>64</v>
      </c>
      <c r="H2050" t="s">
        <v>379</v>
      </c>
      <c r="I2050" s="6">
        <v>44516</v>
      </c>
      <c r="J2050" s="2" t="s">
        <v>7585</v>
      </c>
      <c r="K2050" s="2" t="s">
        <v>34</v>
      </c>
      <c r="L2050" t="s">
        <v>315</v>
      </c>
      <c r="M2050" t="s">
        <v>29</v>
      </c>
      <c r="N2050" t="s">
        <v>30</v>
      </c>
      <c r="O2050">
        <v>37208</v>
      </c>
      <c r="P2050" t="s">
        <v>7586</v>
      </c>
      <c r="Q2050" s="2">
        <v>0.3</v>
      </c>
      <c r="R2050" s="2">
        <v>76</v>
      </c>
      <c r="S2050" s="2">
        <v>181</v>
      </c>
      <c r="T2050" t="s">
        <v>7587</v>
      </c>
      <c r="U2050" s="6">
        <v>24922</v>
      </c>
      <c r="V2050" s="2">
        <v>47037019006</v>
      </c>
      <c r="W2050" s="2" t="s">
        <v>68</v>
      </c>
      <c r="X2050" s="1">
        <v>45658</v>
      </c>
      <c r="Y2050" s="2">
        <v>76000</v>
      </c>
      <c r="Z2050" s="2">
        <v>0</v>
      </c>
      <c r="AA2050" s="2">
        <v>76000</v>
      </c>
    </row>
    <row r="2051" spans="1:27" x14ac:dyDescent="0.3">
      <c r="A2051" s="3">
        <v>30</v>
      </c>
      <c r="B2051" s="2" t="str">
        <f>"13312016100"</f>
        <v>13312016100</v>
      </c>
      <c r="C2051" s="2" t="s">
        <v>7588</v>
      </c>
      <c r="D2051" t="s">
        <v>29</v>
      </c>
      <c r="E2051" s="2" t="s">
        <v>30</v>
      </c>
      <c r="F2051" s="2">
        <v>37211</v>
      </c>
      <c r="G2051" s="2" t="s">
        <v>64</v>
      </c>
      <c r="H2051" t="s">
        <v>379</v>
      </c>
      <c r="I2051" s="6">
        <v>44517</v>
      </c>
      <c r="J2051" s="2" t="s">
        <v>7589</v>
      </c>
      <c r="K2051" s="2" t="s">
        <v>34</v>
      </c>
      <c r="L2051" t="s">
        <v>315</v>
      </c>
      <c r="M2051" t="s">
        <v>29</v>
      </c>
      <c r="N2051" t="s">
        <v>30</v>
      </c>
      <c r="O2051">
        <v>37208</v>
      </c>
      <c r="P2051" t="s">
        <v>7590</v>
      </c>
      <c r="Q2051" s="2">
        <v>0.32</v>
      </c>
      <c r="R2051" s="2">
        <v>80</v>
      </c>
      <c r="S2051" s="2">
        <v>193</v>
      </c>
      <c r="T2051" t="s">
        <v>7591</v>
      </c>
      <c r="U2051" s="6">
        <v>27055</v>
      </c>
      <c r="V2051" s="2">
        <v>47037019006</v>
      </c>
      <c r="W2051" s="2" t="s">
        <v>68</v>
      </c>
      <c r="X2051" s="1">
        <v>45658</v>
      </c>
      <c r="Y2051" s="2">
        <v>76000</v>
      </c>
      <c r="Z2051" s="2">
        <v>0</v>
      </c>
      <c r="AA2051" s="2">
        <v>76000</v>
      </c>
    </row>
    <row r="2052" spans="1:27" x14ac:dyDescent="0.3">
      <c r="A2052" s="3">
        <v>30</v>
      </c>
      <c r="B2052" s="2" t="str">
        <f>"13312016200"</f>
        <v>13312016200</v>
      </c>
      <c r="C2052" s="2" t="s">
        <v>7592</v>
      </c>
      <c r="D2052" t="s">
        <v>29</v>
      </c>
      <c r="E2052" s="2" t="s">
        <v>30</v>
      </c>
      <c r="F2052" s="2">
        <v>37211</v>
      </c>
      <c r="G2052" s="2" t="s">
        <v>64</v>
      </c>
      <c r="H2052" t="s">
        <v>379</v>
      </c>
      <c r="I2052" s="6">
        <v>44474</v>
      </c>
      <c r="J2052" s="2" t="s">
        <v>7593</v>
      </c>
      <c r="K2052" s="2" t="s">
        <v>34</v>
      </c>
      <c r="L2052" t="s">
        <v>315</v>
      </c>
      <c r="M2052" t="s">
        <v>29</v>
      </c>
      <c r="N2052" t="s">
        <v>30</v>
      </c>
      <c r="O2052">
        <v>37208</v>
      </c>
      <c r="P2052" t="s">
        <v>7594</v>
      </c>
      <c r="Q2052" s="2">
        <v>0.32</v>
      </c>
      <c r="R2052" s="2">
        <v>75</v>
      </c>
      <c r="S2052" s="2">
        <v>205</v>
      </c>
      <c r="T2052" t="s">
        <v>7595</v>
      </c>
      <c r="U2052" s="6">
        <v>25038</v>
      </c>
      <c r="V2052" s="2">
        <v>47037019006</v>
      </c>
      <c r="W2052" s="2" t="s">
        <v>68</v>
      </c>
      <c r="X2052" s="1">
        <v>45658</v>
      </c>
      <c r="Y2052" s="2">
        <v>76000</v>
      </c>
      <c r="Z2052" s="2">
        <v>0</v>
      </c>
      <c r="AA2052" s="2">
        <v>76000</v>
      </c>
    </row>
    <row r="2053" spans="1:27" x14ac:dyDescent="0.3">
      <c r="A2053" s="3">
        <v>30</v>
      </c>
      <c r="B2053" s="2" t="str">
        <f>"13312016300"</f>
        <v>13312016300</v>
      </c>
      <c r="C2053" s="2" t="s">
        <v>7596</v>
      </c>
      <c r="D2053" t="s">
        <v>29</v>
      </c>
      <c r="E2053" s="2" t="s">
        <v>30</v>
      </c>
      <c r="F2053" s="2">
        <v>37211</v>
      </c>
      <c r="G2053" s="2" t="s">
        <v>64</v>
      </c>
      <c r="H2053" t="s">
        <v>379</v>
      </c>
      <c r="I2053" s="6">
        <v>44785</v>
      </c>
      <c r="J2053" s="2" t="s">
        <v>7597</v>
      </c>
      <c r="K2053" s="2">
        <v>0</v>
      </c>
      <c r="L2053" t="s">
        <v>1104</v>
      </c>
      <c r="M2053" t="s">
        <v>29</v>
      </c>
      <c r="N2053" t="s">
        <v>30</v>
      </c>
      <c r="O2053">
        <v>37208</v>
      </c>
      <c r="P2053" t="s">
        <v>7598</v>
      </c>
      <c r="Q2053" s="2">
        <v>0.37</v>
      </c>
      <c r="R2053" s="2">
        <v>80</v>
      </c>
      <c r="S2053" s="2">
        <v>207</v>
      </c>
      <c r="T2053" t="s">
        <v>7599</v>
      </c>
      <c r="U2053" s="6">
        <v>24953</v>
      </c>
      <c r="V2053" s="2">
        <v>47037019006</v>
      </c>
      <c r="W2053" s="2" t="s">
        <v>68</v>
      </c>
      <c r="X2053" s="1">
        <v>45658</v>
      </c>
      <c r="Y2053" s="2">
        <v>76000</v>
      </c>
      <c r="Z2053" s="2">
        <v>0</v>
      </c>
      <c r="AA2053" s="2">
        <v>76000</v>
      </c>
    </row>
    <row r="2054" spans="1:27" x14ac:dyDescent="0.3">
      <c r="A2054" s="3">
        <v>30</v>
      </c>
      <c r="B2054" s="2" t="str">
        <f>"13312016400"</f>
        <v>13312016400</v>
      </c>
      <c r="C2054" s="2" t="s">
        <v>7600</v>
      </c>
      <c r="D2054" t="s">
        <v>29</v>
      </c>
      <c r="E2054" s="2" t="s">
        <v>30</v>
      </c>
      <c r="F2054" s="2">
        <v>37211</v>
      </c>
      <c r="G2054" s="2" t="s">
        <v>64</v>
      </c>
      <c r="H2054" t="s">
        <v>379</v>
      </c>
      <c r="I2054" s="6">
        <v>44452</v>
      </c>
      <c r="J2054" s="2" t="s">
        <v>7601</v>
      </c>
      <c r="K2054" s="2" t="s">
        <v>34</v>
      </c>
      <c r="L2054" t="s">
        <v>315</v>
      </c>
      <c r="M2054" t="s">
        <v>29</v>
      </c>
      <c r="N2054" t="s">
        <v>30</v>
      </c>
      <c r="O2054">
        <v>37208</v>
      </c>
      <c r="P2054" t="s">
        <v>7602</v>
      </c>
      <c r="Q2054" s="2">
        <v>0.34</v>
      </c>
      <c r="R2054" s="2">
        <v>75</v>
      </c>
      <c r="S2054" s="2">
        <v>207</v>
      </c>
      <c r="T2054" t="s">
        <v>7603</v>
      </c>
      <c r="U2054" s="6">
        <v>24568</v>
      </c>
      <c r="V2054" s="2">
        <v>47037019006</v>
      </c>
      <c r="W2054" s="2" t="s">
        <v>68</v>
      </c>
      <c r="X2054" s="1">
        <v>45658</v>
      </c>
      <c r="Y2054" s="2">
        <v>76000</v>
      </c>
      <c r="Z2054" s="2">
        <v>0</v>
      </c>
      <c r="AA2054" s="2">
        <v>76000</v>
      </c>
    </row>
    <row r="2055" spans="1:27" x14ac:dyDescent="0.3">
      <c r="A2055" s="3">
        <v>30</v>
      </c>
      <c r="B2055" s="2" t="str">
        <f>"13312014600"</f>
        <v>13312014600</v>
      </c>
      <c r="C2055" s="2" t="s">
        <v>7604</v>
      </c>
      <c r="D2055" t="s">
        <v>29</v>
      </c>
      <c r="E2055" s="2" t="s">
        <v>30</v>
      </c>
      <c r="F2055" s="2">
        <v>37211</v>
      </c>
      <c r="G2055" s="2" t="s">
        <v>64</v>
      </c>
      <c r="H2055" t="s">
        <v>379</v>
      </c>
      <c r="I2055" s="6">
        <v>44580</v>
      </c>
      <c r="J2055" s="2" t="s">
        <v>7605</v>
      </c>
      <c r="K2055" s="2" t="s">
        <v>34</v>
      </c>
      <c r="L2055" t="s">
        <v>315</v>
      </c>
      <c r="M2055" t="s">
        <v>29</v>
      </c>
      <c r="N2055" t="s">
        <v>30</v>
      </c>
      <c r="O2055">
        <v>37208</v>
      </c>
      <c r="P2055" t="s">
        <v>7606</v>
      </c>
      <c r="Q2055" s="2">
        <v>0.24</v>
      </c>
      <c r="R2055" s="2">
        <v>87</v>
      </c>
      <c r="S2055" s="2">
        <v>133</v>
      </c>
      <c r="T2055" t="s">
        <v>7607</v>
      </c>
      <c r="U2055" s="6">
        <v>24798</v>
      </c>
      <c r="V2055" s="2">
        <v>47037019006</v>
      </c>
      <c r="W2055" s="2" t="s">
        <v>68</v>
      </c>
      <c r="X2055" s="1">
        <v>45658</v>
      </c>
      <c r="Y2055" s="2">
        <v>76000</v>
      </c>
      <c r="Z2055" s="2">
        <v>0</v>
      </c>
      <c r="AA2055" s="2">
        <v>76000</v>
      </c>
    </row>
    <row r="2056" spans="1:27" x14ac:dyDescent="0.3">
      <c r="A2056" s="3">
        <v>30</v>
      </c>
      <c r="B2056" s="2" t="str">
        <f>"13312016500"</f>
        <v>13312016500</v>
      </c>
      <c r="C2056" s="2" t="s">
        <v>7608</v>
      </c>
      <c r="D2056" t="s">
        <v>29</v>
      </c>
      <c r="E2056" s="2" t="s">
        <v>30</v>
      </c>
      <c r="F2056" s="2">
        <v>37211</v>
      </c>
      <c r="G2056" s="2" t="s">
        <v>64</v>
      </c>
      <c r="H2056" t="s">
        <v>379</v>
      </c>
      <c r="I2056" s="6">
        <v>44417</v>
      </c>
      <c r="J2056" s="2" t="s">
        <v>7609</v>
      </c>
      <c r="K2056" s="2" t="s">
        <v>34</v>
      </c>
      <c r="L2056" t="s">
        <v>315</v>
      </c>
      <c r="M2056" t="s">
        <v>29</v>
      </c>
      <c r="N2056" t="s">
        <v>30</v>
      </c>
      <c r="O2056">
        <v>37208</v>
      </c>
      <c r="P2056" t="s">
        <v>7610</v>
      </c>
      <c r="Q2056" s="2">
        <v>0.36</v>
      </c>
      <c r="R2056" s="2">
        <v>80</v>
      </c>
      <c r="S2056" s="2">
        <v>205</v>
      </c>
      <c r="T2056" t="s">
        <v>7611</v>
      </c>
      <c r="U2056" s="6">
        <v>24723</v>
      </c>
      <c r="V2056" s="2">
        <v>47037019006</v>
      </c>
      <c r="W2056" s="2" t="s">
        <v>68</v>
      </c>
      <c r="X2056" s="1">
        <v>45658</v>
      </c>
      <c r="Y2056" s="2">
        <v>76000</v>
      </c>
      <c r="Z2056" s="2">
        <v>0</v>
      </c>
      <c r="AA2056" s="2">
        <v>76000</v>
      </c>
    </row>
    <row r="2057" spans="1:27" x14ac:dyDescent="0.3">
      <c r="A2057" s="3">
        <v>30</v>
      </c>
      <c r="B2057" s="2" t="str">
        <f>"13312014500"</f>
        <v>13312014500</v>
      </c>
      <c r="C2057" s="2" t="s">
        <v>7612</v>
      </c>
      <c r="D2057" t="s">
        <v>29</v>
      </c>
      <c r="E2057" s="2" t="s">
        <v>30</v>
      </c>
      <c r="F2057" s="2">
        <v>37211</v>
      </c>
      <c r="G2057" s="2" t="s">
        <v>64</v>
      </c>
      <c r="H2057" t="s">
        <v>379</v>
      </c>
      <c r="I2057" s="6">
        <v>44544</v>
      </c>
      <c r="J2057" s="2" t="s">
        <v>7613</v>
      </c>
      <c r="K2057" s="2" t="s">
        <v>34</v>
      </c>
      <c r="L2057" t="s">
        <v>315</v>
      </c>
      <c r="M2057" t="s">
        <v>29</v>
      </c>
      <c r="N2057" t="s">
        <v>30</v>
      </c>
      <c r="O2057">
        <v>37208</v>
      </c>
      <c r="P2057" t="s">
        <v>7614</v>
      </c>
      <c r="Q2057" s="2">
        <v>0.23</v>
      </c>
      <c r="R2057" s="2">
        <v>92</v>
      </c>
      <c r="S2057" s="2">
        <v>135</v>
      </c>
      <c r="T2057" t="s">
        <v>7615</v>
      </c>
      <c r="U2057" s="6">
        <v>25070</v>
      </c>
      <c r="V2057" s="2">
        <v>47037019006</v>
      </c>
      <c r="W2057" s="2" t="s">
        <v>68</v>
      </c>
      <c r="X2057" s="1">
        <v>45658</v>
      </c>
      <c r="Y2057" s="2">
        <v>76000</v>
      </c>
      <c r="Z2057" s="2">
        <v>0</v>
      </c>
      <c r="AA2057" s="2">
        <v>76000</v>
      </c>
    </row>
    <row r="2058" spans="1:27" x14ac:dyDescent="0.3">
      <c r="A2058" s="3">
        <v>30</v>
      </c>
      <c r="B2058" s="2" t="str">
        <f>"13312016600"</f>
        <v>13312016600</v>
      </c>
      <c r="C2058" s="2" t="s">
        <v>7616</v>
      </c>
      <c r="D2058" t="s">
        <v>29</v>
      </c>
      <c r="E2058" s="2" t="s">
        <v>30</v>
      </c>
      <c r="F2058" s="2">
        <v>37211</v>
      </c>
      <c r="G2058" s="2" t="s">
        <v>64</v>
      </c>
      <c r="H2058" t="s">
        <v>379</v>
      </c>
      <c r="I2058" s="6">
        <v>44601</v>
      </c>
      <c r="J2058" s="2" t="s">
        <v>7617</v>
      </c>
      <c r="K2058" s="2">
        <v>0</v>
      </c>
      <c r="L2058" t="s">
        <v>1104</v>
      </c>
      <c r="M2058" t="s">
        <v>29</v>
      </c>
      <c r="N2058" t="s">
        <v>30</v>
      </c>
      <c r="O2058">
        <v>37208</v>
      </c>
      <c r="P2058" t="s">
        <v>7618</v>
      </c>
      <c r="Q2058" s="2">
        <v>0.37</v>
      </c>
      <c r="R2058" s="2">
        <v>76</v>
      </c>
      <c r="S2058" s="2">
        <v>203</v>
      </c>
      <c r="T2058" t="s">
        <v>7619</v>
      </c>
      <c r="U2058" s="6">
        <v>25101</v>
      </c>
      <c r="V2058" s="2">
        <v>47037019006</v>
      </c>
      <c r="W2058" s="2" t="s">
        <v>68</v>
      </c>
      <c r="X2058" s="1">
        <v>45658</v>
      </c>
      <c r="Y2058" s="2">
        <v>76000</v>
      </c>
      <c r="Z2058" s="2">
        <v>0</v>
      </c>
      <c r="AA2058" s="2">
        <v>76000</v>
      </c>
    </row>
    <row r="2059" spans="1:27" x14ac:dyDescent="0.3">
      <c r="A2059" s="3">
        <v>30</v>
      </c>
      <c r="B2059" s="2" t="str">
        <f>"13312016700"</f>
        <v>13312016700</v>
      </c>
      <c r="C2059" s="2" t="s">
        <v>7620</v>
      </c>
      <c r="D2059" t="s">
        <v>29</v>
      </c>
      <c r="E2059" s="2" t="s">
        <v>30</v>
      </c>
      <c r="F2059" s="2">
        <v>37211</v>
      </c>
      <c r="G2059" s="2" t="s">
        <v>64</v>
      </c>
      <c r="H2059" t="s">
        <v>379</v>
      </c>
      <c r="I2059" s="6">
        <v>44448</v>
      </c>
      <c r="J2059" s="2" t="s">
        <v>7621</v>
      </c>
      <c r="K2059" s="2" t="s">
        <v>34</v>
      </c>
      <c r="L2059" t="s">
        <v>315</v>
      </c>
      <c r="M2059" t="s">
        <v>29</v>
      </c>
      <c r="N2059" t="s">
        <v>30</v>
      </c>
      <c r="O2059">
        <v>37208</v>
      </c>
      <c r="P2059" t="s">
        <v>7622</v>
      </c>
      <c r="Q2059" s="2">
        <v>0.41</v>
      </c>
      <c r="R2059" s="2">
        <v>71</v>
      </c>
      <c r="S2059" s="2">
        <v>213</v>
      </c>
      <c r="T2059" t="s">
        <v>7623</v>
      </c>
      <c r="U2059" s="6">
        <v>24982</v>
      </c>
      <c r="V2059" s="2">
        <v>47037019006</v>
      </c>
      <c r="W2059" s="2" t="s">
        <v>68</v>
      </c>
      <c r="X2059" s="1">
        <v>45658</v>
      </c>
      <c r="Y2059" s="2">
        <v>76000</v>
      </c>
      <c r="Z2059" s="2">
        <v>0</v>
      </c>
      <c r="AA2059" s="2">
        <v>76000</v>
      </c>
    </row>
    <row r="2060" spans="1:27" x14ac:dyDescent="0.3">
      <c r="A2060" s="3">
        <v>30</v>
      </c>
      <c r="B2060" s="2" t="str">
        <f>"13312012000"</f>
        <v>13312012000</v>
      </c>
      <c r="C2060" s="2" t="s">
        <v>7624</v>
      </c>
      <c r="D2060" t="s">
        <v>29</v>
      </c>
      <c r="E2060" s="2" t="s">
        <v>30</v>
      </c>
      <c r="F2060" s="2">
        <v>37211</v>
      </c>
      <c r="G2060" s="2" t="s">
        <v>64</v>
      </c>
      <c r="H2060" t="s">
        <v>379</v>
      </c>
      <c r="I2060" s="6">
        <v>44496</v>
      </c>
      <c r="J2060" s="2" t="s">
        <v>7625</v>
      </c>
      <c r="K2060" s="2" t="s">
        <v>34</v>
      </c>
      <c r="L2060" t="s">
        <v>315</v>
      </c>
      <c r="M2060" t="s">
        <v>29</v>
      </c>
      <c r="N2060" t="s">
        <v>30</v>
      </c>
      <c r="O2060">
        <v>37208</v>
      </c>
      <c r="P2060" t="s">
        <v>7626</v>
      </c>
      <c r="Q2060" s="2">
        <v>0.28999999999999998</v>
      </c>
      <c r="R2060" s="2">
        <v>120</v>
      </c>
      <c r="S2060" s="2">
        <v>87</v>
      </c>
      <c r="T2060" t="s">
        <v>7627</v>
      </c>
      <c r="U2060" s="6">
        <v>27225</v>
      </c>
      <c r="V2060" s="2">
        <v>47037019006</v>
      </c>
      <c r="W2060" s="2" t="s">
        <v>68</v>
      </c>
      <c r="X2060" s="1">
        <v>45658</v>
      </c>
      <c r="Y2060" s="2">
        <v>76000</v>
      </c>
      <c r="Z2060" s="2">
        <v>0</v>
      </c>
      <c r="AA2060" s="2">
        <v>76000</v>
      </c>
    </row>
    <row r="2061" spans="1:27" x14ac:dyDescent="0.3">
      <c r="A2061" s="3">
        <v>30</v>
      </c>
      <c r="B2061" s="2" t="str">
        <f>"13312016800"</f>
        <v>13312016800</v>
      </c>
      <c r="C2061" s="2" t="s">
        <v>7628</v>
      </c>
      <c r="D2061" t="s">
        <v>29</v>
      </c>
      <c r="E2061" s="2" t="s">
        <v>30</v>
      </c>
      <c r="F2061" s="2">
        <v>37211</v>
      </c>
      <c r="G2061" s="2" t="s">
        <v>64</v>
      </c>
      <c r="H2061" t="s">
        <v>379</v>
      </c>
      <c r="I2061" s="6">
        <v>44452</v>
      </c>
      <c r="J2061" s="2" t="s">
        <v>7629</v>
      </c>
      <c r="K2061" s="2" t="s">
        <v>34</v>
      </c>
      <c r="L2061" t="s">
        <v>315</v>
      </c>
      <c r="M2061" t="s">
        <v>29</v>
      </c>
      <c r="N2061" t="s">
        <v>30</v>
      </c>
      <c r="O2061">
        <v>37208</v>
      </c>
      <c r="P2061" t="s">
        <v>7630</v>
      </c>
      <c r="Q2061" s="2">
        <v>0.44</v>
      </c>
      <c r="R2061" s="2">
        <v>75</v>
      </c>
      <c r="S2061" s="2">
        <v>236</v>
      </c>
      <c r="T2061" t="s">
        <v>7631</v>
      </c>
      <c r="U2061" s="6">
        <v>24953</v>
      </c>
      <c r="V2061" s="2">
        <v>47037019006</v>
      </c>
      <c r="W2061" s="2" t="s">
        <v>68</v>
      </c>
      <c r="X2061" s="1">
        <v>45658</v>
      </c>
      <c r="Y2061" s="2">
        <v>76000</v>
      </c>
      <c r="Z2061" s="2">
        <v>0</v>
      </c>
      <c r="AA2061" s="2">
        <v>76000</v>
      </c>
    </row>
    <row r="2062" spans="1:27" x14ac:dyDescent="0.3">
      <c r="A2062" s="3">
        <v>30</v>
      </c>
      <c r="B2062" s="2" t="str">
        <f>"13312011900"</f>
        <v>13312011900</v>
      </c>
      <c r="C2062" s="2" t="s">
        <v>7632</v>
      </c>
      <c r="D2062" t="s">
        <v>29</v>
      </c>
      <c r="E2062" s="2" t="s">
        <v>30</v>
      </c>
      <c r="F2062" s="2">
        <v>37211</v>
      </c>
      <c r="G2062" s="2" t="s">
        <v>64</v>
      </c>
      <c r="H2062" t="s">
        <v>379</v>
      </c>
      <c r="I2062" s="6">
        <v>44426</v>
      </c>
      <c r="J2062" s="2" t="s">
        <v>7633</v>
      </c>
      <c r="K2062" s="2" t="s">
        <v>34</v>
      </c>
      <c r="L2062" t="s">
        <v>315</v>
      </c>
      <c r="M2062" t="s">
        <v>29</v>
      </c>
      <c r="N2062" t="s">
        <v>30</v>
      </c>
      <c r="O2062">
        <v>37208</v>
      </c>
      <c r="P2062" t="s">
        <v>7634</v>
      </c>
      <c r="Q2062" s="2">
        <v>0.32</v>
      </c>
      <c r="R2062" s="2">
        <v>46</v>
      </c>
      <c r="S2062" s="2">
        <v>175</v>
      </c>
      <c r="T2062" t="s">
        <v>7635</v>
      </c>
      <c r="U2062" s="6">
        <v>25483</v>
      </c>
      <c r="V2062" s="2">
        <v>47037019006</v>
      </c>
      <c r="W2062" s="2" t="s">
        <v>68</v>
      </c>
      <c r="X2062" s="1">
        <v>45658</v>
      </c>
      <c r="Y2062" s="2">
        <v>76000</v>
      </c>
      <c r="Z2062" s="2">
        <v>0</v>
      </c>
      <c r="AA2062" s="2">
        <v>76000</v>
      </c>
    </row>
    <row r="2063" spans="1:27" x14ac:dyDescent="0.3">
      <c r="A2063" s="3">
        <v>30</v>
      </c>
      <c r="B2063" s="2" t="str">
        <f>"13312011800"</f>
        <v>13312011800</v>
      </c>
      <c r="C2063" s="2" t="s">
        <v>7636</v>
      </c>
      <c r="D2063" t="s">
        <v>29</v>
      </c>
      <c r="E2063" s="2" t="s">
        <v>30</v>
      </c>
      <c r="F2063" s="2">
        <v>37211</v>
      </c>
      <c r="G2063" s="2" t="s">
        <v>64</v>
      </c>
      <c r="H2063" t="s">
        <v>379</v>
      </c>
      <c r="I2063" s="6">
        <v>44441</v>
      </c>
      <c r="J2063" s="2" t="s">
        <v>7637</v>
      </c>
      <c r="K2063" s="2">
        <v>0</v>
      </c>
      <c r="L2063" t="s">
        <v>315</v>
      </c>
      <c r="M2063" t="s">
        <v>29</v>
      </c>
      <c r="N2063" t="s">
        <v>30</v>
      </c>
      <c r="O2063">
        <v>37208</v>
      </c>
      <c r="P2063" t="s">
        <v>7638</v>
      </c>
      <c r="Q2063" s="2">
        <v>0.45</v>
      </c>
      <c r="R2063" s="2">
        <v>71</v>
      </c>
      <c r="S2063" s="2">
        <v>276</v>
      </c>
      <c r="T2063" t="s">
        <v>7639</v>
      </c>
      <c r="U2063" s="6">
        <v>25190</v>
      </c>
      <c r="V2063" s="2">
        <v>47037019006</v>
      </c>
      <c r="W2063" s="2" t="s">
        <v>68</v>
      </c>
      <c r="X2063" s="1">
        <v>45658</v>
      </c>
      <c r="Y2063" s="2">
        <v>76000</v>
      </c>
      <c r="Z2063" s="2">
        <v>0</v>
      </c>
      <c r="AA2063" s="2">
        <v>76000</v>
      </c>
    </row>
    <row r="2064" spans="1:27" x14ac:dyDescent="0.3">
      <c r="A2064" s="3">
        <v>30</v>
      </c>
      <c r="B2064" s="2" t="str">
        <f>"13311007100"</f>
        <v>13311007100</v>
      </c>
      <c r="C2064" s="2" t="s">
        <v>7640</v>
      </c>
      <c r="D2064" t="s">
        <v>29</v>
      </c>
      <c r="E2064" s="2" t="s">
        <v>30</v>
      </c>
      <c r="F2064" s="2">
        <v>37211</v>
      </c>
      <c r="G2064" s="2" t="s">
        <v>194</v>
      </c>
      <c r="H2064" t="s">
        <v>379</v>
      </c>
      <c r="I2064" s="6">
        <v>44775</v>
      </c>
      <c r="J2064" s="2" t="s">
        <v>7641</v>
      </c>
      <c r="K2064" s="2">
        <v>0</v>
      </c>
      <c r="L2064" t="s">
        <v>315</v>
      </c>
      <c r="M2064" t="s">
        <v>29</v>
      </c>
      <c r="N2064" t="s">
        <v>30</v>
      </c>
      <c r="O2064">
        <v>37208</v>
      </c>
      <c r="P2064" t="s">
        <v>7642</v>
      </c>
      <c r="Q2064" s="2">
        <v>0.27</v>
      </c>
      <c r="R2064" s="2">
        <v>82</v>
      </c>
      <c r="S2064" s="2">
        <v>93</v>
      </c>
      <c r="T2064" t="s">
        <v>7643</v>
      </c>
      <c r="U2064" s="6">
        <v>23977</v>
      </c>
      <c r="V2064" s="2">
        <v>47037019006</v>
      </c>
      <c r="W2064" s="2" t="s">
        <v>68</v>
      </c>
      <c r="X2064" s="1">
        <v>45658</v>
      </c>
      <c r="Y2064" s="2">
        <v>76000</v>
      </c>
      <c r="Z2064" s="2">
        <v>0</v>
      </c>
      <c r="AA2064" s="2">
        <v>76000</v>
      </c>
    </row>
    <row r="2065" spans="1:27" x14ac:dyDescent="0.3">
      <c r="A2065" s="3">
        <v>30</v>
      </c>
      <c r="B2065" s="2" t="str">
        <f>"13311007000"</f>
        <v>13311007000</v>
      </c>
      <c r="C2065" s="2" t="s">
        <v>7644</v>
      </c>
      <c r="D2065" t="s">
        <v>29</v>
      </c>
      <c r="E2065" s="2" t="s">
        <v>30</v>
      </c>
      <c r="F2065" s="2">
        <v>37211</v>
      </c>
      <c r="G2065" s="2" t="s">
        <v>194</v>
      </c>
      <c r="H2065" t="s">
        <v>379</v>
      </c>
      <c r="I2065" s="6">
        <v>45413</v>
      </c>
      <c r="J2065" s="2" t="s">
        <v>7645</v>
      </c>
      <c r="K2065" s="2" t="s">
        <v>34</v>
      </c>
      <c r="L2065" t="s">
        <v>315</v>
      </c>
      <c r="M2065" t="s">
        <v>29</v>
      </c>
      <c r="N2065" t="s">
        <v>30</v>
      </c>
      <c r="O2065">
        <v>37208</v>
      </c>
      <c r="P2065" t="s">
        <v>7646</v>
      </c>
      <c r="Q2065" s="2">
        <v>0.24</v>
      </c>
      <c r="R2065" s="2">
        <v>82</v>
      </c>
      <c r="S2065" s="2">
        <v>154</v>
      </c>
      <c r="T2065" t="s">
        <v>7647</v>
      </c>
      <c r="U2065" s="6">
        <v>24090</v>
      </c>
      <c r="V2065" s="2">
        <v>47037019006</v>
      </c>
      <c r="W2065" s="2" t="s">
        <v>68</v>
      </c>
      <c r="X2065" s="1">
        <v>45658</v>
      </c>
      <c r="Y2065" s="2">
        <v>76000</v>
      </c>
      <c r="Z2065" s="2">
        <v>0</v>
      </c>
      <c r="AA2065" s="2">
        <v>76000</v>
      </c>
    </row>
    <row r="2066" spans="1:27" x14ac:dyDescent="0.3">
      <c r="A2066" s="3">
        <v>30</v>
      </c>
      <c r="B2066" s="2" t="str">
        <f>"14806001300"</f>
        <v>14806001300</v>
      </c>
      <c r="C2066" s="2" t="s">
        <v>7648</v>
      </c>
      <c r="D2066" t="s">
        <v>29</v>
      </c>
      <c r="E2066" s="2" t="s">
        <v>30</v>
      </c>
      <c r="F2066" s="2">
        <v>37211</v>
      </c>
      <c r="G2066" s="2" t="s">
        <v>64</v>
      </c>
      <c r="H2066" t="s">
        <v>379</v>
      </c>
      <c r="I2066" s="6">
        <v>44356</v>
      </c>
      <c r="J2066" s="2" t="s">
        <v>7649</v>
      </c>
      <c r="K2066" s="2" t="s">
        <v>34</v>
      </c>
      <c r="L2066" t="s">
        <v>315</v>
      </c>
      <c r="M2066" t="s">
        <v>29</v>
      </c>
      <c r="N2066" t="s">
        <v>30</v>
      </c>
      <c r="O2066">
        <v>37208</v>
      </c>
      <c r="P2066" t="s">
        <v>7650</v>
      </c>
      <c r="Q2066" s="2">
        <v>1.07</v>
      </c>
      <c r="R2066" s="2">
        <v>330</v>
      </c>
      <c r="S2066" s="2">
        <v>210</v>
      </c>
      <c r="T2066" t="s">
        <v>7651</v>
      </c>
      <c r="U2066" s="6">
        <v>26619</v>
      </c>
      <c r="V2066" s="2">
        <v>47037019003</v>
      </c>
      <c r="W2066" s="2" t="s">
        <v>68</v>
      </c>
      <c r="X2066" s="1">
        <v>45658</v>
      </c>
      <c r="Y2066" s="2">
        <v>105900</v>
      </c>
      <c r="Z2066" s="2">
        <v>0</v>
      </c>
      <c r="AA2066" s="2">
        <v>105900</v>
      </c>
    </row>
    <row r="2067" spans="1:27" x14ac:dyDescent="0.3">
      <c r="A2067" s="3">
        <v>30</v>
      </c>
      <c r="B2067" s="2" t="str">
        <f>"13311006100"</f>
        <v>13311006100</v>
      </c>
      <c r="C2067" s="2" t="s">
        <v>7652</v>
      </c>
      <c r="D2067" t="s">
        <v>29</v>
      </c>
      <c r="E2067" s="2" t="s">
        <v>30</v>
      </c>
      <c r="F2067" s="2">
        <v>37211</v>
      </c>
      <c r="G2067" s="2" t="s">
        <v>194</v>
      </c>
      <c r="H2067" t="s">
        <v>379</v>
      </c>
      <c r="I2067" s="6">
        <v>44715</v>
      </c>
      <c r="J2067" s="2" t="s">
        <v>7653</v>
      </c>
      <c r="K2067" s="2" t="s">
        <v>34</v>
      </c>
      <c r="L2067" t="s">
        <v>315</v>
      </c>
      <c r="M2067" t="s">
        <v>29</v>
      </c>
      <c r="N2067" t="s">
        <v>30</v>
      </c>
      <c r="O2067">
        <v>37208</v>
      </c>
      <c r="P2067" t="s">
        <v>7654</v>
      </c>
      <c r="Q2067" s="2">
        <v>0.26</v>
      </c>
      <c r="R2067" s="2">
        <v>77</v>
      </c>
      <c r="S2067" s="2">
        <v>134</v>
      </c>
      <c r="T2067" t="s">
        <v>7655</v>
      </c>
      <c r="U2067" s="6">
        <v>25853</v>
      </c>
      <c r="V2067" s="2">
        <v>47037019006</v>
      </c>
      <c r="W2067" s="2" t="s">
        <v>68</v>
      </c>
      <c r="X2067" s="1">
        <v>45658</v>
      </c>
      <c r="Y2067" s="2">
        <v>76000</v>
      </c>
      <c r="Z2067" s="2">
        <v>0</v>
      </c>
      <c r="AA2067" s="2">
        <v>76000</v>
      </c>
    </row>
    <row r="2068" spans="1:27" x14ac:dyDescent="0.3">
      <c r="A2068" s="3">
        <v>31</v>
      </c>
      <c r="B2068" s="2" t="str">
        <f>"17300004500"</f>
        <v>17300004500</v>
      </c>
      <c r="C2068" s="2" t="s">
        <v>7656</v>
      </c>
      <c r="D2068" t="s">
        <v>1945</v>
      </c>
      <c r="E2068" s="2" t="s">
        <v>30</v>
      </c>
      <c r="F2068" s="2">
        <v>37013</v>
      </c>
      <c r="G2068" s="2" t="s">
        <v>31</v>
      </c>
      <c r="H2068" t="s">
        <v>32</v>
      </c>
      <c r="I2068" s="6">
        <v>36384</v>
      </c>
      <c r="J2068" s="2" t="s">
        <v>7657</v>
      </c>
      <c r="K2068" s="2">
        <v>425000</v>
      </c>
      <c r="L2068" t="s">
        <v>35</v>
      </c>
      <c r="M2068" t="s">
        <v>29</v>
      </c>
      <c r="N2068" t="s">
        <v>30</v>
      </c>
      <c r="O2068">
        <v>37219</v>
      </c>
      <c r="P2068" t="s">
        <v>7658</v>
      </c>
      <c r="Q2068" s="2">
        <v>15.83</v>
      </c>
      <c r="R2068" s="2">
        <v>0</v>
      </c>
      <c r="S2068" s="2">
        <v>0</v>
      </c>
      <c r="T2068" t="s">
        <v>7659</v>
      </c>
      <c r="U2068" s="6">
        <v>29524</v>
      </c>
      <c r="V2068" s="2">
        <v>47037019112</v>
      </c>
      <c r="W2068" s="2" t="s">
        <v>837</v>
      </c>
      <c r="X2068" s="1">
        <v>45658</v>
      </c>
      <c r="Y2068" s="2">
        <v>780300</v>
      </c>
      <c r="Z2068" s="2">
        <v>0</v>
      </c>
      <c r="AA2068" s="2">
        <v>780300</v>
      </c>
    </row>
    <row r="2069" spans="1:27" x14ac:dyDescent="0.3">
      <c r="A2069" s="3">
        <v>31</v>
      </c>
      <c r="B2069" s="2" t="str">
        <f>"17400000700"</f>
        <v>17400000700</v>
      </c>
      <c r="C2069" s="2" t="s">
        <v>7660</v>
      </c>
      <c r="D2069" t="s">
        <v>1945</v>
      </c>
      <c r="E2069" s="2" t="s">
        <v>30</v>
      </c>
      <c r="F2069" s="2">
        <v>37013</v>
      </c>
      <c r="G2069" s="2" t="s">
        <v>31</v>
      </c>
      <c r="H2069" t="s">
        <v>32</v>
      </c>
      <c r="I2069" s="6">
        <v>41787</v>
      </c>
      <c r="J2069" s="2" t="s">
        <v>7661</v>
      </c>
      <c r="K2069" s="2">
        <v>0</v>
      </c>
      <c r="L2069" t="s">
        <v>35</v>
      </c>
      <c r="M2069" t="s">
        <v>29</v>
      </c>
      <c r="N2069" t="s">
        <v>30</v>
      </c>
      <c r="O2069">
        <v>37219</v>
      </c>
      <c r="P2069" t="s">
        <v>7662</v>
      </c>
      <c r="Q2069" s="2">
        <v>44.07</v>
      </c>
      <c r="R2069" s="2">
        <v>0</v>
      </c>
      <c r="S2069" s="2">
        <v>0</v>
      </c>
      <c r="T2069" t="s">
        <v>7663</v>
      </c>
      <c r="U2069" s="6">
        <v>29817</v>
      </c>
      <c r="V2069" s="2">
        <v>47037019114</v>
      </c>
      <c r="W2069" s="2" t="s">
        <v>38</v>
      </c>
      <c r="X2069" s="1">
        <v>45658</v>
      </c>
      <c r="Y2069" s="2">
        <v>341300</v>
      </c>
      <c r="Z2069" s="2">
        <v>0</v>
      </c>
      <c r="AA2069" s="2">
        <v>341300</v>
      </c>
    </row>
    <row r="2070" spans="1:27" x14ac:dyDescent="0.3">
      <c r="A2070" s="3">
        <v>31</v>
      </c>
      <c r="B2070" s="2" t="str">
        <f>"17300009600"</f>
        <v>17300009600</v>
      </c>
      <c r="C2070" s="2" t="s">
        <v>7664</v>
      </c>
      <c r="D2070" t="s">
        <v>1945</v>
      </c>
      <c r="E2070" s="2" t="s">
        <v>30</v>
      </c>
      <c r="F2070" s="2">
        <v>37013</v>
      </c>
      <c r="G2070" s="2" t="s">
        <v>31</v>
      </c>
      <c r="H2070" t="s">
        <v>32</v>
      </c>
      <c r="I2070" s="6">
        <v>41787</v>
      </c>
      <c r="J2070" s="2" t="s">
        <v>7661</v>
      </c>
      <c r="K2070" s="2">
        <v>0</v>
      </c>
      <c r="L2070" t="s">
        <v>35</v>
      </c>
      <c r="M2070" t="s">
        <v>29</v>
      </c>
      <c r="N2070" t="s">
        <v>30</v>
      </c>
      <c r="O2070">
        <v>37219</v>
      </c>
      <c r="P2070" t="s">
        <v>7665</v>
      </c>
      <c r="Q2070" s="2">
        <v>13.1</v>
      </c>
      <c r="R2070" s="2">
        <v>0</v>
      </c>
      <c r="S2070" s="2">
        <v>0</v>
      </c>
      <c r="T2070" t="s">
        <v>7666</v>
      </c>
      <c r="U2070" s="6">
        <v>26022</v>
      </c>
      <c r="V2070" s="2">
        <v>47037019114</v>
      </c>
      <c r="W2070" s="2" t="s">
        <v>38</v>
      </c>
      <c r="X2070" s="1">
        <v>45658</v>
      </c>
      <c r="Y2070" s="2">
        <v>380100</v>
      </c>
      <c r="Z2070" s="2">
        <v>0</v>
      </c>
      <c r="AA2070" s="2">
        <v>380100</v>
      </c>
    </row>
    <row r="2071" spans="1:27" x14ac:dyDescent="0.3">
      <c r="A2071" s="3">
        <v>31</v>
      </c>
      <c r="B2071" s="2" t="str">
        <f>"17300009500"</f>
        <v>17300009500</v>
      </c>
      <c r="C2071" s="2" t="s">
        <v>7667</v>
      </c>
      <c r="D2071" t="s">
        <v>1945</v>
      </c>
      <c r="E2071" s="2" t="s">
        <v>30</v>
      </c>
      <c r="F2071" s="2">
        <v>37013</v>
      </c>
      <c r="G2071" s="2" t="s">
        <v>64</v>
      </c>
      <c r="H2071" t="s">
        <v>32</v>
      </c>
      <c r="I2071" s="6">
        <v>41787</v>
      </c>
      <c r="J2071" s="2" t="s">
        <v>7661</v>
      </c>
      <c r="K2071" s="2">
        <v>0</v>
      </c>
      <c r="L2071" t="s">
        <v>35</v>
      </c>
      <c r="M2071" t="s">
        <v>29</v>
      </c>
      <c r="N2071" t="s">
        <v>30</v>
      </c>
      <c r="O2071">
        <v>37219</v>
      </c>
      <c r="P2071" t="s">
        <v>7665</v>
      </c>
      <c r="Q2071" s="2">
        <v>3</v>
      </c>
      <c r="R2071" s="2">
        <v>0</v>
      </c>
      <c r="S2071" s="2">
        <v>0</v>
      </c>
      <c r="T2071" t="s">
        <v>7668</v>
      </c>
      <c r="U2071" s="6">
        <v>23984</v>
      </c>
      <c r="V2071" s="2">
        <v>47037019114</v>
      </c>
      <c r="W2071" s="2" t="s">
        <v>38</v>
      </c>
      <c r="X2071" s="1">
        <v>45658</v>
      </c>
      <c r="Y2071" s="2">
        <v>183900</v>
      </c>
      <c r="Z2071" s="2">
        <v>0</v>
      </c>
      <c r="AA2071" s="2">
        <v>183900</v>
      </c>
    </row>
    <row r="2072" spans="1:27" x14ac:dyDescent="0.3">
      <c r="A2072" s="3">
        <v>31</v>
      </c>
      <c r="B2072" s="2" t="str">
        <f>"17400012100"</f>
        <v>17400012100</v>
      </c>
      <c r="C2072" s="2" t="s">
        <v>7669</v>
      </c>
      <c r="D2072" t="s">
        <v>1945</v>
      </c>
      <c r="E2072" s="2" t="s">
        <v>30</v>
      </c>
      <c r="F2072" s="2">
        <v>37013</v>
      </c>
      <c r="G2072" s="2" t="s">
        <v>31</v>
      </c>
      <c r="H2072" t="s">
        <v>32</v>
      </c>
      <c r="I2072" s="6">
        <v>42257</v>
      </c>
      <c r="J2072" s="2" t="s">
        <v>7670</v>
      </c>
      <c r="K2072" s="2">
        <v>0</v>
      </c>
      <c r="L2072" t="s">
        <v>35</v>
      </c>
      <c r="M2072" t="s">
        <v>29</v>
      </c>
      <c r="N2072" t="s">
        <v>30</v>
      </c>
      <c r="O2072">
        <v>37219</v>
      </c>
      <c r="P2072" t="s">
        <v>7671</v>
      </c>
      <c r="Q2072" s="2">
        <v>7.34</v>
      </c>
      <c r="R2072" s="2">
        <v>0</v>
      </c>
      <c r="S2072" s="2">
        <v>0</v>
      </c>
      <c r="T2072" t="s">
        <v>7672</v>
      </c>
      <c r="U2072" s="6">
        <v>29280</v>
      </c>
      <c r="V2072" s="2">
        <v>47037019114</v>
      </c>
      <c r="W2072" s="2" t="s">
        <v>38</v>
      </c>
      <c r="X2072" s="1">
        <v>45658</v>
      </c>
      <c r="Y2072" s="2">
        <v>116900</v>
      </c>
      <c r="Z2072" s="2">
        <v>0</v>
      </c>
      <c r="AA2072" s="2">
        <v>116900</v>
      </c>
    </row>
    <row r="2073" spans="1:27" x14ac:dyDescent="0.3">
      <c r="A2073" s="3">
        <v>31</v>
      </c>
      <c r="B2073" s="2" t="str">
        <f>"17400007200"</f>
        <v>17400007200</v>
      </c>
      <c r="C2073" s="2" t="s">
        <v>7673</v>
      </c>
      <c r="D2073" t="s">
        <v>1945</v>
      </c>
      <c r="E2073" s="2" t="s">
        <v>30</v>
      </c>
      <c r="F2073" s="2">
        <v>37013</v>
      </c>
      <c r="G2073" s="2" t="s">
        <v>31</v>
      </c>
      <c r="H2073" t="s">
        <v>32</v>
      </c>
      <c r="I2073" s="6">
        <v>42257</v>
      </c>
      <c r="J2073" s="2" t="s">
        <v>7670</v>
      </c>
      <c r="K2073" s="2">
        <v>0</v>
      </c>
      <c r="L2073" t="s">
        <v>35</v>
      </c>
      <c r="M2073" t="s">
        <v>29</v>
      </c>
      <c r="N2073" t="s">
        <v>30</v>
      </c>
      <c r="O2073">
        <v>37219</v>
      </c>
      <c r="P2073" t="s">
        <v>7674</v>
      </c>
      <c r="Q2073" s="2">
        <v>4.22</v>
      </c>
      <c r="R2073" s="2">
        <v>0</v>
      </c>
      <c r="S2073" s="2">
        <v>0</v>
      </c>
      <c r="T2073" t="s">
        <v>7675</v>
      </c>
      <c r="U2073" s="6">
        <v>26386</v>
      </c>
      <c r="V2073" s="2">
        <v>47037019114</v>
      </c>
      <c r="W2073" s="2" t="s">
        <v>38</v>
      </c>
      <c r="X2073" s="1">
        <v>45658</v>
      </c>
      <c r="Y2073" s="2">
        <v>84700</v>
      </c>
      <c r="Z2073" s="2">
        <v>0</v>
      </c>
      <c r="AA2073" s="2">
        <v>84700</v>
      </c>
    </row>
    <row r="2074" spans="1:27" x14ac:dyDescent="0.3">
      <c r="A2074" s="3">
        <v>31</v>
      </c>
      <c r="B2074" s="2" t="str">
        <f>"18100001900"</f>
        <v>18100001900</v>
      </c>
      <c r="C2074" s="2" t="s">
        <v>7676</v>
      </c>
      <c r="D2074" t="s">
        <v>1945</v>
      </c>
      <c r="E2074" s="2" t="s">
        <v>30</v>
      </c>
      <c r="F2074" s="2">
        <v>37013</v>
      </c>
      <c r="G2074" s="2" t="s">
        <v>64</v>
      </c>
      <c r="H2074" t="s">
        <v>32</v>
      </c>
      <c r="I2074" s="6">
        <v>41528</v>
      </c>
      <c r="J2074" s="2" t="s">
        <v>7677</v>
      </c>
      <c r="K2074" s="2">
        <v>0</v>
      </c>
      <c r="L2074" t="s">
        <v>35</v>
      </c>
      <c r="M2074" t="s">
        <v>29</v>
      </c>
      <c r="N2074" t="s">
        <v>30</v>
      </c>
      <c r="O2074">
        <v>37219</v>
      </c>
      <c r="P2074" t="s">
        <v>7678</v>
      </c>
      <c r="Q2074" s="2">
        <v>8.25</v>
      </c>
      <c r="R2074" s="2">
        <v>140</v>
      </c>
      <c r="S2074" s="2">
        <v>0</v>
      </c>
      <c r="T2074" t="s">
        <v>7679</v>
      </c>
      <c r="U2074" s="6">
        <v>38835</v>
      </c>
      <c r="V2074" s="2">
        <v>47037019114</v>
      </c>
      <c r="W2074" s="2" t="s">
        <v>38</v>
      </c>
      <c r="X2074" s="1">
        <v>45658</v>
      </c>
      <c r="Y2074" s="2">
        <v>371300</v>
      </c>
      <c r="Z2074" s="2">
        <v>0</v>
      </c>
      <c r="AA2074" s="2">
        <v>371300</v>
      </c>
    </row>
    <row r="2075" spans="1:27" x14ac:dyDescent="0.3">
      <c r="A2075" s="3">
        <v>31</v>
      </c>
      <c r="B2075" s="2" t="str">
        <f>"18100029100"</f>
        <v>18100029100</v>
      </c>
      <c r="C2075" s="2" t="s">
        <v>7680</v>
      </c>
      <c r="D2075" t="s">
        <v>1945</v>
      </c>
      <c r="E2075" s="2" t="s">
        <v>30</v>
      </c>
      <c r="F2075" s="2">
        <v>37013</v>
      </c>
      <c r="G2075" s="2" t="s">
        <v>64</v>
      </c>
      <c r="H2075" t="s">
        <v>32</v>
      </c>
      <c r="I2075" s="6">
        <v>41528</v>
      </c>
      <c r="J2075" s="2" t="s">
        <v>7681</v>
      </c>
      <c r="K2075" s="2">
        <v>0</v>
      </c>
      <c r="L2075" t="s">
        <v>35</v>
      </c>
      <c r="M2075" t="s">
        <v>29</v>
      </c>
      <c r="N2075" t="s">
        <v>30</v>
      </c>
      <c r="O2075">
        <v>37219</v>
      </c>
      <c r="P2075" t="s">
        <v>7682</v>
      </c>
      <c r="Q2075" s="2">
        <v>6.99</v>
      </c>
      <c r="R2075" s="2">
        <v>104</v>
      </c>
      <c r="S2075" s="2">
        <v>0</v>
      </c>
      <c r="T2075" t="s">
        <v>7681</v>
      </c>
      <c r="U2075" s="6">
        <v>41528</v>
      </c>
      <c r="V2075" s="2">
        <v>47037019114</v>
      </c>
      <c r="W2075" s="2" t="s">
        <v>38</v>
      </c>
      <c r="X2075" s="1">
        <v>45658</v>
      </c>
      <c r="Y2075" s="2">
        <v>816000</v>
      </c>
      <c r="Z2075" s="2">
        <v>0</v>
      </c>
      <c r="AA2075" s="2">
        <v>816000</v>
      </c>
    </row>
    <row r="2076" spans="1:27" x14ac:dyDescent="0.3">
      <c r="A2076" s="3">
        <v>31</v>
      </c>
      <c r="B2076" s="2" t="str">
        <f>"17300023800"</f>
        <v>17300023800</v>
      </c>
      <c r="C2076" s="2" t="s">
        <v>7683</v>
      </c>
      <c r="D2076" t="s">
        <v>1945</v>
      </c>
      <c r="E2076" s="2" t="s">
        <v>30</v>
      </c>
      <c r="F2076" s="2">
        <v>37013</v>
      </c>
      <c r="G2076" s="2" t="s">
        <v>31</v>
      </c>
      <c r="H2076" t="s">
        <v>32</v>
      </c>
      <c r="I2076" s="6">
        <v>41218</v>
      </c>
      <c r="J2076" s="2" t="s">
        <v>7684</v>
      </c>
      <c r="K2076" s="2">
        <v>0</v>
      </c>
      <c r="L2076" t="s">
        <v>35</v>
      </c>
      <c r="M2076" t="s">
        <v>29</v>
      </c>
      <c r="N2076" t="s">
        <v>30</v>
      </c>
      <c r="O2076">
        <v>37219</v>
      </c>
      <c r="P2076" t="s">
        <v>7685</v>
      </c>
      <c r="Q2076" s="2">
        <v>0.39</v>
      </c>
      <c r="R2076" s="2">
        <v>0</v>
      </c>
      <c r="S2076" s="2">
        <v>0</v>
      </c>
      <c r="T2076" t="s">
        <v>7684</v>
      </c>
      <c r="U2076" s="6">
        <v>41218</v>
      </c>
      <c r="V2076" s="2">
        <v>47037019114</v>
      </c>
      <c r="W2076" s="2" t="s">
        <v>38</v>
      </c>
      <c r="X2076" s="1">
        <v>45658</v>
      </c>
      <c r="Y2076" s="2">
        <v>3300</v>
      </c>
      <c r="Z2076" s="2">
        <v>0</v>
      </c>
      <c r="AA2076" s="2">
        <v>3300</v>
      </c>
    </row>
    <row r="2077" spans="1:27" x14ac:dyDescent="0.3">
      <c r="A2077" s="3">
        <v>31</v>
      </c>
      <c r="B2077" s="2" t="str">
        <f>"17400011800"</f>
        <v>17400011800</v>
      </c>
      <c r="C2077" s="2" t="s">
        <v>7686</v>
      </c>
      <c r="D2077" t="s">
        <v>1945</v>
      </c>
      <c r="E2077" s="2" t="s">
        <v>30</v>
      </c>
      <c r="F2077" s="2">
        <v>37013</v>
      </c>
      <c r="G2077" s="2" t="s">
        <v>31</v>
      </c>
      <c r="H2077" t="s">
        <v>32</v>
      </c>
      <c r="I2077" s="6">
        <v>42257</v>
      </c>
      <c r="J2077" s="2" t="s">
        <v>7670</v>
      </c>
      <c r="K2077" s="2">
        <v>0</v>
      </c>
      <c r="L2077" t="s">
        <v>35</v>
      </c>
      <c r="M2077" t="s">
        <v>29</v>
      </c>
      <c r="N2077" t="s">
        <v>30</v>
      </c>
      <c r="O2077">
        <v>37219</v>
      </c>
      <c r="P2077" t="s">
        <v>7687</v>
      </c>
      <c r="Q2077" s="2">
        <v>7.94</v>
      </c>
      <c r="R2077" s="2">
        <v>0</v>
      </c>
      <c r="S2077" s="2">
        <v>0</v>
      </c>
      <c r="T2077" t="s">
        <v>7688</v>
      </c>
      <c r="U2077" s="6">
        <v>29028</v>
      </c>
      <c r="V2077" s="2">
        <v>47037019114</v>
      </c>
      <c r="W2077" s="2" t="s">
        <v>38</v>
      </c>
      <c r="X2077" s="1">
        <v>45658</v>
      </c>
      <c r="Y2077" s="2">
        <v>201600</v>
      </c>
      <c r="Z2077" s="2">
        <v>0</v>
      </c>
      <c r="AA2077" s="2">
        <v>201600</v>
      </c>
    </row>
    <row r="2078" spans="1:27" x14ac:dyDescent="0.3">
      <c r="A2078" s="3">
        <v>31</v>
      </c>
      <c r="B2078" s="2" t="str">
        <f>"17400011900"</f>
        <v>17400011900</v>
      </c>
      <c r="C2078" s="2" t="s">
        <v>7669</v>
      </c>
      <c r="D2078" t="s">
        <v>1945</v>
      </c>
      <c r="E2078" s="2" t="s">
        <v>30</v>
      </c>
      <c r="F2078" s="2">
        <v>37013</v>
      </c>
      <c r="G2078" s="2" t="s">
        <v>31</v>
      </c>
      <c r="H2078" t="s">
        <v>32</v>
      </c>
      <c r="I2078" s="6">
        <v>42257</v>
      </c>
      <c r="J2078" s="2" t="s">
        <v>7670</v>
      </c>
      <c r="K2078" s="2">
        <v>0</v>
      </c>
      <c r="L2078" t="s">
        <v>35</v>
      </c>
      <c r="M2078" t="s">
        <v>29</v>
      </c>
      <c r="N2078" t="s">
        <v>30</v>
      </c>
      <c r="O2078">
        <v>37219</v>
      </c>
      <c r="P2078" t="s">
        <v>7689</v>
      </c>
      <c r="Q2078" s="2">
        <v>2.54</v>
      </c>
      <c r="R2078" s="2">
        <v>0</v>
      </c>
      <c r="S2078" s="2">
        <v>0</v>
      </c>
      <c r="T2078" t="s">
        <v>7690</v>
      </c>
      <c r="U2078" s="6">
        <v>17458</v>
      </c>
      <c r="V2078" s="2">
        <v>47037019114</v>
      </c>
      <c r="W2078" s="2" t="s">
        <v>38</v>
      </c>
      <c r="X2078" s="1">
        <v>45658</v>
      </c>
      <c r="Y2078" s="2">
        <v>64300</v>
      </c>
      <c r="Z2078" s="2">
        <v>0</v>
      </c>
      <c r="AA2078" s="2">
        <v>64300</v>
      </c>
    </row>
    <row r="2079" spans="1:27" x14ac:dyDescent="0.3">
      <c r="A2079" s="3">
        <v>31</v>
      </c>
      <c r="B2079" s="2" t="str">
        <f>"16210020100"</f>
        <v>16210020100</v>
      </c>
      <c r="C2079" s="2" t="s">
        <v>7691</v>
      </c>
      <c r="D2079" t="s">
        <v>1945</v>
      </c>
      <c r="E2079" s="2" t="s">
        <v>30</v>
      </c>
      <c r="F2079" s="2">
        <v>37013</v>
      </c>
      <c r="G2079" s="2" t="s">
        <v>194</v>
      </c>
      <c r="H2079" t="s">
        <v>7692</v>
      </c>
      <c r="I2079" s="6">
        <v>44817</v>
      </c>
      <c r="J2079" s="2" t="s">
        <v>7693</v>
      </c>
      <c r="K2079" s="2">
        <v>0</v>
      </c>
      <c r="L2079" t="s">
        <v>1104</v>
      </c>
      <c r="M2079" t="s">
        <v>29</v>
      </c>
      <c r="N2079" t="s">
        <v>30</v>
      </c>
      <c r="O2079">
        <v>37208</v>
      </c>
      <c r="P2079" t="s">
        <v>7694</v>
      </c>
      <c r="Q2079" s="2">
        <v>0.24</v>
      </c>
      <c r="R2079" s="2">
        <v>76</v>
      </c>
      <c r="S2079" s="2">
        <v>160</v>
      </c>
      <c r="T2079" t="s">
        <v>7695</v>
      </c>
      <c r="U2079" s="6">
        <v>28268</v>
      </c>
      <c r="V2079" s="2">
        <v>47037019110</v>
      </c>
      <c r="W2079" s="2" t="s">
        <v>68</v>
      </c>
      <c r="X2079" s="1">
        <v>45658</v>
      </c>
      <c r="Y2079" s="2">
        <v>69000</v>
      </c>
      <c r="Z2079" s="2">
        <v>0</v>
      </c>
      <c r="AA2079" s="2">
        <v>69000</v>
      </c>
    </row>
    <row r="2080" spans="1:27" x14ac:dyDescent="0.3">
      <c r="A2080" s="3">
        <v>31</v>
      </c>
      <c r="B2080" s="2" t="str">
        <f>"16213010900"</f>
        <v>16213010900</v>
      </c>
      <c r="C2080" s="2" t="s">
        <v>7696</v>
      </c>
      <c r="D2080" t="s">
        <v>1945</v>
      </c>
      <c r="E2080" s="2" t="s">
        <v>30</v>
      </c>
      <c r="F2080" s="2">
        <v>37013</v>
      </c>
      <c r="G2080" s="2" t="s">
        <v>64</v>
      </c>
      <c r="H2080" t="s">
        <v>99</v>
      </c>
      <c r="I2080" s="6">
        <v>43290</v>
      </c>
      <c r="J2080" s="2" t="s">
        <v>7697</v>
      </c>
      <c r="K2080" s="2">
        <v>507</v>
      </c>
      <c r="L2080" t="s">
        <v>893</v>
      </c>
      <c r="M2080" t="s">
        <v>29</v>
      </c>
      <c r="N2080" t="s">
        <v>30</v>
      </c>
      <c r="O2080">
        <v>37219</v>
      </c>
      <c r="P2080" t="s">
        <v>7698</v>
      </c>
      <c r="Q2080" s="2">
        <v>0.05</v>
      </c>
      <c r="R2080" s="2">
        <v>33</v>
      </c>
      <c r="S2080" s="2">
        <v>163</v>
      </c>
      <c r="T2080" t="s">
        <v>7699</v>
      </c>
      <c r="U2080" s="6">
        <v>26648</v>
      </c>
      <c r="V2080" s="2">
        <v>47037019112</v>
      </c>
      <c r="W2080" s="2" t="s">
        <v>68</v>
      </c>
      <c r="X2080" s="1">
        <v>45658</v>
      </c>
      <c r="Y2080" s="2">
        <v>1500</v>
      </c>
      <c r="Z2080" s="2">
        <v>0</v>
      </c>
      <c r="AA2080" s="2">
        <v>1500</v>
      </c>
    </row>
    <row r="2081" spans="1:27" x14ac:dyDescent="0.3">
      <c r="A2081" s="3">
        <v>31</v>
      </c>
      <c r="B2081" s="2" t="str">
        <f>"16200003900"</f>
        <v>16200003900</v>
      </c>
      <c r="C2081" s="2" t="s">
        <v>7700</v>
      </c>
      <c r="D2081" t="s">
        <v>29</v>
      </c>
      <c r="E2081" s="2" t="s">
        <v>30</v>
      </c>
      <c r="F2081" s="2">
        <v>37211</v>
      </c>
      <c r="G2081" s="2" t="s">
        <v>152</v>
      </c>
      <c r="H2081" t="s">
        <v>176</v>
      </c>
      <c r="I2081" s="6">
        <v>22755</v>
      </c>
      <c r="J2081" s="2" t="s">
        <v>7701</v>
      </c>
      <c r="K2081" s="2" t="s">
        <v>34</v>
      </c>
      <c r="L2081" t="s">
        <v>178</v>
      </c>
      <c r="M2081" t="s">
        <v>29</v>
      </c>
      <c r="N2081" t="s">
        <v>30</v>
      </c>
      <c r="O2081">
        <v>37246</v>
      </c>
      <c r="P2081" t="s">
        <v>7702</v>
      </c>
      <c r="Q2081" s="2">
        <v>5.22</v>
      </c>
      <c r="R2081" s="2">
        <v>0</v>
      </c>
      <c r="S2081" s="2">
        <v>0</v>
      </c>
      <c r="T2081" t="s">
        <v>7701</v>
      </c>
      <c r="U2081" s="6">
        <v>22755</v>
      </c>
      <c r="V2081" s="2">
        <v>47037019110</v>
      </c>
      <c r="W2081" s="2" t="s">
        <v>68</v>
      </c>
      <c r="X2081" s="1">
        <v>45658</v>
      </c>
      <c r="Y2081" s="2">
        <v>392500</v>
      </c>
      <c r="Z2081" s="2">
        <v>0</v>
      </c>
      <c r="AA2081" s="2">
        <v>392500</v>
      </c>
    </row>
    <row r="2082" spans="1:27" x14ac:dyDescent="0.3">
      <c r="A2082" s="3">
        <v>31</v>
      </c>
      <c r="B2082" s="2" t="str">
        <f>"16206019700"</f>
        <v>16206019700</v>
      </c>
      <c r="C2082" s="2" t="s">
        <v>7703</v>
      </c>
      <c r="D2082" t="s">
        <v>29</v>
      </c>
      <c r="E2082" s="2" t="s">
        <v>30</v>
      </c>
      <c r="F2082" s="2">
        <v>37211</v>
      </c>
      <c r="G2082" s="2" t="s">
        <v>64</v>
      </c>
      <c r="H2082" t="s">
        <v>211</v>
      </c>
      <c r="I2082" s="6">
        <v>29230</v>
      </c>
      <c r="J2082" s="2" t="s">
        <v>7704</v>
      </c>
      <c r="K2082" s="2">
        <v>350</v>
      </c>
      <c r="L2082" t="s">
        <v>35</v>
      </c>
      <c r="M2082" t="s">
        <v>29</v>
      </c>
      <c r="N2082" t="s">
        <v>30</v>
      </c>
      <c r="O2082">
        <v>37219</v>
      </c>
      <c r="P2082" t="s">
        <v>7705</v>
      </c>
      <c r="Q2082" s="2">
        <v>0.16</v>
      </c>
      <c r="R2082" s="2">
        <v>71</v>
      </c>
      <c r="S2082" s="2">
        <v>144</v>
      </c>
      <c r="T2082" t="s">
        <v>7706</v>
      </c>
      <c r="U2082" s="6">
        <v>24755</v>
      </c>
      <c r="V2082" s="2">
        <v>47037019110</v>
      </c>
      <c r="W2082" s="2" t="s">
        <v>68</v>
      </c>
      <c r="X2082" s="1">
        <v>45658</v>
      </c>
      <c r="Y2082" s="2">
        <v>9000</v>
      </c>
      <c r="Z2082" s="2">
        <v>0</v>
      </c>
      <c r="AA2082" s="2">
        <v>9000</v>
      </c>
    </row>
    <row r="2083" spans="1:27" x14ac:dyDescent="0.3">
      <c r="A2083" s="3">
        <v>31</v>
      </c>
      <c r="B2083" s="2" t="str">
        <f>"16206019800"</f>
        <v>16206019800</v>
      </c>
      <c r="C2083" s="2" t="s">
        <v>7707</v>
      </c>
      <c r="D2083" t="s">
        <v>29</v>
      </c>
      <c r="E2083" s="2" t="s">
        <v>30</v>
      </c>
      <c r="F2083" s="2">
        <v>37211</v>
      </c>
      <c r="G2083" s="2" t="s">
        <v>64</v>
      </c>
      <c r="H2083" t="s">
        <v>211</v>
      </c>
      <c r="I2083" s="6">
        <v>29230</v>
      </c>
      <c r="J2083" s="2" t="s">
        <v>7708</v>
      </c>
      <c r="K2083" s="2">
        <v>346</v>
      </c>
      <c r="L2083" t="s">
        <v>35</v>
      </c>
      <c r="M2083" t="s">
        <v>29</v>
      </c>
      <c r="N2083" t="s">
        <v>30</v>
      </c>
      <c r="O2083">
        <v>37219</v>
      </c>
      <c r="P2083" t="s">
        <v>7709</v>
      </c>
      <c r="Q2083" s="2">
        <v>0.25</v>
      </c>
      <c r="R2083" s="2">
        <v>70</v>
      </c>
      <c r="S2083" s="2">
        <v>144</v>
      </c>
      <c r="T2083" t="s">
        <v>7706</v>
      </c>
      <c r="U2083" s="6">
        <v>24755</v>
      </c>
      <c r="V2083" s="2">
        <v>47037019110</v>
      </c>
      <c r="W2083" s="2" t="s">
        <v>68</v>
      </c>
      <c r="X2083" s="1">
        <v>45658</v>
      </c>
      <c r="Y2083" s="2">
        <v>10000</v>
      </c>
      <c r="Z2083" s="2">
        <v>0</v>
      </c>
      <c r="AA2083" s="2">
        <v>10000</v>
      </c>
    </row>
    <row r="2084" spans="1:27" x14ac:dyDescent="0.3">
      <c r="A2084" s="3">
        <v>31</v>
      </c>
      <c r="B2084" s="2" t="str">
        <f>"16206019900"</f>
        <v>16206019900</v>
      </c>
      <c r="C2084" s="2" t="s">
        <v>7710</v>
      </c>
      <c r="D2084" t="s">
        <v>29</v>
      </c>
      <c r="E2084" s="2" t="s">
        <v>30</v>
      </c>
      <c r="F2084" s="2">
        <v>37211</v>
      </c>
      <c r="G2084" s="2" t="s">
        <v>64</v>
      </c>
      <c r="H2084" t="s">
        <v>211</v>
      </c>
      <c r="I2084" s="6">
        <v>29230</v>
      </c>
      <c r="J2084" s="2" t="s">
        <v>7711</v>
      </c>
      <c r="K2084" s="2">
        <v>356</v>
      </c>
      <c r="L2084" t="s">
        <v>35</v>
      </c>
      <c r="M2084" t="s">
        <v>29</v>
      </c>
      <c r="N2084" t="s">
        <v>30</v>
      </c>
      <c r="O2084">
        <v>37219</v>
      </c>
      <c r="P2084" t="s">
        <v>7712</v>
      </c>
      <c r="Q2084" s="2">
        <v>0.25</v>
      </c>
      <c r="R2084" s="2">
        <v>73</v>
      </c>
      <c r="S2084" s="2">
        <v>144</v>
      </c>
      <c r="T2084" t="s">
        <v>7706</v>
      </c>
      <c r="U2084" s="6">
        <v>24755</v>
      </c>
      <c r="V2084" s="2">
        <v>47037019110</v>
      </c>
      <c r="W2084" s="2" t="s">
        <v>68</v>
      </c>
      <c r="X2084" s="1">
        <v>45658</v>
      </c>
      <c r="Y2084" s="2">
        <v>10000</v>
      </c>
      <c r="Z2084" s="2">
        <v>0</v>
      </c>
      <c r="AA2084" s="2">
        <v>10000</v>
      </c>
    </row>
    <row r="2085" spans="1:27" x14ac:dyDescent="0.3">
      <c r="A2085" s="3">
        <v>31</v>
      </c>
      <c r="B2085" s="2" t="str">
        <f>"16206020000"</f>
        <v>16206020000</v>
      </c>
      <c r="C2085" s="2" t="s">
        <v>7713</v>
      </c>
      <c r="D2085" t="s">
        <v>29</v>
      </c>
      <c r="E2085" s="2" t="s">
        <v>30</v>
      </c>
      <c r="F2085" s="2">
        <v>37211</v>
      </c>
      <c r="G2085" s="2" t="s">
        <v>64</v>
      </c>
      <c r="H2085" t="s">
        <v>211</v>
      </c>
      <c r="I2085" s="6">
        <v>29230</v>
      </c>
      <c r="J2085" s="2" t="s">
        <v>7714</v>
      </c>
      <c r="K2085" s="2">
        <v>370</v>
      </c>
      <c r="L2085" t="s">
        <v>35</v>
      </c>
      <c r="M2085" t="s">
        <v>29</v>
      </c>
      <c r="N2085" t="s">
        <v>30</v>
      </c>
      <c r="O2085">
        <v>37219</v>
      </c>
      <c r="P2085" t="s">
        <v>7715</v>
      </c>
      <c r="Q2085" s="2">
        <v>0.23</v>
      </c>
      <c r="R2085" s="2">
        <v>81</v>
      </c>
      <c r="S2085" s="2">
        <v>135</v>
      </c>
      <c r="T2085" t="s">
        <v>7706</v>
      </c>
      <c r="U2085" s="6">
        <v>24755</v>
      </c>
      <c r="V2085" s="2">
        <v>47037019110</v>
      </c>
      <c r="W2085" s="2" t="s">
        <v>68</v>
      </c>
      <c r="X2085" s="1">
        <v>45658</v>
      </c>
      <c r="Y2085" s="2">
        <v>10000</v>
      </c>
      <c r="Z2085" s="2">
        <v>0</v>
      </c>
      <c r="AA2085" s="2">
        <v>10000</v>
      </c>
    </row>
    <row r="2086" spans="1:27" x14ac:dyDescent="0.3">
      <c r="A2086" s="3">
        <v>31</v>
      </c>
      <c r="B2086" s="2" t="str">
        <f>"16206020100"</f>
        <v>16206020100</v>
      </c>
      <c r="C2086" s="2" t="s">
        <v>7716</v>
      </c>
      <c r="D2086" t="s">
        <v>29</v>
      </c>
      <c r="E2086" s="2" t="s">
        <v>30</v>
      </c>
      <c r="F2086" s="2">
        <v>37211</v>
      </c>
      <c r="G2086" s="2" t="s">
        <v>64</v>
      </c>
      <c r="H2086" t="s">
        <v>211</v>
      </c>
      <c r="I2086" s="6">
        <v>29230</v>
      </c>
      <c r="J2086" s="2" t="s">
        <v>7717</v>
      </c>
      <c r="K2086" s="2">
        <v>392</v>
      </c>
      <c r="L2086" t="s">
        <v>35</v>
      </c>
      <c r="M2086" t="s">
        <v>29</v>
      </c>
      <c r="N2086" t="s">
        <v>30</v>
      </c>
      <c r="O2086">
        <v>37219</v>
      </c>
      <c r="P2086" t="s">
        <v>7718</v>
      </c>
      <c r="Q2086" s="2">
        <v>0.23</v>
      </c>
      <c r="R2086" s="2">
        <v>85</v>
      </c>
      <c r="S2086" s="2">
        <v>126</v>
      </c>
      <c r="T2086" t="s">
        <v>7706</v>
      </c>
      <c r="U2086" s="6">
        <v>24755</v>
      </c>
      <c r="V2086" s="2">
        <v>47037019110</v>
      </c>
      <c r="W2086" s="2" t="s">
        <v>68</v>
      </c>
      <c r="X2086" s="1">
        <v>45658</v>
      </c>
      <c r="Y2086" s="2">
        <v>10000</v>
      </c>
      <c r="Z2086" s="2">
        <v>0</v>
      </c>
      <c r="AA2086" s="2">
        <v>10000</v>
      </c>
    </row>
    <row r="2087" spans="1:27" x14ac:dyDescent="0.3">
      <c r="A2087" s="3">
        <v>31</v>
      </c>
      <c r="B2087" s="2" t="str">
        <f>"16206020200"</f>
        <v>16206020200</v>
      </c>
      <c r="C2087" s="2" t="s">
        <v>7719</v>
      </c>
      <c r="D2087" t="s">
        <v>29</v>
      </c>
      <c r="E2087" s="2" t="s">
        <v>30</v>
      </c>
      <c r="F2087" s="2">
        <v>37211</v>
      </c>
      <c r="G2087" s="2" t="s">
        <v>64</v>
      </c>
      <c r="H2087" t="s">
        <v>211</v>
      </c>
      <c r="I2087" s="6">
        <v>29230</v>
      </c>
      <c r="J2087" s="2" t="s">
        <v>7720</v>
      </c>
      <c r="K2087" s="2">
        <v>441</v>
      </c>
      <c r="L2087" t="s">
        <v>35</v>
      </c>
      <c r="M2087" t="s">
        <v>29</v>
      </c>
      <c r="N2087" t="s">
        <v>30</v>
      </c>
      <c r="O2087">
        <v>37219</v>
      </c>
      <c r="P2087" t="s">
        <v>7721</v>
      </c>
      <c r="Q2087" s="2">
        <v>0.23</v>
      </c>
      <c r="R2087" s="2">
        <v>129</v>
      </c>
      <c r="S2087" s="2">
        <v>115</v>
      </c>
      <c r="T2087" t="s">
        <v>7706</v>
      </c>
      <c r="U2087" s="6">
        <v>24755</v>
      </c>
      <c r="V2087" s="2">
        <v>47037019110</v>
      </c>
      <c r="W2087" s="2" t="s">
        <v>68</v>
      </c>
      <c r="X2087" s="1">
        <v>45658</v>
      </c>
      <c r="Y2087" s="2">
        <v>10000</v>
      </c>
      <c r="Z2087" s="2">
        <v>0</v>
      </c>
      <c r="AA2087" s="2">
        <v>10000</v>
      </c>
    </row>
    <row r="2088" spans="1:27" x14ac:dyDescent="0.3">
      <c r="A2088" s="3">
        <v>31</v>
      </c>
      <c r="B2088" s="2" t="str">
        <f>"16206018900"</f>
        <v>16206018900</v>
      </c>
      <c r="C2088" s="2" t="s">
        <v>7722</v>
      </c>
      <c r="D2088" t="s">
        <v>29</v>
      </c>
      <c r="E2088" s="2" t="s">
        <v>30</v>
      </c>
      <c r="F2088" s="2">
        <v>37211</v>
      </c>
      <c r="G2088" s="2" t="s">
        <v>64</v>
      </c>
      <c r="H2088" t="s">
        <v>211</v>
      </c>
      <c r="I2088" s="6">
        <v>29230</v>
      </c>
      <c r="J2088" s="2" t="s">
        <v>7723</v>
      </c>
      <c r="K2088" s="2">
        <v>343</v>
      </c>
      <c r="L2088" t="s">
        <v>35</v>
      </c>
      <c r="M2088" t="s">
        <v>29</v>
      </c>
      <c r="N2088" t="s">
        <v>30</v>
      </c>
      <c r="O2088">
        <v>37219</v>
      </c>
      <c r="P2088" t="s">
        <v>7724</v>
      </c>
      <c r="Q2088" s="2">
        <v>0.28000000000000003</v>
      </c>
      <c r="R2088" s="2">
        <v>55</v>
      </c>
      <c r="S2088" s="2">
        <v>208</v>
      </c>
      <c r="T2088" t="s">
        <v>7706</v>
      </c>
      <c r="U2088" s="6">
        <v>24755</v>
      </c>
      <c r="V2088" s="2">
        <v>47037019110</v>
      </c>
      <c r="W2088" s="2" t="s">
        <v>68</v>
      </c>
      <c r="X2088" s="1">
        <v>45658</v>
      </c>
      <c r="Y2088" s="2">
        <v>73000</v>
      </c>
      <c r="Z2088" s="2">
        <v>0</v>
      </c>
      <c r="AA2088" s="2">
        <v>73000</v>
      </c>
    </row>
    <row r="2089" spans="1:27" x14ac:dyDescent="0.3">
      <c r="A2089" s="3">
        <v>31</v>
      </c>
      <c r="B2089" s="2" t="str">
        <f>"16206019000"</f>
        <v>16206019000</v>
      </c>
      <c r="C2089" s="2" t="s">
        <v>7725</v>
      </c>
      <c r="D2089" t="s">
        <v>29</v>
      </c>
      <c r="E2089" s="2" t="s">
        <v>30</v>
      </c>
      <c r="F2089" s="2">
        <v>37211</v>
      </c>
      <c r="G2089" s="2" t="s">
        <v>64</v>
      </c>
      <c r="H2089" t="s">
        <v>211</v>
      </c>
      <c r="I2089" s="6">
        <v>29230</v>
      </c>
      <c r="J2089" s="2" t="s">
        <v>7726</v>
      </c>
      <c r="K2089" s="2">
        <v>385</v>
      </c>
      <c r="L2089" t="s">
        <v>35</v>
      </c>
      <c r="M2089" t="s">
        <v>29</v>
      </c>
      <c r="N2089" t="s">
        <v>30</v>
      </c>
      <c r="O2089">
        <v>37219</v>
      </c>
      <c r="P2089" t="s">
        <v>7727</v>
      </c>
      <c r="Q2089" s="2">
        <v>0.36</v>
      </c>
      <c r="R2089" s="2">
        <v>55</v>
      </c>
      <c r="S2089" s="2">
        <v>208</v>
      </c>
      <c r="T2089" t="s">
        <v>7706</v>
      </c>
      <c r="U2089" s="6">
        <v>24755</v>
      </c>
      <c r="V2089" s="2">
        <v>47037019110</v>
      </c>
      <c r="W2089" s="2" t="s">
        <v>68</v>
      </c>
      <c r="X2089" s="1">
        <v>45658</v>
      </c>
      <c r="Y2089" s="2">
        <v>73000</v>
      </c>
      <c r="Z2089" s="2">
        <v>0</v>
      </c>
      <c r="AA2089" s="2">
        <v>73000</v>
      </c>
    </row>
    <row r="2090" spans="1:27" x14ac:dyDescent="0.3">
      <c r="A2090" s="3">
        <v>31</v>
      </c>
      <c r="B2090" s="2" t="str">
        <f>"16206018500"</f>
        <v>16206018500</v>
      </c>
      <c r="C2090" s="2" t="s">
        <v>7728</v>
      </c>
      <c r="D2090" t="s">
        <v>29</v>
      </c>
      <c r="E2090" s="2" t="s">
        <v>30</v>
      </c>
      <c r="F2090" s="2">
        <v>37211</v>
      </c>
      <c r="G2090" s="2" t="s">
        <v>64</v>
      </c>
      <c r="H2090" t="s">
        <v>211</v>
      </c>
      <c r="I2090" s="6">
        <v>29300</v>
      </c>
      <c r="J2090" s="2" t="s">
        <v>7729</v>
      </c>
      <c r="K2090" s="2" t="s">
        <v>34</v>
      </c>
      <c r="L2090" t="s">
        <v>35</v>
      </c>
      <c r="M2090" t="s">
        <v>29</v>
      </c>
      <c r="N2090" t="s">
        <v>30</v>
      </c>
      <c r="O2090">
        <v>37219</v>
      </c>
      <c r="P2090" t="s">
        <v>7730</v>
      </c>
      <c r="Q2090" s="2">
        <v>0.34</v>
      </c>
      <c r="R2090" s="2">
        <v>71</v>
      </c>
      <c r="S2090" s="2">
        <v>193</v>
      </c>
      <c r="T2090" t="s">
        <v>7706</v>
      </c>
      <c r="U2090" s="6">
        <v>24755</v>
      </c>
      <c r="V2090" s="2">
        <v>47037019110</v>
      </c>
      <c r="W2090" s="2" t="s">
        <v>68</v>
      </c>
      <c r="X2090" s="1">
        <v>45658</v>
      </c>
      <c r="Y2090" s="2">
        <v>73000</v>
      </c>
      <c r="Z2090" s="2">
        <v>0</v>
      </c>
      <c r="AA2090" s="2">
        <v>73000</v>
      </c>
    </row>
    <row r="2091" spans="1:27" x14ac:dyDescent="0.3">
      <c r="A2091" s="3">
        <v>31</v>
      </c>
      <c r="B2091" s="2" t="str">
        <f>"16206018400"</f>
        <v>16206018400</v>
      </c>
      <c r="C2091" s="2" t="s">
        <v>7731</v>
      </c>
      <c r="D2091" t="s">
        <v>29</v>
      </c>
      <c r="E2091" s="2" t="s">
        <v>30</v>
      </c>
      <c r="F2091" s="2">
        <v>37211</v>
      </c>
      <c r="G2091" s="2" t="s">
        <v>64</v>
      </c>
      <c r="H2091" t="s">
        <v>211</v>
      </c>
      <c r="I2091" s="6">
        <v>29300</v>
      </c>
      <c r="J2091" s="2" t="s">
        <v>7732</v>
      </c>
      <c r="K2091" s="2" t="s">
        <v>34</v>
      </c>
      <c r="L2091" t="s">
        <v>35</v>
      </c>
      <c r="M2091" t="s">
        <v>29</v>
      </c>
      <c r="N2091" t="s">
        <v>30</v>
      </c>
      <c r="O2091">
        <v>37219</v>
      </c>
      <c r="P2091" t="s">
        <v>7733</v>
      </c>
      <c r="Q2091" s="2">
        <v>0.28999999999999998</v>
      </c>
      <c r="R2091" s="2">
        <v>71</v>
      </c>
      <c r="S2091" s="2">
        <v>159</v>
      </c>
      <c r="T2091" t="s">
        <v>7706</v>
      </c>
      <c r="U2091" s="6">
        <v>24755</v>
      </c>
      <c r="V2091" s="2">
        <v>47037019110</v>
      </c>
      <c r="W2091" s="2" t="s">
        <v>68</v>
      </c>
      <c r="X2091" s="1">
        <v>45658</v>
      </c>
      <c r="Y2091" s="2">
        <v>73000</v>
      </c>
      <c r="Z2091" s="2">
        <v>0</v>
      </c>
      <c r="AA2091" s="2">
        <v>73000</v>
      </c>
    </row>
    <row r="2092" spans="1:27" x14ac:dyDescent="0.3">
      <c r="A2092" s="3">
        <v>31</v>
      </c>
      <c r="B2092" s="2" t="str">
        <f>"16206018300"</f>
        <v>16206018300</v>
      </c>
      <c r="C2092" s="2" t="s">
        <v>7734</v>
      </c>
      <c r="D2092" t="s">
        <v>29</v>
      </c>
      <c r="E2092" s="2" t="s">
        <v>30</v>
      </c>
      <c r="F2092" s="2">
        <v>37211</v>
      </c>
      <c r="G2092" s="2" t="s">
        <v>64</v>
      </c>
      <c r="H2092" t="s">
        <v>211</v>
      </c>
      <c r="I2092" s="6">
        <v>29300</v>
      </c>
      <c r="J2092" s="2" t="s">
        <v>7735</v>
      </c>
      <c r="K2092" s="2" t="s">
        <v>34</v>
      </c>
      <c r="L2092" t="s">
        <v>35</v>
      </c>
      <c r="M2092" t="s">
        <v>29</v>
      </c>
      <c r="N2092" t="s">
        <v>30</v>
      </c>
      <c r="O2092">
        <v>37219</v>
      </c>
      <c r="P2092" t="s">
        <v>7736</v>
      </c>
      <c r="Q2092" s="2">
        <v>0.27</v>
      </c>
      <c r="R2092" s="2">
        <v>71</v>
      </c>
      <c r="S2092" s="2">
        <v>139</v>
      </c>
      <c r="T2092" t="s">
        <v>7706</v>
      </c>
      <c r="U2092" s="6">
        <v>24755</v>
      </c>
      <c r="V2092" s="2">
        <v>47037019110</v>
      </c>
      <c r="W2092" s="2" t="s">
        <v>68</v>
      </c>
      <c r="X2092" s="1">
        <v>45658</v>
      </c>
      <c r="Y2092" s="2">
        <v>73000</v>
      </c>
      <c r="Z2092" s="2">
        <v>0</v>
      </c>
      <c r="AA2092" s="2">
        <v>73000</v>
      </c>
    </row>
    <row r="2093" spans="1:27" x14ac:dyDescent="0.3">
      <c r="A2093" s="3">
        <v>31</v>
      </c>
      <c r="B2093" s="2" t="str">
        <f>"16206018200"</f>
        <v>16206018200</v>
      </c>
      <c r="C2093" s="2" t="s">
        <v>7737</v>
      </c>
      <c r="D2093" t="s">
        <v>29</v>
      </c>
      <c r="E2093" s="2" t="s">
        <v>30</v>
      </c>
      <c r="F2093" s="2">
        <v>37211</v>
      </c>
      <c r="G2093" s="2" t="s">
        <v>64</v>
      </c>
      <c r="H2093" t="s">
        <v>211</v>
      </c>
      <c r="I2093" s="6">
        <v>29300</v>
      </c>
      <c r="J2093" s="2" t="s">
        <v>7738</v>
      </c>
      <c r="K2093" s="2" t="s">
        <v>34</v>
      </c>
      <c r="L2093" t="s">
        <v>35</v>
      </c>
      <c r="M2093" t="s">
        <v>29</v>
      </c>
      <c r="N2093" t="s">
        <v>30</v>
      </c>
      <c r="O2093">
        <v>37219</v>
      </c>
      <c r="P2093" t="s">
        <v>7739</v>
      </c>
      <c r="Q2093" s="2">
        <v>0.25</v>
      </c>
      <c r="R2093" s="2">
        <v>78</v>
      </c>
      <c r="S2093" s="2">
        <v>129</v>
      </c>
      <c r="T2093" t="s">
        <v>7706</v>
      </c>
      <c r="U2093" s="6">
        <v>24755</v>
      </c>
      <c r="V2093" s="2">
        <v>47037019110</v>
      </c>
      <c r="W2093" s="2" t="s">
        <v>68</v>
      </c>
      <c r="X2093" s="1">
        <v>45658</v>
      </c>
      <c r="Y2093" s="2">
        <v>73000</v>
      </c>
      <c r="Z2093" s="2">
        <v>0</v>
      </c>
      <c r="AA2093" s="2">
        <v>73000</v>
      </c>
    </row>
    <row r="2094" spans="1:27" x14ac:dyDescent="0.3">
      <c r="A2094" s="3">
        <v>31</v>
      </c>
      <c r="B2094" s="2" t="str">
        <f>"18200004000"</f>
        <v>18200004000</v>
      </c>
      <c r="C2094" s="2" t="s">
        <v>7740</v>
      </c>
      <c r="D2094" t="s">
        <v>1945</v>
      </c>
      <c r="E2094" s="2" t="s">
        <v>30</v>
      </c>
      <c r="F2094" s="2">
        <v>37013</v>
      </c>
      <c r="G2094" s="2" t="s">
        <v>194</v>
      </c>
      <c r="H2094" t="s">
        <v>211</v>
      </c>
      <c r="I2094" s="6">
        <v>39569</v>
      </c>
      <c r="J2094" s="2" t="s">
        <v>7741</v>
      </c>
      <c r="K2094" s="2">
        <v>0</v>
      </c>
      <c r="L2094" t="s">
        <v>35</v>
      </c>
      <c r="M2094" t="s">
        <v>29</v>
      </c>
      <c r="N2094" t="s">
        <v>30</v>
      </c>
      <c r="O2094">
        <v>37219</v>
      </c>
      <c r="P2094" t="s">
        <v>7742</v>
      </c>
      <c r="Q2094" s="2">
        <v>40</v>
      </c>
      <c r="R2094" s="2">
        <v>0</v>
      </c>
      <c r="S2094" s="2">
        <v>0</v>
      </c>
      <c r="T2094" t="s">
        <v>7743</v>
      </c>
      <c r="U2094" s="6">
        <v>24918</v>
      </c>
      <c r="V2094" s="2">
        <v>47037019114</v>
      </c>
      <c r="W2094" s="2" t="s">
        <v>38</v>
      </c>
      <c r="X2094" s="1">
        <v>45658</v>
      </c>
      <c r="Y2094" s="2">
        <v>1746300</v>
      </c>
      <c r="Z2094" s="2">
        <v>131100</v>
      </c>
      <c r="AA2094" s="2">
        <v>1615200</v>
      </c>
    </row>
    <row r="2095" spans="1:27" x14ac:dyDescent="0.3">
      <c r="A2095" s="3">
        <v>31</v>
      </c>
      <c r="B2095" s="2" t="str">
        <f>"18100002200"</f>
        <v>18100002200</v>
      </c>
      <c r="C2095" s="2" t="s">
        <v>7744</v>
      </c>
      <c r="D2095" t="s">
        <v>1945</v>
      </c>
      <c r="E2095" s="2" t="s">
        <v>30</v>
      </c>
      <c r="F2095" s="2">
        <v>37013</v>
      </c>
      <c r="G2095" s="2" t="s">
        <v>31</v>
      </c>
      <c r="H2095" t="s">
        <v>249</v>
      </c>
      <c r="I2095" s="6">
        <v>39569</v>
      </c>
      <c r="J2095" s="2" t="s">
        <v>7745</v>
      </c>
      <c r="K2095" s="2">
        <v>0</v>
      </c>
      <c r="L2095" t="s">
        <v>35</v>
      </c>
      <c r="M2095" t="s">
        <v>29</v>
      </c>
      <c r="N2095" t="s">
        <v>30</v>
      </c>
      <c r="O2095">
        <v>37219</v>
      </c>
      <c r="P2095" t="s">
        <v>7678</v>
      </c>
      <c r="Q2095" s="2">
        <v>72.319999999999993</v>
      </c>
      <c r="R2095" s="2">
        <v>0</v>
      </c>
      <c r="S2095" s="2">
        <v>0</v>
      </c>
      <c r="T2095" t="s">
        <v>7746</v>
      </c>
      <c r="U2095" s="6">
        <v>44999</v>
      </c>
      <c r="V2095" s="2">
        <v>47037010103</v>
      </c>
      <c r="W2095" s="2" t="s">
        <v>38</v>
      </c>
      <c r="X2095" s="1">
        <v>45658</v>
      </c>
      <c r="Y2095" s="2">
        <v>1627200</v>
      </c>
      <c r="Z2095" s="2">
        <v>0</v>
      </c>
      <c r="AA2095" s="2">
        <v>1627200</v>
      </c>
    </row>
    <row r="2096" spans="1:27" x14ac:dyDescent="0.3">
      <c r="A2096" s="3">
        <v>31</v>
      </c>
      <c r="B2096" s="2" t="str">
        <f>"16210019800"</f>
        <v>16210019800</v>
      </c>
      <c r="C2096" s="2" t="s">
        <v>7747</v>
      </c>
      <c r="D2096" t="s">
        <v>1945</v>
      </c>
      <c r="E2096" s="2" t="s">
        <v>30</v>
      </c>
      <c r="F2096" s="2">
        <v>37013</v>
      </c>
      <c r="G2096" s="2" t="s">
        <v>64</v>
      </c>
      <c r="H2096" t="s">
        <v>280</v>
      </c>
      <c r="I2096" s="6">
        <v>43713</v>
      </c>
      <c r="J2096" s="2" t="s">
        <v>7748</v>
      </c>
      <c r="K2096" s="2" t="s">
        <v>34</v>
      </c>
      <c r="L2096" t="s">
        <v>315</v>
      </c>
      <c r="M2096" t="s">
        <v>29</v>
      </c>
      <c r="N2096" t="s">
        <v>30</v>
      </c>
      <c r="O2096">
        <v>37208</v>
      </c>
      <c r="P2096" t="s">
        <v>7749</v>
      </c>
      <c r="Q2096" s="2">
        <v>0.24</v>
      </c>
      <c r="R2096" s="2">
        <v>152</v>
      </c>
      <c r="S2096" s="2">
        <v>152</v>
      </c>
      <c r="T2096" t="s">
        <v>7750</v>
      </c>
      <c r="U2096" s="6">
        <v>26814</v>
      </c>
      <c r="V2096" s="2">
        <v>47037019110</v>
      </c>
      <c r="W2096" s="2" t="s">
        <v>68</v>
      </c>
      <c r="X2096" s="1">
        <v>45658</v>
      </c>
      <c r="Y2096" s="2">
        <v>69000</v>
      </c>
      <c r="Z2096" s="2">
        <v>0</v>
      </c>
      <c r="AA2096" s="2">
        <v>69000</v>
      </c>
    </row>
    <row r="2097" spans="1:27" x14ac:dyDescent="0.3">
      <c r="A2097" s="3">
        <v>31</v>
      </c>
      <c r="B2097" s="2" t="str">
        <f>"16210020200"</f>
        <v>16210020200</v>
      </c>
      <c r="C2097" s="2" t="s">
        <v>7751</v>
      </c>
      <c r="D2097" t="s">
        <v>1945</v>
      </c>
      <c r="E2097" s="2" t="s">
        <v>30</v>
      </c>
      <c r="F2097" s="2">
        <v>37013</v>
      </c>
      <c r="G2097" s="2" t="s">
        <v>64</v>
      </c>
      <c r="H2097" t="s">
        <v>280</v>
      </c>
      <c r="I2097" s="6">
        <v>38646</v>
      </c>
      <c r="J2097" s="2" t="s">
        <v>7752</v>
      </c>
      <c r="K2097" s="2">
        <v>112500</v>
      </c>
      <c r="L2097" t="s">
        <v>35</v>
      </c>
      <c r="M2097" t="s">
        <v>29</v>
      </c>
      <c r="N2097" t="s">
        <v>30</v>
      </c>
      <c r="O2097">
        <v>37219</v>
      </c>
      <c r="P2097" t="s">
        <v>7753</v>
      </c>
      <c r="Q2097" s="2">
        <v>0.37</v>
      </c>
      <c r="R2097" s="2">
        <v>190</v>
      </c>
      <c r="S2097" s="2">
        <v>131</v>
      </c>
      <c r="T2097" t="s">
        <v>7695</v>
      </c>
      <c r="U2097" s="6">
        <v>28268</v>
      </c>
      <c r="V2097" s="2">
        <v>47037019110</v>
      </c>
      <c r="W2097" s="2" t="s">
        <v>68</v>
      </c>
      <c r="X2097" s="1">
        <v>45658</v>
      </c>
      <c r="Y2097" s="2">
        <v>69000</v>
      </c>
      <c r="Z2097" s="2">
        <v>0</v>
      </c>
      <c r="AA2097" s="2">
        <v>69000</v>
      </c>
    </row>
    <row r="2098" spans="1:27" x14ac:dyDescent="0.3">
      <c r="A2098" s="3">
        <v>31</v>
      </c>
      <c r="B2098" s="2" t="str">
        <f>"16213001600"</f>
        <v>16213001600</v>
      </c>
      <c r="C2098" s="2" t="s">
        <v>7754</v>
      </c>
      <c r="D2098" t="s">
        <v>29</v>
      </c>
      <c r="E2098" s="2" t="s">
        <v>30</v>
      </c>
      <c r="F2098" s="2">
        <v>37211</v>
      </c>
      <c r="G2098" s="2" t="s">
        <v>64</v>
      </c>
      <c r="H2098" t="s">
        <v>280</v>
      </c>
      <c r="I2098" s="6">
        <v>39000</v>
      </c>
      <c r="J2098" s="2" t="s">
        <v>7755</v>
      </c>
      <c r="K2098" s="2">
        <v>121000</v>
      </c>
      <c r="L2098" t="s">
        <v>35</v>
      </c>
      <c r="M2098" t="s">
        <v>29</v>
      </c>
      <c r="N2098" t="s">
        <v>30</v>
      </c>
      <c r="O2098">
        <v>37219</v>
      </c>
      <c r="P2098" t="s">
        <v>7756</v>
      </c>
      <c r="Q2098" s="2">
        <v>0.32</v>
      </c>
      <c r="R2098" s="2">
        <v>35</v>
      </c>
      <c r="S2098" s="2">
        <v>184</v>
      </c>
      <c r="T2098" t="s">
        <v>7757</v>
      </c>
      <c r="U2098" s="6">
        <v>26516</v>
      </c>
      <c r="V2098" s="2">
        <v>47037019112</v>
      </c>
      <c r="W2098" s="2" t="s">
        <v>68</v>
      </c>
      <c r="X2098" s="1">
        <v>45658</v>
      </c>
      <c r="Y2098" s="2">
        <v>71000</v>
      </c>
      <c r="Z2098" s="2">
        <v>0</v>
      </c>
      <c r="AA2098" s="2">
        <v>71000</v>
      </c>
    </row>
    <row r="2099" spans="1:27" x14ac:dyDescent="0.3">
      <c r="A2099" s="3">
        <v>31</v>
      </c>
      <c r="B2099" s="2" t="str">
        <f>"16213000700"</f>
        <v>16213000700</v>
      </c>
      <c r="C2099" s="2" t="s">
        <v>7758</v>
      </c>
      <c r="D2099" t="s">
        <v>29</v>
      </c>
      <c r="E2099" s="2" t="s">
        <v>30</v>
      </c>
      <c r="F2099" s="2">
        <v>37211</v>
      </c>
      <c r="G2099" s="2" t="s">
        <v>64</v>
      </c>
      <c r="H2099" t="s">
        <v>280</v>
      </c>
      <c r="I2099" s="6">
        <v>43580</v>
      </c>
      <c r="J2099" s="2" t="s">
        <v>7759</v>
      </c>
      <c r="K2099" s="2" t="s">
        <v>34</v>
      </c>
      <c r="L2099" t="s">
        <v>315</v>
      </c>
      <c r="M2099" t="s">
        <v>29</v>
      </c>
      <c r="N2099" t="s">
        <v>30</v>
      </c>
      <c r="O2099">
        <v>37208</v>
      </c>
      <c r="P2099" t="s">
        <v>7760</v>
      </c>
      <c r="Q2099" s="2">
        <v>0.28999999999999998</v>
      </c>
      <c r="R2099" s="2">
        <v>80</v>
      </c>
      <c r="S2099" s="2">
        <v>157</v>
      </c>
      <c r="T2099" t="s">
        <v>7757</v>
      </c>
      <c r="U2099" s="6">
        <v>26516</v>
      </c>
      <c r="V2099" s="2">
        <v>47037019112</v>
      </c>
      <c r="W2099" s="2" t="s">
        <v>68</v>
      </c>
      <c r="X2099" s="1">
        <v>45658</v>
      </c>
      <c r="Y2099" s="2">
        <v>71000</v>
      </c>
      <c r="Z2099" s="2">
        <v>0</v>
      </c>
      <c r="AA2099" s="2">
        <v>71000</v>
      </c>
    </row>
    <row r="2100" spans="1:27" x14ac:dyDescent="0.3">
      <c r="A2100" s="3">
        <v>31</v>
      </c>
      <c r="B2100" s="2" t="str">
        <f>"16213001700"</f>
        <v>16213001700</v>
      </c>
      <c r="C2100" s="2" t="s">
        <v>7761</v>
      </c>
      <c r="D2100" t="s">
        <v>29</v>
      </c>
      <c r="E2100" s="2" t="s">
        <v>30</v>
      </c>
      <c r="F2100" s="2">
        <v>37211</v>
      </c>
      <c r="G2100" s="2" t="s">
        <v>64</v>
      </c>
      <c r="H2100" t="s">
        <v>280</v>
      </c>
      <c r="I2100" s="6">
        <v>38834</v>
      </c>
      <c r="J2100" s="2" t="s">
        <v>7762</v>
      </c>
      <c r="K2100" s="2">
        <v>115000</v>
      </c>
      <c r="L2100" t="s">
        <v>35</v>
      </c>
      <c r="M2100" t="s">
        <v>29</v>
      </c>
      <c r="N2100" t="s">
        <v>30</v>
      </c>
      <c r="O2100">
        <v>37219</v>
      </c>
      <c r="P2100" t="s">
        <v>7763</v>
      </c>
      <c r="Q2100" s="2">
        <v>0.28999999999999998</v>
      </c>
      <c r="R2100" s="2">
        <v>69</v>
      </c>
      <c r="S2100" s="2">
        <v>155</v>
      </c>
      <c r="T2100" t="s">
        <v>7764</v>
      </c>
      <c r="U2100" s="6">
        <v>27344</v>
      </c>
      <c r="V2100" s="2">
        <v>47037019112</v>
      </c>
      <c r="W2100" s="2" t="s">
        <v>68</v>
      </c>
      <c r="X2100" s="1">
        <v>45658</v>
      </c>
      <c r="Y2100" s="2">
        <v>71000</v>
      </c>
      <c r="Z2100" s="2">
        <v>0</v>
      </c>
      <c r="AA2100" s="2">
        <v>71000</v>
      </c>
    </row>
    <row r="2101" spans="1:27" x14ac:dyDescent="0.3">
      <c r="A2101" s="3">
        <v>31</v>
      </c>
      <c r="B2101" s="2" t="str">
        <f>"16209000200"</f>
        <v>16209000200</v>
      </c>
      <c r="C2101" s="2" t="s">
        <v>7765</v>
      </c>
      <c r="D2101" t="s">
        <v>29</v>
      </c>
      <c r="E2101" s="2" t="s">
        <v>30</v>
      </c>
      <c r="F2101" s="2">
        <v>37211</v>
      </c>
      <c r="G2101" s="2" t="s">
        <v>152</v>
      </c>
      <c r="H2101" t="s">
        <v>280</v>
      </c>
      <c r="I2101" s="6">
        <v>26846</v>
      </c>
      <c r="J2101" s="2" t="s">
        <v>1990</v>
      </c>
      <c r="K2101" s="2" t="s">
        <v>34</v>
      </c>
      <c r="L2101" t="s">
        <v>35</v>
      </c>
      <c r="M2101" t="s">
        <v>29</v>
      </c>
      <c r="N2101" t="s">
        <v>30</v>
      </c>
      <c r="O2101">
        <v>37219</v>
      </c>
      <c r="P2101" t="s">
        <v>7766</v>
      </c>
      <c r="Q2101" s="2">
        <v>0.73</v>
      </c>
      <c r="R2101" s="2">
        <v>198</v>
      </c>
      <c r="S2101" s="2">
        <v>170</v>
      </c>
      <c r="T2101" t="s">
        <v>7767</v>
      </c>
      <c r="U2101" s="6">
        <v>20379</v>
      </c>
      <c r="V2101" s="2">
        <v>47037019110</v>
      </c>
      <c r="W2101" s="2" t="s">
        <v>68</v>
      </c>
      <c r="X2101" s="1">
        <v>45658</v>
      </c>
      <c r="Y2101" s="2">
        <v>4800</v>
      </c>
      <c r="Z2101" s="2">
        <v>0</v>
      </c>
      <c r="AA2101" s="2">
        <v>4800</v>
      </c>
    </row>
    <row r="2102" spans="1:27" x14ac:dyDescent="0.3">
      <c r="A2102" s="3">
        <v>31</v>
      </c>
      <c r="B2102" s="2" t="str">
        <f>"18200023500"</f>
        <v>18200023500</v>
      </c>
      <c r="C2102" s="2" t="s">
        <v>7768</v>
      </c>
      <c r="D2102" t="s">
        <v>1945</v>
      </c>
      <c r="E2102" s="2" t="s">
        <v>30</v>
      </c>
      <c r="F2102" s="2">
        <v>37013</v>
      </c>
      <c r="G2102" s="2" t="s">
        <v>64</v>
      </c>
      <c r="H2102" t="s">
        <v>7769</v>
      </c>
      <c r="I2102" s="6">
        <v>44524</v>
      </c>
      <c r="J2102" s="2" t="s">
        <v>7770</v>
      </c>
      <c r="K2102" s="2">
        <v>0</v>
      </c>
      <c r="L2102" t="s">
        <v>4501</v>
      </c>
      <c r="M2102" t="s">
        <v>29</v>
      </c>
      <c r="N2102" t="s">
        <v>30</v>
      </c>
      <c r="O2102">
        <v>37204</v>
      </c>
      <c r="P2102" t="s">
        <v>7771</v>
      </c>
      <c r="Q2102" s="2">
        <v>15.92</v>
      </c>
      <c r="R2102" s="2">
        <v>0</v>
      </c>
      <c r="S2102" s="2">
        <v>0</v>
      </c>
      <c r="T2102" t="s">
        <v>7770</v>
      </c>
      <c r="U2102" s="6">
        <v>44524</v>
      </c>
      <c r="V2102" s="2">
        <v>47037019114</v>
      </c>
      <c r="W2102" s="2" t="s">
        <v>2599</v>
      </c>
      <c r="X2102" s="1">
        <v>45658</v>
      </c>
      <c r="Y2102" s="2">
        <v>1795800</v>
      </c>
      <c r="Z2102" s="2">
        <v>0</v>
      </c>
      <c r="AA2102" s="2">
        <v>1795800</v>
      </c>
    </row>
    <row r="2103" spans="1:27" x14ac:dyDescent="0.3">
      <c r="A2103" s="3">
        <v>31</v>
      </c>
      <c r="B2103" s="2" t="str">
        <f>"16213001900"</f>
        <v>16213001900</v>
      </c>
      <c r="C2103" s="2" t="s">
        <v>7772</v>
      </c>
      <c r="D2103" t="s">
        <v>29</v>
      </c>
      <c r="E2103" s="2" t="s">
        <v>30</v>
      </c>
      <c r="F2103" s="2">
        <v>37211</v>
      </c>
      <c r="G2103" s="2" t="s">
        <v>64</v>
      </c>
      <c r="H2103" t="s">
        <v>379</v>
      </c>
      <c r="I2103" s="6">
        <v>43511</v>
      </c>
      <c r="J2103" s="2" t="s">
        <v>7773</v>
      </c>
      <c r="K2103" s="2" t="s">
        <v>34</v>
      </c>
      <c r="L2103" t="s">
        <v>1104</v>
      </c>
      <c r="M2103" t="s">
        <v>29</v>
      </c>
      <c r="N2103" t="s">
        <v>30</v>
      </c>
      <c r="O2103">
        <v>37208</v>
      </c>
      <c r="P2103" t="s">
        <v>7774</v>
      </c>
      <c r="Q2103" s="2">
        <v>0.23</v>
      </c>
      <c r="R2103" s="2">
        <v>90</v>
      </c>
      <c r="S2103" s="2">
        <v>132</v>
      </c>
      <c r="T2103" t="s">
        <v>7757</v>
      </c>
      <c r="U2103" s="6">
        <v>26516</v>
      </c>
      <c r="V2103" s="2">
        <v>47037019112</v>
      </c>
      <c r="W2103" s="2" t="s">
        <v>68</v>
      </c>
      <c r="X2103" s="1">
        <v>45658</v>
      </c>
      <c r="Y2103" s="2">
        <v>71000</v>
      </c>
      <c r="Z2103" s="2">
        <v>0</v>
      </c>
      <c r="AA2103" s="2">
        <v>71000</v>
      </c>
    </row>
    <row r="2104" spans="1:27" x14ac:dyDescent="0.3">
      <c r="A2104" s="3">
        <v>31</v>
      </c>
      <c r="B2104" s="2" t="str">
        <f>"16213011000"</f>
        <v>16213011000</v>
      </c>
      <c r="C2104" s="2" t="s">
        <v>7775</v>
      </c>
      <c r="D2104" t="s">
        <v>29</v>
      </c>
      <c r="E2104" s="2" t="s">
        <v>30</v>
      </c>
      <c r="F2104" s="2">
        <v>37211</v>
      </c>
      <c r="G2104" s="2" t="s">
        <v>64</v>
      </c>
      <c r="H2104" t="s">
        <v>379</v>
      </c>
      <c r="I2104" s="6">
        <v>43511</v>
      </c>
      <c r="J2104" s="2" t="s">
        <v>7773</v>
      </c>
      <c r="K2104" s="2">
        <v>0</v>
      </c>
      <c r="L2104" t="s">
        <v>1104</v>
      </c>
      <c r="M2104" t="s">
        <v>29</v>
      </c>
      <c r="N2104" t="s">
        <v>30</v>
      </c>
      <c r="O2104">
        <v>37208</v>
      </c>
      <c r="P2104" t="s">
        <v>7776</v>
      </c>
      <c r="Q2104" s="2">
        <v>0.05</v>
      </c>
      <c r="R2104" s="2">
        <v>47</v>
      </c>
      <c r="S2104" s="2">
        <v>88</v>
      </c>
      <c r="T2104" t="s">
        <v>7757</v>
      </c>
      <c r="U2104" s="6">
        <v>26516</v>
      </c>
      <c r="V2104" s="2">
        <v>47037019112</v>
      </c>
      <c r="W2104" s="2" t="s">
        <v>68</v>
      </c>
      <c r="X2104" s="1">
        <v>45658</v>
      </c>
      <c r="Y2104" s="2">
        <v>500</v>
      </c>
      <c r="Z2104" s="2">
        <v>0</v>
      </c>
      <c r="AA2104" s="2">
        <v>500</v>
      </c>
    </row>
    <row r="2105" spans="1:27" x14ac:dyDescent="0.3">
      <c r="A2105" s="3">
        <v>32</v>
      </c>
      <c r="B2105" s="2" t="str">
        <f>"14900013300"</f>
        <v>14900013300</v>
      </c>
      <c r="C2105" s="2" t="s">
        <v>7777</v>
      </c>
      <c r="D2105" t="s">
        <v>1945</v>
      </c>
      <c r="E2105" s="2" t="s">
        <v>30</v>
      </c>
      <c r="F2105" s="2">
        <v>37013</v>
      </c>
      <c r="G2105" s="2" t="s">
        <v>194</v>
      </c>
      <c r="H2105" t="s">
        <v>32</v>
      </c>
      <c r="I2105" s="6">
        <v>45565</v>
      </c>
      <c r="J2105" s="2" t="s">
        <v>7778</v>
      </c>
      <c r="K2105" s="2">
        <v>0</v>
      </c>
      <c r="L2105" t="s">
        <v>85</v>
      </c>
      <c r="M2105" t="s">
        <v>29</v>
      </c>
      <c r="N2105" t="s">
        <v>30</v>
      </c>
      <c r="O2105">
        <v>37219</v>
      </c>
      <c r="P2105" t="s">
        <v>7779</v>
      </c>
      <c r="Q2105" s="2">
        <v>0.76</v>
      </c>
      <c r="R2105" s="2">
        <v>241</v>
      </c>
      <c r="S2105" s="2">
        <v>113</v>
      </c>
      <c r="T2105" t="s">
        <v>7780</v>
      </c>
      <c r="U2105" s="6">
        <v>23576</v>
      </c>
      <c r="V2105" s="2">
        <v>47037015626</v>
      </c>
      <c r="W2105" s="2" t="s">
        <v>68</v>
      </c>
      <c r="X2105" s="1">
        <v>45658</v>
      </c>
      <c r="Y2105" s="2">
        <v>303900</v>
      </c>
      <c r="Z2105" s="2">
        <v>224900</v>
      </c>
      <c r="AA2105" s="2">
        <v>79000</v>
      </c>
    </row>
    <row r="2106" spans="1:27" x14ac:dyDescent="0.3">
      <c r="A2106" s="3">
        <v>32</v>
      </c>
      <c r="B2106" s="2" t="str">
        <f>"14900013100"</f>
        <v>14900013100</v>
      </c>
      <c r="C2106" s="2" t="s">
        <v>7781</v>
      </c>
      <c r="D2106" t="s">
        <v>1945</v>
      </c>
      <c r="E2106" s="2" t="s">
        <v>30</v>
      </c>
      <c r="F2106" s="2">
        <v>37013</v>
      </c>
      <c r="G2106" s="2" t="s">
        <v>7782</v>
      </c>
      <c r="H2106" t="s">
        <v>32</v>
      </c>
      <c r="I2106" s="6">
        <v>45708</v>
      </c>
      <c r="J2106" s="2" t="s">
        <v>7783</v>
      </c>
      <c r="K2106" s="2">
        <v>0</v>
      </c>
      <c r="L2106" t="s">
        <v>85</v>
      </c>
      <c r="M2106" t="s">
        <v>29</v>
      </c>
      <c r="N2106" t="s">
        <v>30</v>
      </c>
      <c r="O2106">
        <v>37219</v>
      </c>
      <c r="P2106" t="s">
        <v>7784</v>
      </c>
      <c r="Q2106" s="2">
        <v>0.71</v>
      </c>
      <c r="R2106" s="2">
        <v>102</v>
      </c>
      <c r="S2106" s="2">
        <v>288</v>
      </c>
      <c r="T2106" t="s">
        <v>7785</v>
      </c>
      <c r="U2106" s="6">
        <v>24891</v>
      </c>
      <c r="V2106" s="2">
        <v>47037015626</v>
      </c>
      <c r="W2106" s="2" t="s">
        <v>68</v>
      </c>
      <c r="X2106" s="1">
        <v>45658</v>
      </c>
      <c r="Y2106" s="2">
        <v>577200</v>
      </c>
      <c r="Z2106" s="2">
        <v>373100</v>
      </c>
      <c r="AA2106" s="2">
        <v>204100</v>
      </c>
    </row>
    <row r="2107" spans="1:27" x14ac:dyDescent="0.3">
      <c r="A2107" s="3">
        <v>32</v>
      </c>
      <c r="B2107" s="2" t="str">
        <f>"14900017900"</f>
        <v>14900017900</v>
      </c>
      <c r="C2107" s="2" t="s">
        <v>7786</v>
      </c>
      <c r="D2107" t="s">
        <v>1945</v>
      </c>
      <c r="E2107" s="2" t="s">
        <v>30</v>
      </c>
      <c r="F2107" s="2">
        <v>37013</v>
      </c>
      <c r="G2107" s="2" t="s">
        <v>64</v>
      </c>
      <c r="H2107" t="s">
        <v>32</v>
      </c>
      <c r="I2107" s="6">
        <v>45565</v>
      </c>
      <c r="J2107" s="2" t="s">
        <v>7787</v>
      </c>
      <c r="K2107" s="2">
        <v>0</v>
      </c>
      <c r="L2107" t="s">
        <v>85</v>
      </c>
      <c r="M2107" t="s">
        <v>29</v>
      </c>
      <c r="N2107" t="s">
        <v>30</v>
      </c>
      <c r="O2107">
        <v>37219</v>
      </c>
      <c r="P2107" t="s">
        <v>7788</v>
      </c>
      <c r="Q2107" s="2">
        <v>0.98</v>
      </c>
      <c r="R2107" s="2">
        <v>119</v>
      </c>
      <c r="S2107" s="2">
        <v>353</v>
      </c>
      <c r="T2107" t="s">
        <v>7789</v>
      </c>
      <c r="U2107" s="6">
        <v>26793</v>
      </c>
      <c r="V2107" s="2">
        <v>47037015626</v>
      </c>
      <c r="W2107" s="2" t="s">
        <v>68</v>
      </c>
      <c r="X2107" s="1">
        <v>45658</v>
      </c>
      <c r="Y2107" s="2">
        <v>79000</v>
      </c>
      <c r="Z2107" s="2">
        <v>0</v>
      </c>
      <c r="AA2107" s="2">
        <v>79000</v>
      </c>
    </row>
    <row r="2108" spans="1:27" x14ac:dyDescent="0.3">
      <c r="A2108" s="3">
        <v>32</v>
      </c>
      <c r="B2108" s="2" t="str">
        <f>"16300042100"</f>
        <v>16300042100</v>
      </c>
      <c r="C2108" s="2" t="s">
        <v>7790</v>
      </c>
      <c r="D2108" t="s">
        <v>1945</v>
      </c>
      <c r="E2108" s="2" t="s">
        <v>30</v>
      </c>
      <c r="F2108" s="2">
        <v>37013</v>
      </c>
      <c r="G2108" s="2" t="s">
        <v>2490</v>
      </c>
      <c r="H2108" t="s">
        <v>32</v>
      </c>
      <c r="I2108" s="6">
        <v>44701</v>
      </c>
      <c r="J2108" s="2" t="s">
        <v>7791</v>
      </c>
      <c r="K2108" s="2" t="s">
        <v>34</v>
      </c>
      <c r="L2108" t="s">
        <v>7792</v>
      </c>
      <c r="M2108" t="s">
        <v>29</v>
      </c>
      <c r="N2108" t="s">
        <v>30</v>
      </c>
      <c r="O2108">
        <v>37219</v>
      </c>
      <c r="P2108" t="s">
        <v>7793</v>
      </c>
      <c r="Q2108" s="2">
        <v>3.62</v>
      </c>
      <c r="R2108" s="2">
        <v>0</v>
      </c>
      <c r="S2108" s="2">
        <v>0</v>
      </c>
      <c r="T2108" t="s">
        <v>7794</v>
      </c>
      <c r="U2108" s="6">
        <v>41684</v>
      </c>
      <c r="V2108" s="2">
        <v>47037015628</v>
      </c>
      <c r="W2108" s="2" t="s">
        <v>68</v>
      </c>
      <c r="X2108" s="1">
        <v>45658</v>
      </c>
      <c r="Y2108" s="2">
        <v>1148400</v>
      </c>
      <c r="Z2108" s="2">
        <v>202300</v>
      </c>
      <c r="AA2108" s="2">
        <v>946100</v>
      </c>
    </row>
    <row r="2109" spans="1:27" x14ac:dyDescent="0.3">
      <c r="A2109" s="3">
        <v>32</v>
      </c>
      <c r="B2109" s="2" t="str">
        <f>"16300022800"</f>
        <v>16300022800</v>
      </c>
      <c r="C2109" s="2" t="s">
        <v>7795</v>
      </c>
      <c r="D2109" t="s">
        <v>1945</v>
      </c>
      <c r="E2109" s="2" t="s">
        <v>30</v>
      </c>
      <c r="F2109" s="2">
        <v>37013</v>
      </c>
      <c r="G2109" s="2" t="s">
        <v>7796</v>
      </c>
      <c r="H2109" t="s">
        <v>32</v>
      </c>
      <c r="I2109" s="6">
        <v>44701</v>
      </c>
      <c r="J2109" s="2" t="s">
        <v>7791</v>
      </c>
      <c r="K2109" s="2" t="s">
        <v>34</v>
      </c>
      <c r="L2109" t="s">
        <v>7792</v>
      </c>
      <c r="M2109" t="s">
        <v>29</v>
      </c>
      <c r="N2109" t="s">
        <v>30</v>
      </c>
      <c r="O2109">
        <v>37219</v>
      </c>
      <c r="P2109" t="s">
        <v>7797</v>
      </c>
      <c r="Q2109" s="2">
        <v>16.010000000000002</v>
      </c>
      <c r="R2109" s="2">
        <v>0</v>
      </c>
      <c r="S2109" s="2">
        <v>0</v>
      </c>
      <c r="T2109" t="s">
        <v>7798</v>
      </c>
      <c r="U2109" s="6">
        <v>33368</v>
      </c>
      <c r="V2109" s="2">
        <v>47037015628</v>
      </c>
      <c r="W2109" s="2" t="s">
        <v>68</v>
      </c>
      <c r="X2109" s="1">
        <v>45658</v>
      </c>
      <c r="Y2109" s="2">
        <v>4753200</v>
      </c>
      <c r="Z2109" s="2">
        <v>568800</v>
      </c>
      <c r="AA2109" s="2">
        <v>4184400</v>
      </c>
    </row>
    <row r="2110" spans="1:27" x14ac:dyDescent="0.3">
      <c r="A2110" s="3">
        <v>32</v>
      </c>
      <c r="B2110" s="2" t="str">
        <f>"16300035300"</f>
        <v>16300035300</v>
      </c>
      <c r="C2110" s="2" t="s">
        <v>7799</v>
      </c>
      <c r="D2110" t="s">
        <v>1945</v>
      </c>
      <c r="E2110" s="2" t="s">
        <v>30</v>
      </c>
      <c r="F2110" s="2">
        <v>37013</v>
      </c>
      <c r="G2110" s="2" t="s">
        <v>2490</v>
      </c>
      <c r="H2110" t="s">
        <v>32</v>
      </c>
      <c r="I2110" s="6">
        <v>44701</v>
      </c>
      <c r="J2110" s="2" t="s">
        <v>7791</v>
      </c>
      <c r="K2110" s="2" t="s">
        <v>34</v>
      </c>
      <c r="L2110" t="s">
        <v>7792</v>
      </c>
      <c r="M2110" t="s">
        <v>29</v>
      </c>
      <c r="N2110" t="s">
        <v>30</v>
      </c>
      <c r="O2110">
        <v>37219</v>
      </c>
      <c r="P2110" t="s">
        <v>7800</v>
      </c>
      <c r="Q2110" s="2">
        <v>1.2</v>
      </c>
      <c r="R2110" s="2">
        <v>0</v>
      </c>
      <c r="S2110" s="2">
        <v>534</v>
      </c>
      <c r="T2110" t="s">
        <v>7801</v>
      </c>
      <c r="U2110" s="6">
        <v>33284</v>
      </c>
      <c r="V2110" s="2">
        <v>47037015628</v>
      </c>
      <c r="W2110" s="2" t="s">
        <v>68</v>
      </c>
      <c r="X2110" s="1">
        <v>45658</v>
      </c>
      <c r="Y2110" s="2">
        <v>454600</v>
      </c>
      <c r="Z2110" s="2">
        <v>141000</v>
      </c>
      <c r="AA2110" s="2">
        <v>313600</v>
      </c>
    </row>
    <row r="2111" spans="1:27" x14ac:dyDescent="0.3">
      <c r="A2111" s="3">
        <v>32</v>
      </c>
      <c r="B2111" s="2" t="str">
        <f>"16300035200"</f>
        <v>16300035200</v>
      </c>
      <c r="C2111" s="2" t="s">
        <v>7802</v>
      </c>
      <c r="D2111" t="s">
        <v>1945</v>
      </c>
      <c r="E2111" s="2" t="s">
        <v>30</v>
      </c>
      <c r="F2111" s="2">
        <v>37013</v>
      </c>
      <c r="G2111" s="2" t="s">
        <v>2490</v>
      </c>
      <c r="H2111" t="s">
        <v>32</v>
      </c>
      <c r="I2111" s="6">
        <v>44701</v>
      </c>
      <c r="J2111" s="2" t="s">
        <v>7791</v>
      </c>
      <c r="K2111" s="2" t="s">
        <v>34</v>
      </c>
      <c r="L2111" t="s">
        <v>7792</v>
      </c>
      <c r="M2111" t="s">
        <v>29</v>
      </c>
      <c r="N2111" t="s">
        <v>30</v>
      </c>
      <c r="O2111">
        <v>37219</v>
      </c>
      <c r="P2111" t="s">
        <v>7800</v>
      </c>
      <c r="Q2111" s="2">
        <v>3.16</v>
      </c>
      <c r="R2111" s="2">
        <v>0</v>
      </c>
      <c r="S2111" s="2">
        <v>0</v>
      </c>
      <c r="T2111" t="s">
        <v>7798</v>
      </c>
      <c r="U2111" s="6">
        <v>33368</v>
      </c>
      <c r="V2111" s="2">
        <v>47037015628</v>
      </c>
      <c r="W2111" s="2" t="s">
        <v>68</v>
      </c>
      <c r="X2111" s="1">
        <v>45658</v>
      </c>
      <c r="Y2111" s="2">
        <v>1178400</v>
      </c>
      <c r="Z2111" s="2">
        <v>352500</v>
      </c>
      <c r="AA2111" s="2">
        <v>825900</v>
      </c>
    </row>
    <row r="2112" spans="1:27" x14ac:dyDescent="0.3">
      <c r="A2112" s="3">
        <v>32</v>
      </c>
      <c r="B2112" s="2" t="str">
        <f>"14900012300"</f>
        <v>14900012300</v>
      </c>
      <c r="C2112" s="2" t="s">
        <v>7803</v>
      </c>
      <c r="D2112" t="s">
        <v>1945</v>
      </c>
      <c r="E2112" s="2" t="s">
        <v>30</v>
      </c>
      <c r="F2112" s="2">
        <v>37013</v>
      </c>
      <c r="G2112" s="2" t="s">
        <v>194</v>
      </c>
      <c r="H2112" t="s">
        <v>32</v>
      </c>
      <c r="I2112" s="6">
        <v>45565</v>
      </c>
      <c r="J2112" s="2" t="s">
        <v>7804</v>
      </c>
      <c r="K2112" s="2">
        <v>0</v>
      </c>
      <c r="L2112" t="s">
        <v>85</v>
      </c>
      <c r="M2112" t="s">
        <v>29</v>
      </c>
      <c r="N2112" t="s">
        <v>30</v>
      </c>
      <c r="O2112">
        <v>37219</v>
      </c>
      <c r="P2112" t="s">
        <v>7805</v>
      </c>
      <c r="Q2112" s="2">
        <v>1.64</v>
      </c>
      <c r="R2112" s="2">
        <v>282</v>
      </c>
      <c r="S2112" s="2">
        <v>239</v>
      </c>
      <c r="T2112" t="s">
        <v>7806</v>
      </c>
      <c r="U2112" s="6">
        <v>45182</v>
      </c>
      <c r="V2112" s="2">
        <v>47037010103</v>
      </c>
      <c r="W2112" s="2" t="s">
        <v>68</v>
      </c>
      <c r="X2112" s="1">
        <v>45658</v>
      </c>
      <c r="Y2112" s="2">
        <v>233900</v>
      </c>
      <c r="Z2112" s="2">
        <v>116400</v>
      </c>
      <c r="AA2112" s="2">
        <v>117500</v>
      </c>
    </row>
    <row r="2113" spans="1:27" x14ac:dyDescent="0.3">
      <c r="A2113" s="3">
        <v>32</v>
      </c>
      <c r="B2113" s="2" t="str">
        <f>"14900034100"</f>
        <v>14900034100</v>
      </c>
      <c r="C2113" s="2" t="s">
        <v>7807</v>
      </c>
      <c r="D2113" t="s">
        <v>1945</v>
      </c>
      <c r="E2113" s="2" t="s">
        <v>30</v>
      </c>
      <c r="F2113" s="2">
        <v>37013</v>
      </c>
      <c r="G2113" s="2" t="s">
        <v>194</v>
      </c>
      <c r="H2113" t="s">
        <v>32</v>
      </c>
      <c r="I2113" s="6">
        <v>45565</v>
      </c>
      <c r="J2113" s="2" t="s">
        <v>7804</v>
      </c>
      <c r="K2113" s="2">
        <v>0</v>
      </c>
      <c r="L2113" t="s">
        <v>85</v>
      </c>
      <c r="M2113" t="s">
        <v>29</v>
      </c>
      <c r="N2113" t="s">
        <v>30</v>
      </c>
      <c r="O2113">
        <v>37219</v>
      </c>
      <c r="P2113" t="s">
        <v>7808</v>
      </c>
      <c r="Q2113" s="2">
        <v>1.34</v>
      </c>
      <c r="R2113" s="2">
        <v>144</v>
      </c>
      <c r="S2113" s="2">
        <v>195</v>
      </c>
      <c r="T2113" t="s">
        <v>7806</v>
      </c>
      <c r="U2113" s="6">
        <v>45182</v>
      </c>
      <c r="V2113" s="2">
        <v>47037010103</v>
      </c>
      <c r="W2113" s="2" t="s">
        <v>68</v>
      </c>
      <c r="X2113" s="1">
        <v>45658</v>
      </c>
      <c r="Y2113" s="2">
        <v>378400</v>
      </c>
      <c r="Z2113" s="2">
        <v>278900</v>
      </c>
      <c r="AA2113" s="2">
        <v>99500</v>
      </c>
    </row>
    <row r="2114" spans="1:27" x14ac:dyDescent="0.3">
      <c r="A2114" s="3">
        <v>32</v>
      </c>
      <c r="B2114" s="2" t="str">
        <f>"17500021300"</f>
        <v>17500021300</v>
      </c>
      <c r="C2114" s="2" t="s">
        <v>28</v>
      </c>
      <c r="D2114" t="s">
        <v>1945</v>
      </c>
      <c r="E2114" s="2" t="s">
        <v>30</v>
      </c>
      <c r="F2114" s="2">
        <v>37013</v>
      </c>
      <c r="G2114" s="2" t="s">
        <v>64</v>
      </c>
      <c r="H2114" t="s">
        <v>32</v>
      </c>
      <c r="I2114" s="6">
        <v>42257</v>
      </c>
      <c r="J2114" s="2" t="s">
        <v>7809</v>
      </c>
      <c r="K2114" s="2">
        <v>0</v>
      </c>
      <c r="L2114" t="s">
        <v>35</v>
      </c>
      <c r="M2114" t="s">
        <v>29</v>
      </c>
      <c r="N2114" t="s">
        <v>30</v>
      </c>
      <c r="O2114">
        <v>37219</v>
      </c>
      <c r="P2114" t="s">
        <v>7810</v>
      </c>
      <c r="Q2114" s="2">
        <v>48.13</v>
      </c>
      <c r="R2114" s="2">
        <v>0</v>
      </c>
      <c r="S2114" s="2">
        <v>0</v>
      </c>
      <c r="T2114" t="s">
        <v>7811</v>
      </c>
      <c r="U2114" s="6">
        <v>38996</v>
      </c>
      <c r="V2114" s="2">
        <v>47037015630</v>
      </c>
      <c r="W2114" s="2" t="s">
        <v>68</v>
      </c>
      <c r="X2114" s="1">
        <v>45658</v>
      </c>
      <c r="Y2114" s="2">
        <v>1443900</v>
      </c>
      <c r="Z2114" s="2">
        <v>0</v>
      </c>
      <c r="AA2114" s="2">
        <v>1443900</v>
      </c>
    </row>
    <row r="2115" spans="1:27" x14ac:dyDescent="0.3">
      <c r="A2115" s="3">
        <v>32</v>
      </c>
      <c r="B2115" s="2" t="str">
        <f>"16300022100"</f>
        <v>16300022100</v>
      </c>
      <c r="C2115" s="2" t="s">
        <v>7812</v>
      </c>
      <c r="D2115" t="s">
        <v>1945</v>
      </c>
      <c r="E2115" s="2" t="s">
        <v>30</v>
      </c>
      <c r="F2115" s="2">
        <v>37013</v>
      </c>
      <c r="G2115" s="2" t="s">
        <v>2495</v>
      </c>
      <c r="H2115" t="s">
        <v>32</v>
      </c>
      <c r="I2115" s="6">
        <v>44698</v>
      </c>
      <c r="J2115" s="2" t="s">
        <v>7813</v>
      </c>
      <c r="K2115" s="2">
        <v>20000000</v>
      </c>
      <c r="L2115" t="s">
        <v>7814</v>
      </c>
      <c r="M2115" t="s">
        <v>29</v>
      </c>
      <c r="N2115" t="s">
        <v>30</v>
      </c>
      <c r="O2115">
        <v>37201</v>
      </c>
      <c r="P2115" t="s">
        <v>7815</v>
      </c>
      <c r="Q2115" s="2">
        <v>17.690000000000001</v>
      </c>
      <c r="R2115" s="2">
        <v>0</v>
      </c>
      <c r="S2115" s="2">
        <v>0</v>
      </c>
      <c r="T2115" t="s">
        <v>7816</v>
      </c>
      <c r="U2115" s="6">
        <v>27555</v>
      </c>
      <c r="V2115" s="2">
        <v>47037015628</v>
      </c>
      <c r="W2115" s="2" t="s">
        <v>68</v>
      </c>
      <c r="X2115" s="1">
        <v>45658</v>
      </c>
      <c r="Y2115" s="2">
        <v>14204100</v>
      </c>
      <c r="Z2115" s="2">
        <v>10043000</v>
      </c>
      <c r="AA2115" s="2">
        <v>4161100</v>
      </c>
    </row>
    <row r="2116" spans="1:27" x14ac:dyDescent="0.3">
      <c r="A2116" s="3">
        <v>32</v>
      </c>
      <c r="B2116" s="2" t="str">
        <f>"16300042300"</f>
        <v>16300042300</v>
      </c>
      <c r="C2116" s="2" t="s">
        <v>7817</v>
      </c>
      <c r="D2116" t="s">
        <v>1945</v>
      </c>
      <c r="E2116" s="2" t="s">
        <v>30</v>
      </c>
      <c r="F2116" s="2">
        <v>37013</v>
      </c>
      <c r="G2116" s="2" t="s">
        <v>2490</v>
      </c>
      <c r="H2116" t="s">
        <v>32</v>
      </c>
      <c r="I2116" s="6">
        <v>44701</v>
      </c>
      <c r="J2116" s="2" t="s">
        <v>7791</v>
      </c>
      <c r="K2116" s="2" t="s">
        <v>34</v>
      </c>
      <c r="L2116" t="s">
        <v>7792</v>
      </c>
      <c r="M2116" t="s">
        <v>29</v>
      </c>
      <c r="N2116" t="s">
        <v>30</v>
      </c>
      <c r="O2116">
        <v>37219</v>
      </c>
      <c r="P2116" t="s">
        <v>7818</v>
      </c>
      <c r="Q2116" s="2">
        <v>2.62</v>
      </c>
      <c r="R2116" s="2">
        <v>232</v>
      </c>
      <c r="S2116" s="2">
        <v>151</v>
      </c>
      <c r="T2116" t="s">
        <v>7794</v>
      </c>
      <c r="U2116" s="6">
        <v>41684</v>
      </c>
      <c r="V2116" s="2">
        <v>47037015628</v>
      </c>
      <c r="W2116" s="2" t="s">
        <v>68</v>
      </c>
      <c r="X2116" s="1">
        <v>45658</v>
      </c>
      <c r="Y2116" s="2">
        <v>914100</v>
      </c>
      <c r="Z2116" s="2">
        <v>229300</v>
      </c>
      <c r="AA2116" s="2">
        <v>684800</v>
      </c>
    </row>
    <row r="2117" spans="1:27" x14ac:dyDescent="0.3">
      <c r="A2117" s="3">
        <v>32</v>
      </c>
      <c r="B2117" s="2" t="str">
        <f>"14900023200"</f>
        <v>14900023200</v>
      </c>
      <c r="C2117" s="2" t="s">
        <v>2572</v>
      </c>
      <c r="D2117" t="s">
        <v>1945</v>
      </c>
      <c r="E2117" s="2" t="s">
        <v>30</v>
      </c>
      <c r="F2117" s="2">
        <v>37013</v>
      </c>
      <c r="G2117" s="2" t="s">
        <v>64</v>
      </c>
      <c r="H2117" t="s">
        <v>32</v>
      </c>
      <c r="I2117" s="6">
        <v>45565</v>
      </c>
      <c r="J2117" s="2" t="s">
        <v>7819</v>
      </c>
      <c r="K2117" s="2">
        <v>0</v>
      </c>
      <c r="L2117" t="s">
        <v>85</v>
      </c>
      <c r="M2117" t="s">
        <v>29</v>
      </c>
      <c r="N2117" t="s">
        <v>30</v>
      </c>
      <c r="O2117">
        <v>37219</v>
      </c>
      <c r="P2117" t="s">
        <v>7820</v>
      </c>
      <c r="Q2117" s="2">
        <v>2.15</v>
      </c>
      <c r="R2117" s="2">
        <v>0</v>
      </c>
      <c r="S2117" s="2">
        <v>0</v>
      </c>
      <c r="T2117" t="s">
        <v>7821</v>
      </c>
      <c r="U2117" s="6">
        <v>35300</v>
      </c>
      <c r="V2117" s="2">
        <v>47037015626</v>
      </c>
      <c r="W2117" s="2" t="s">
        <v>68</v>
      </c>
      <c r="X2117" s="1">
        <v>45658</v>
      </c>
      <c r="Y2117" s="2">
        <v>148200</v>
      </c>
      <c r="Z2117" s="2">
        <v>0</v>
      </c>
      <c r="AA2117" s="2">
        <v>148200</v>
      </c>
    </row>
    <row r="2118" spans="1:27" x14ac:dyDescent="0.3">
      <c r="A2118" s="3">
        <v>32</v>
      </c>
      <c r="B2118" s="2" t="str">
        <f>"14900012200"</f>
        <v>14900012200</v>
      </c>
      <c r="C2118" s="2" t="s">
        <v>7822</v>
      </c>
      <c r="D2118" t="s">
        <v>1945</v>
      </c>
      <c r="E2118" s="2" t="s">
        <v>30</v>
      </c>
      <c r="F2118" s="2">
        <v>37013</v>
      </c>
      <c r="G2118" s="2" t="s">
        <v>194</v>
      </c>
      <c r="H2118" t="s">
        <v>32</v>
      </c>
      <c r="I2118" s="6">
        <v>45565</v>
      </c>
      <c r="J2118" s="2" t="s">
        <v>7819</v>
      </c>
      <c r="K2118" s="2">
        <v>0</v>
      </c>
      <c r="L2118" t="s">
        <v>85</v>
      </c>
      <c r="M2118" t="s">
        <v>29</v>
      </c>
      <c r="N2118" t="s">
        <v>30</v>
      </c>
      <c r="O2118">
        <v>37219</v>
      </c>
      <c r="P2118" t="s">
        <v>7823</v>
      </c>
      <c r="Q2118" s="2">
        <v>5</v>
      </c>
      <c r="R2118" s="2">
        <v>380</v>
      </c>
      <c r="S2118" s="2">
        <v>0</v>
      </c>
      <c r="T2118" t="s">
        <v>7824</v>
      </c>
      <c r="U2118" s="6">
        <v>45565</v>
      </c>
      <c r="V2118" s="2">
        <v>47047037015626</v>
      </c>
      <c r="W2118" s="2" t="s">
        <v>68</v>
      </c>
      <c r="X2118" s="1">
        <v>45658</v>
      </c>
      <c r="Y2118" s="2">
        <v>449100</v>
      </c>
      <c r="Z2118" s="2">
        <v>177500</v>
      </c>
      <c r="AA2118" s="2">
        <v>271600</v>
      </c>
    </row>
    <row r="2119" spans="1:27" x14ac:dyDescent="0.3">
      <c r="A2119" s="3">
        <v>32</v>
      </c>
      <c r="B2119" s="2" t="str">
        <f>"163120B00100CO"</f>
        <v>163120B00100CO</v>
      </c>
      <c r="C2119" s="2" t="s">
        <v>7825</v>
      </c>
      <c r="D2119" t="s">
        <v>1945</v>
      </c>
      <c r="E2119" s="2" t="s">
        <v>30</v>
      </c>
      <c r="F2119" s="2">
        <v>37013</v>
      </c>
      <c r="G2119" s="2" t="s">
        <v>64</v>
      </c>
      <c r="H2119" t="s">
        <v>32</v>
      </c>
      <c r="I2119" s="6">
        <v>42649</v>
      </c>
      <c r="J2119" s="2" t="s">
        <v>7826</v>
      </c>
      <c r="K2119" s="2">
        <v>0</v>
      </c>
      <c r="L2119" t="s">
        <v>85</v>
      </c>
      <c r="M2119" t="s">
        <v>29</v>
      </c>
      <c r="N2119" t="s">
        <v>30</v>
      </c>
      <c r="O2119">
        <v>37219</v>
      </c>
      <c r="P2119" t="s">
        <v>7827</v>
      </c>
      <c r="Q2119" s="2">
        <v>12.95</v>
      </c>
      <c r="R2119" s="2">
        <v>0</v>
      </c>
      <c r="S2119" s="2">
        <v>0</v>
      </c>
      <c r="T2119" t="s">
        <v>7828</v>
      </c>
      <c r="U2119" s="6">
        <v>43468</v>
      </c>
      <c r="V2119" s="2">
        <v>47037015629</v>
      </c>
      <c r="W2119" s="2" t="s">
        <v>68</v>
      </c>
      <c r="X2119" s="1">
        <v>45658</v>
      </c>
      <c r="Y2119" s="2">
        <v>1295000</v>
      </c>
      <c r="Z2119" s="2">
        <v>0</v>
      </c>
      <c r="AA2119" s="2">
        <v>1295000</v>
      </c>
    </row>
    <row r="2120" spans="1:27" x14ac:dyDescent="0.3">
      <c r="A2120" s="3">
        <v>32</v>
      </c>
      <c r="B2120" s="2" t="str">
        <f>"17500012600"</f>
        <v>17500012600</v>
      </c>
      <c r="C2120" s="2" t="s">
        <v>28</v>
      </c>
      <c r="D2120" t="s">
        <v>1945</v>
      </c>
      <c r="E2120" s="2" t="s">
        <v>30</v>
      </c>
      <c r="F2120" s="2">
        <v>37013</v>
      </c>
      <c r="G2120" s="2" t="s">
        <v>31</v>
      </c>
      <c r="H2120" t="s">
        <v>32</v>
      </c>
      <c r="I2120" s="6">
        <v>42247</v>
      </c>
      <c r="J2120" s="2" t="s">
        <v>7829</v>
      </c>
      <c r="K2120" s="2">
        <v>0</v>
      </c>
      <c r="L2120" t="s">
        <v>35</v>
      </c>
      <c r="M2120" t="s">
        <v>29</v>
      </c>
      <c r="N2120" t="s">
        <v>30</v>
      </c>
      <c r="O2120">
        <v>37219</v>
      </c>
      <c r="P2120" t="s">
        <v>7830</v>
      </c>
      <c r="Q2120" s="2">
        <v>20</v>
      </c>
      <c r="R2120" s="2">
        <v>0</v>
      </c>
      <c r="S2120" s="2">
        <v>0</v>
      </c>
      <c r="T2120" t="s">
        <v>7831</v>
      </c>
      <c r="U2120" s="6">
        <v>28851</v>
      </c>
      <c r="V2120" s="2">
        <v>47037015630</v>
      </c>
      <c r="W2120" s="2" t="s">
        <v>68</v>
      </c>
      <c r="X2120" s="1">
        <v>45658</v>
      </c>
      <c r="Y2120" s="2">
        <v>2000000</v>
      </c>
      <c r="Z2120" s="2">
        <v>0</v>
      </c>
      <c r="AA2120" s="2">
        <v>2000000</v>
      </c>
    </row>
    <row r="2121" spans="1:27" x14ac:dyDescent="0.3">
      <c r="A2121" s="3">
        <v>32</v>
      </c>
      <c r="B2121" s="2" t="str">
        <f>"17500003000"</f>
        <v>17500003000</v>
      </c>
      <c r="C2121" s="2" t="s">
        <v>7832</v>
      </c>
      <c r="D2121" t="s">
        <v>1945</v>
      </c>
      <c r="E2121" s="2" t="s">
        <v>30</v>
      </c>
      <c r="F2121" s="2">
        <v>37013</v>
      </c>
      <c r="G2121" s="2" t="s">
        <v>31</v>
      </c>
      <c r="H2121" t="s">
        <v>32</v>
      </c>
      <c r="I2121" s="6">
        <v>42257</v>
      </c>
      <c r="J2121" s="2" t="s">
        <v>7833</v>
      </c>
      <c r="K2121" s="2">
        <v>0</v>
      </c>
      <c r="L2121" t="s">
        <v>35</v>
      </c>
      <c r="M2121" t="s">
        <v>29</v>
      </c>
      <c r="N2121" t="s">
        <v>30</v>
      </c>
      <c r="O2121">
        <v>37219</v>
      </c>
      <c r="P2121" t="s">
        <v>7834</v>
      </c>
      <c r="Q2121" s="2">
        <v>62.81</v>
      </c>
      <c r="R2121" s="2">
        <v>0</v>
      </c>
      <c r="S2121" s="2">
        <v>0</v>
      </c>
      <c r="T2121" t="s">
        <v>7835</v>
      </c>
      <c r="U2121" s="6">
        <v>24562</v>
      </c>
      <c r="V2121" s="2">
        <v>47037015630</v>
      </c>
      <c r="W2121" s="2" t="s">
        <v>68</v>
      </c>
      <c r="X2121" s="1">
        <v>45658</v>
      </c>
      <c r="Y2121" s="2">
        <v>2551800</v>
      </c>
      <c r="Z2121" s="2">
        <v>0</v>
      </c>
      <c r="AA2121" s="2">
        <v>2551800</v>
      </c>
    </row>
    <row r="2122" spans="1:27" x14ac:dyDescent="0.3">
      <c r="A2122" s="3">
        <v>32</v>
      </c>
      <c r="B2122" s="2" t="str">
        <f>"17400023700"</f>
        <v>17400023700</v>
      </c>
      <c r="C2122" s="2" t="s">
        <v>7836</v>
      </c>
      <c r="D2122" t="s">
        <v>1945</v>
      </c>
      <c r="E2122" s="2" t="s">
        <v>30</v>
      </c>
      <c r="F2122" s="2">
        <v>37013</v>
      </c>
      <c r="G2122" s="2" t="s">
        <v>527</v>
      </c>
      <c r="H2122" t="s">
        <v>32</v>
      </c>
      <c r="I2122" s="6">
        <v>42353</v>
      </c>
      <c r="J2122" s="2" t="s">
        <v>7837</v>
      </c>
      <c r="K2122" s="2">
        <v>0</v>
      </c>
      <c r="L2122" t="s">
        <v>35</v>
      </c>
      <c r="M2122" t="s">
        <v>29</v>
      </c>
      <c r="N2122" t="s">
        <v>30</v>
      </c>
      <c r="O2122">
        <v>37219</v>
      </c>
      <c r="P2122" t="s">
        <v>7838</v>
      </c>
      <c r="Q2122" s="2">
        <v>21.38</v>
      </c>
      <c r="R2122" s="2">
        <v>0</v>
      </c>
      <c r="S2122" s="2">
        <v>0</v>
      </c>
      <c r="T2122" t="s">
        <v>7837</v>
      </c>
      <c r="U2122" s="6">
        <v>42353</v>
      </c>
      <c r="V2122" s="2">
        <v>47037015630</v>
      </c>
      <c r="W2122" s="2" t="s">
        <v>68</v>
      </c>
      <c r="X2122" s="1">
        <v>45658</v>
      </c>
      <c r="Y2122" s="2">
        <v>248000</v>
      </c>
      <c r="Z2122" s="2">
        <v>0</v>
      </c>
      <c r="AA2122" s="2">
        <v>248000</v>
      </c>
    </row>
    <row r="2123" spans="1:27" x14ac:dyDescent="0.3">
      <c r="A2123" s="3">
        <v>32</v>
      </c>
      <c r="B2123" s="2" t="str">
        <f>"17500002400"</f>
        <v>17500002400</v>
      </c>
      <c r="C2123" s="2" t="s">
        <v>7839</v>
      </c>
      <c r="D2123" t="s">
        <v>1945</v>
      </c>
      <c r="E2123" s="2" t="s">
        <v>30</v>
      </c>
      <c r="F2123" s="2">
        <v>37013</v>
      </c>
      <c r="G2123" s="2" t="s">
        <v>194</v>
      </c>
      <c r="H2123" t="s">
        <v>32</v>
      </c>
      <c r="I2123" s="6">
        <v>43312</v>
      </c>
      <c r="J2123" s="2" t="s">
        <v>7840</v>
      </c>
      <c r="K2123" s="2" t="s">
        <v>34</v>
      </c>
      <c r="L2123" t="s">
        <v>35</v>
      </c>
      <c r="M2123" t="s">
        <v>29</v>
      </c>
      <c r="N2123" t="s">
        <v>30</v>
      </c>
      <c r="O2123">
        <v>37219</v>
      </c>
      <c r="P2123" t="s">
        <v>7841</v>
      </c>
      <c r="Q2123" s="2">
        <v>64.08</v>
      </c>
      <c r="R2123" s="2">
        <v>0</v>
      </c>
      <c r="S2123" s="2">
        <v>0</v>
      </c>
      <c r="T2123" t="s">
        <v>278</v>
      </c>
      <c r="U2123" s="6">
        <v>36214</v>
      </c>
      <c r="V2123" s="2">
        <v>47037015630</v>
      </c>
      <c r="W2123" s="2" t="s">
        <v>68</v>
      </c>
      <c r="X2123" s="1">
        <v>45658</v>
      </c>
      <c r="Y2123" s="2">
        <v>1908100</v>
      </c>
      <c r="Z2123" s="2">
        <v>57100</v>
      </c>
      <c r="AA2123" s="2">
        <v>1851000</v>
      </c>
    </row>
    <row r="2124" spans="1:27" x14ac:dyDescent="0.3">
      <c r="A2124" s="3">
        <v>32</v>
      </c>
      <c r="B2124" s="2" t="str">
        <f>"17400017200"</f>
        <v>17400017200</v>
      </c>
      <c r="C2124" s="2" t="s">
        <v>28</v>
      </c>
      <c r="D2124" t="s">
        <v>1945</v>
      </c>
      <c r="E2124" s="2" t="s">
        <v>30</v>
      </c>
      <c r="F2124" s="2">
        <v>37013</v>
      </c>
      <c r="G2124" s="2" t="s">
        <v>31</v>
      </c>
      <c r="H2124" t="s">
        <v>32</v>
      </c>
      <c r="I2124" s="6">
        <v>42247</v>
      </c>
      <c r="J2124" s="2" t="s">
        <v>7842</v>
      </c>
      <c r="K2124" s="2">
        <v>0</v>
      </c>
      <c r="L2124" t="s">
        <v>35</v>
      </c>
      <c r="M2124" t="s">
        <v>29</v>
      </c>
      <c r="N2124" t="s">
        <v>30</v>
      </c>
      <c r="O2124">
        <v>37219</v>
      </c>
      <c r="P2124" t="s">
        <v>7843</v>
      </c>
      <c r="Q2124" s="2">
        <v>4.4400000000000004</v>
      </c>
      <c r="R2124" s="2">
        <v>0</v>
      </c>
      <c r="S2124" s="2">
        <v>0</v>
      </c>
      <c r="T2124" t="s">
        <v>7844</v>
      </c>
      <c r="U2124" s="6">
        <v>32190</v>
      </c>
      <c r="V2124" s="2">
        <v>47037015630</v>
      </c>
      <c r="W2124" s="2" t="s">
        <v>68</v>
      </c>
      <c r="X2124" s="1">
        <v>45658</v>
      </c>
      <c r="Y2124" s="2">
        <v>67400</v>
      </c>
      <c r="Z2124" s="2">
        <v>0</v>
      </c>
      <c r="AA2124" s="2">
        <v>67400</v>
      </c>
    </row>
    <row r="2125" spans="1:27" x14ac:dyDescent="0.3">
      <c r="A2125" s="3">
        <v>32</v>
      </c>
      <c r="B2125" s="2" t="str">
        <f>"17500013400"</f>
        <v>17500013400</v>
      </c>
      <c r="C2125" s="2" t="s">
        <v>28</v>
      </c>
      <c r="D2125" t="s">
        <v>1945</v>
      </c>
      <c r="E2125" s="2" t="s">
        <v>30</v>
      </c>
      <c r="F2125" s="2">
        <v>37013</v>
      </c>
      <c r="G2125" s="2" t="s">
        <v>31</v>
      </c>
      <c r="H2125" t="s">
        <v>32</v>
      </c>
      <c r="I2125" s="6">
        <v>42251</v>
      </c>
      <c r="J2125" s="2" t="s">
        <v>7845</v>
      </c>
      <c r="K2125" s="2">
        <v>0</v>
      </c>
      <c r="L2125" t="s">
        <v>35</v>
      </c>
      <c r="M2125" t="s">
        <v>29</v>
      </c>
      <c r="N2125" t="s">
        <v>30</v>
      </c>
      <c r="O2125">
        <v>37219</v>
      </c>
      <c r="P2125" t="s">
        <v>7846</v>
      </c>
      <c r="Q2125" s="2">
        <v>12.13</v>
      </c>
      <c r="R2125" s="2">
        <v>0</v>
      </c>
      <c r="S2125" s="2">
        <v>0</v>
      </c>
      <c r="T2125" t="s">
        <v>7844</v>
      </c>
      <c r="U2125" s="6">
        <v>32190</v>
      </c>
      <c r="V2125" s="2">
        <v>47037015630</v>
      </c>
      <c r="W2125" s="2" t="s">
        <v>68</v>
      </c>
      <c r="X2125" s="1">
        <v>45658</v>
      </c>
      <c r="Y2125" s="2">
        <v>138100</v>
      </c>
      <c r="Z2125" s="2">
        <v>0</v>
      </c>
      <c r="AA2125" s="2">
        <v>138100</v>
      </c>
    </row>
    <row r="2126" spans="1:27" x14ac:dyDescent="0.3">
      <c r="A2126" s="3">
        <v>32</v>
      </c>
      <c r="B2126" s="2" t="str">
        <f>"17500013900"</f>
        <v>17500013900</v>
      </c>
      <c r="C2126" s="2" t="s">
        <v>28</v>
      </c>
      <c r="D2126" t="s">
        <v>1945</v>
      </c>
      <c r="E2126" s="2" t="s">
        <v>30</v>
      </c>
      <c r="F2126" s="2">
        <v>37013</v>
      </c>
      <c r="G2126" s="2" t="s">
        <v>31</v>
      </c>
      <c r="H2126" t="s">
        <v>32</v>
      </c>
      <c r="I2126" s="6">
        <v>42251</v>
      </c>
      <c r="J2126" s="2" t="s">
        <v>7845</v>
      </c>
      <c r="K2126" s="2">
        <v>0</v>
      </c>
      <c r="L2126" t="s">
        <v>35</v>
      </c>
      <c r="M2126" t="s">
        <v>29</v>
      </c>
      <c r="N2126" t="s">
        <v>30</v>
      </c>
      <c r="O2126">
        <v>37219</v>
      </c>
      <c r="P2126" t="s">
        <v>7847</v>
      </c>
      <c r="Q2126" s="2">
        <v>27.13</v>
      </c>
      <c r="R2126" s="2">
        <v>0</v>
      </c>
      <c r="S2126" s="2">
        <v>0</v>
      </c>
      <c r="T2126" t="s">
        <v>209</v>
      </c>
      <c r="U2126" s="6">
        <v>39814</v>
      </c>
      <c r="V2126" s="2">
        <v>47037015630</v>
      </c>
      <c r="W2126" s="2" t="s">
        <v>68</v>
      </c>
      <c r="X2126" s="1">
        <v>45658</v>
      </c>
      <c r="Y2126" s="2">
        <v>355700</v>
      </c>
      <c r="Z2126" s="2">
        <v>0</v>
      </c>
      <c r="AA2126" s="2">
        <v>355700</v>
      </c>
    </row>
    <row r="2127" spans="1:27" x14ac:dyDescent="0.3">
      <c r="A2127" s="3">
        <v>32</v>
      </c>
      <c r="B2127" s="2" t="str">
        <f>"17500017100"</f>
        <v>17500017100</v>
      </c>
      <c r="C2127" s="2" t="s">
        <v>28</v>
      </c>
      <c r="D2127" t="s">
        <v>1945</v>
      </c>
      <c r="E2127" s="2" t="s">
        <v>30</v>
      </c>
      <c r="F2127" s="2">
        <v>37013</v>
      </c>
      <c r="G2127" s="2" t="s">
        <v>31</v>
      </c>
      <c r="H2127" t="s">
        <v>32</v>
      </c>
      <c r="I2127" s="6">
        <v>42247</v>
      </c>
      <c r="J2127" s="2" t="s">
        <v>7842</v>
      </c>
      <c r="K2127" s="2">
        <v>0</v>
      </c>
      <c r="L2127" t="s">
        <v>35</v>
      </c>
      <c r="M2127" t="s">
        <v>29</v>
      </c>
      <c r="N2127" t="s">
        <v>30</v>
      </c>
      <c r="O2127">
        <v>37219</v>
      </c>
      <c r="P2127" t="s">
        <v>7848</v>
      </c>
      <c r="Q2127" s="2">
        <v>5</v>
      </c>
      <c r="R2127" s="2">
        <v>0</v>
      </c>
      <c r="S2127" s="2">
        <v>0</v>
      </c>
      <c r="T2127" t="s">
        <v>7849</v>
      </c>
      <c r="U2127" s="6">
        <v>32190</v>
      </c>
      <c r="V2127" s="2">
        <v>47037015630</v>
      </c>
      <c r="W2127" s="2" t="s">
        <v>68</v>
      </c>
      <c r="X2127" s="1">
        <v>45658</v>
      </c>
      <c r="Y2127" s="2">
        <v>75900</v>
      </c>
      <c r="Z2127" s="2">
        <v>0</v>
      </c>
      <c r="AA2127" s="2">
        <v>75900</v>
      </c>
    </row>
    <row r="2128" spans="1:27" x14ac:dyDescent="0.3">
      <c r="A2128" s="3">
        <v>32</v>
      </c>
      <c r="B2128" s="2" t="str">
        <f>"17500018200"</f>
        <v>17500018200</v>
      </c>
      <c r="C2128" s="2" t="s">
        <v>28</v>
      </c>
      <c r="D2128" t="s">
        <v>1945</v>
      </c>
      <c r="E2128" s="2" t="s">
        <v>30</v>
      </c>
      <c r="F2128" s="2">
        <v>37013</v>
      </c>
      <c r="G2128" s="2" t="s">
        <v>31</v>
      </c>
      <c r="H2128" t="s">
        <v>32</v>
      </c>
      <c r="I2128" s="6">
        <v>42251</v>
      </c>
      <c r="J2128" s="2" t="s">
        <v>7845</v>
      </c>
      <c r="K2128" s="2">
        <v>0</v>
      </c>
      <c r="L2128" t="s">
        <v>35</v>
      </c>
      <c r="M2128" t="s">
        <v>29</v>
      </c>
      <c r="N2128" t="s">
        <v>30</v>
      </c>
      <c r="O2128">
        <v>37219</v>
      </c>
      <c r="P2128" t="s">
        <v>7850</v>
      </c>
      <c r="Q2128" s="2">
        <v>9.15</v>
      </c>
      <c r="R2128" s="2">
        <v>0</v>
      </c>
      <c r="S2128" s="2">
        <v>0</v>
      </c>
      <c r="T2128" t="s">
        <v>7851</v>
      </c>
      <c r="U2128" s="6">
        <v>33043</v>
      </c>
      <c r="V2128" s="2">
        <v>47037015630</v>
      </c>
      <c r="W2128" s="2" t="s">
        <v>68</v>
      </c>
      <c r="X2128" s="1">
        <v>45658</v>
      </c>
      <c r="Y2128" s="2">
        <v>438200</v>
      </c>
      <c r="Z2128" s="2">
        <v>0</v>
      </c>
      <c r="AA2128" s="2">
        <v>438200</v>
      </c>
    </row>
    <row r="2129" spans="1:27" x14ac:dyDescent="0.3">
      <c r="A2129" s="3">
        <v>32</v>
      </c>
      <c r="B2129" s="2" t="str">
        <f>"17500002700"</f>
        <v>17500002700</v>
      </c>
      <c r="C2129" s="2" t="s">
        <v>7852</v>
      </c>
      <c r="D2129" t="s">
        <v>1945</v>
      </c>
      <c r="E2129" s="2" t="s">
        <v>30</v>
      </c>
      <c r="F2129" s="2">
        <v>37013</v>
      </c>
      <c r="G2129" s="2" t="s">
        <v>194</v>
      </c>
      <c r="H2129" t="s">
        <v>32</v>
      </c>
      <c r="I2129" s="6">
        <v>42257</v>
      </c>
      <c r="J2129" s="2" t="s">
        <v>7833</v>
      </c>
      <c r="K2129" s="2">
        <v>0</v>
      </c>
      <c r="L2129" t="s">
        <v>35</v>
      </c>
      <c r="M2129" t="s">
        <v>29</v>
      </c>
      <c r="N2129" t="s">
        <v>30</v>
      </c>
      <c r="O2129">
        <v>37219</v>
      </c>
      <c r="P2129" t="s">
        <v>7853</v>
      </c>
      <c r="Q2129" s="2">
        <v>45.55</v>
      </c>
      <c r="R2129" s="2">
        <v>0</v>
      </c>
      <c r="S2129" s="2">
        <v>0</v>
      </c>
      <c r="T2129" t="s">
        <v>7854</v>
      </c>
      <c r="U2129" s="6">
        <v>7238</v>
      </c>
      <c r="V2129" s="2">
        <v>47037015630</v>
      </c>
      <c r="W2129" s="2" t="s">
        <v>68</v>
      </c>
      <c r="X2129" s="1">
        <v>45658</v>
      </c>
      <c r="Y2129" s="2">
        <v>1800700</v>
      </c>
      <c r="Z2129" s="2">
        <v>308900</v>
      </c>
      <c r="AA2129" s="2">
        <v>1491800</v>
      </c>
    </row>
    <row r="2130" spans="1:27" x14ac:dyDescent="0.3">
      <c r="A2130" s="3">
        <v>32</v>
      </c>
      <c r="B2130" s="2" t="str">
        <f>"17500010500"</f>
        <v>17500010500</v>
      </c>
      <c r="C2130" s="2" t="s">
        <v>28</v>
      </c>
      <c r="D2130" t="s">
        <v>1945</v>
      </c>
      <c r="E2130" s="2" t="s">
        <v>30</v>
      </c>
      <c r="F2130" s="2">
        <v>37013</v>
      </c>
      <c r="G2130" s="2" t="s">
        <v>31</v>
      </c>
      <c r="H2130" t="s">
        <v>32</v>
      </c>
      <c r="I2130" s="6">
        <v>42257</v>
      </c>
      <c r="J2130" s="2" t="s">
        <v>7833</v>
      </c>
      <c r="K2130" s="2">
        <v>0</v>
      </c>
      <c r="L2130" t="s">
        <v>35</v>
      </c>
      <c r="M2130" t="s">
        <v>29</v>
      </c>
      <c r="N2130" t="s">
        <v>30</v>
      </c>
      <c r="O2130">
        <v>37219</v>
      </c>
      <c r="P2130" t="s">
        <v>7855</v>
      </c>
      <c r="Q2130" s="2">
        <v>0.09</v>
      </c>
      <c r="R2130" s="2">
        <v>130</v>
      </c>
      <c r="S2130" s="2">
        <v>250</v>
      </c>
      <c r="T2130" t="s">
        <v>7854</v>
      </c>
      <c r="U2130" s="6">
        <v>7238</v>
      </c>
      <c r="V2130" s="2">
        <v>47037015630</v>
      </c>
      <c r="W2130" s="2" t="s">
        <v>68</v>
      </c>
      <c r="X2130" s="1">
        <v>45658</v>
      </c>
      <c r="Y2130" s="2">
        <v>2300</v>
      </c>
      <c r="Z2130" s="2">
        <v>0</v>
      </c>
      <c r="AA2130" s="2">
        <v>2300</v>
      </c>
    </row>
    <row r="2131" spans="1:27" x14ac:dyDescent="0.3">
      <c r="A2131" s="3">
        <v>32</v>
      </c>
      <c r="B2131" s="2" t="str">
        <f>"17500010600"</f>
        <v>17500010600</v>
      </c>
      <c r="C2131" s="2" t="s">
        <v>28</v>
      </c>
      <c r="D2131" t="s">
        <v>1945</v>
      </c>
      <c r="E2131" s="2" t="s">
        <v>30</v>
      </c>
      <c r="F2131" s="2">
        <v>37013</v>
      </c>
      <c r="G2131" s="2" t="s">
        <v>31</v>
      </c>
      <c r="H2131" t="s">
        <v>32</v>
      </c>
      <c r="I2131" s="6">
        <v>42257</v>
      </c>
      <c r="J2131" s="2" t="s">
        <v>7833</v>
      </c>
      <c r="K2131" s="2">
        <v>0</v>
      </c>
      <c r="L2131" t="s">
        <v>35</v>
      </c>
      <c r="M2131" t="s">
        <v>29</v>
      </c>
      <c r="N2131" t="s">
        <v>30</v>
      </c>
      <c r="O2131">
        <v>37219</v>
      </c>
      <c r="P2131" t="s">
        <v>7855</v>
      </c>
      <c r="Q2131" s="2">
        <v>0.18</v>
      </c>
      <c r="R2131" s="2">
        <v>185</v>
      </c>
      <c r="S2131" s="2">
        <v>116</v>
      </c>
      <c r="T2131" t="s">
        <v>7856</v>
      </c>
      <c r="U2131" s="6">
        <v>31565</v>
      </c>
      <c r="V2131" s="2">
        <v>47037015630</v>
      </c>
      <c r="W2131" s="2" t="s">
        <v>68</v>
      </c>
      <c r="X2131" s="1">
        <v>45658</v>
      </c>
      <c r="Y2131" s="2">
        <v>11500</v>
      </c>
      <c r="Z2131" s="2">
        <v>0</v>
      </c>
      <c r="AA2131" s="2">
        <v>11500</v>
      </c>
    </row>
    <row r="2132" spans="1:27" x14ac:dyDescent="0.3">
      <c r="A2132" s="3">
        <v>32</v>
      </c>
      <c r="B2132" s="2" t="str">
        <f>"17500002900"</f>
        <v>17500002900</v>
      </c>
      <c r="C2132" s="2" t="s">
        <v>7857</v>
      </c>
      <c r="D2132" t="s">
        <v>1945</v>
      </c>
      <c r="E2132" s="2" t="s">
        <v>30</v>
      </c>
      <c r="F2132" s="2">
        <v>37013</v>
      </c>
      <c r="G2132" s="2" t="s">
        <v>194</v>
      </c>
      <c r="H2132" t="s">
        <v>32</v>
      </c>
      <c r="I2132" s="6">
        <v>42257</v>
      </c>
      <c r="J2132" s="2" t="s">
        <v>7833</v>
      </c>
      <c r="K2132" s="2">
        <v>0</v>
      </c>
      <c r="L2132" t="s">
        <v>35</v>
      </c>
      <c r="M2132" t="s">
        <v>29</v>
      </c>
      <c r="N2132" t="s">
        <v>30</v>
      </c>
      <c r="O2132">
        <v>37219</v>
      </c>
      <c r="P2132" t="s">
        <v>7858</v>
      </c>
      <c r="Q2132" s="2">
        <v>62.25</v>
      </c>
      <c r="R2132" s="2">
        <v>0</v>
      </c>
      <c r="S2132" s="2">
        <v>0</v>
      </c>
      <c r="T2132" t="s">
        <v>198</v>
      </c>
      <c r="U2132" s="6">
        <v>42369</v>
      </c>
      <c r="V2132" s="2">
        <v>47037015630</v>
      </c>
      <c r="W2132" s="2" t="s">
        <v>68</v>
      </c>
      <c r="X2132" s="1">
        <v>45658</v>
      </c>
      <c r="Y2132" s="2">
        <v>2264500</v>
      </c>
      <c r="Z2132" s="2">
        <v>187600</v>
      </c>
      <c r="AA2132" s="2">
        <v>2076900</v>
      </c>
    </row>
    <row r="2133" spans="1:27" x14ac:dyDescent="0.3">
      <c r="A2133" s="3">
        <v>32</v>
      </c>
      <c r="B2133" s="2" t="str">
        <f>"17500021400"</f>
        <v>17500021400</v>
      </c>
      <c r="C2133" s="2" t="s">
        <v>28</v>
      </c>
      <c r="D2133" t="s">
        <v>1945</v>
      </c>
      <c r="E2133" s="2" t="s">
        <v>30</v>
      </c>
      <c r="F2133" s="2">
        <v>37013</v>
      </c>
      <c r="G2133" s="2" t="s">
        <v>41</v>
      </c>
      <c r="H2133" t="s">
        <v>32</v>
      </c>
      <c r="I2133" s="6">
        <v>42247</v>
      </c>
      <c r="J2133" s="2" t="s">
        <v>7829</v>
      </c>
      <c r="K2133" s="2">
        <v>0</v>
      </c>
      <c r="L2133" t="s">
        <v>35</v>
      </c>
      <c r="M2133" t="s">
        <v>29</v>
      </c>
      <c r="N2133" t="s">
        <v>30</v>
      </c>
      <c r="O2133">
        <v>37219</v>
      </c>
      <c r="P2133" t="s">
        <v>7850</v>
      </c>
      <c r="Q2133" s="2">
        <v>6.29</v>
      </c>
      <c r="R2133" s="2">
        <v>105</v>
      </c>
      <c r="S2133" s="2">
        <v>0</v>
      </c>
      <c r="T2133" t="s">
        <v>7859</v>
      </c>
      <c r="U2133" s="6">
        <v>39066</v>
      </c>
      <c r="V2133" s="2">
        <v>47037015630</v>
      </c>
      <c r="W2133" s="2" t="s">
        <v>68</v>
      </c>
      <c r="X2133" s="1">
        <v>45658</v>
      </c>
      <c r="Y2133" s="2">
        <v>440300</v>
      </c>
      <c r="Z2133" s="2">
        <v>0</v>
      </c>
      <c r="AA2133" s="2">
        <v>440300</v>
      </c>
    </row>
    <row r="2134" spans="1:27" x14ac:dyDescent="0.3">
      <c r="A2134" s="3">
        <v>32</v>
      </c>
      <c r="B2134" s="2" t="str">
        <f>"17500021500"</f>
        <v>17500021500</v>
      </c>
      <c r="C2134" s="2" t="s">
        <v>28</v>
      </c>
      <c r="D2134" t="s">
        <v>1945</v>
      </c>
      <c r="E2134" s="2" t="s">
        <v>30</v>
      </c>
      <c r="F2134" s="2">
        <v>37013</v>
      </c>
      <c r="G2134" s="2" t="s">
        <v>41</v>
      </c>
      <c r="H2134" t="s">
        <v>32</v>
      </c>
      <c r="I2134" s="6">
        <v>39066</v>
      </c>
      <c r="J2134" s="2" t="s">
        <v>7859</v>
      </c>
      <c r="K2134" s="2">
        <v>0</v>
      </c>
      <c r="L2134" t="s">
        <v>35</v>
      </c>
      <c r="M2134" t="s">
        <v>29</v>
      </c>
      <c r="N2134" t="s">
        <v>30</v>
      </c>
      <c r="O2134">
        <v>37219</v>
      </c>
      <c r="P2134" t="s">
        <v>7860</v>
      </c>
      <c r="Q2134" s="2">
        <v>2.12</v>
      </c>
      <c r="R2134" s="2">
        <v>187</v>
      </c>
      <c r="S2134" s="2">
        <v>0</v>
      </c>
      <c r="T2134" t="s">
        <v>7859</v>
      </c>
      <c r="U2134" s="6">
        <v>39066</v>
      </c>
      <c r="V2134" s="2">
        <v>47037015630</v>
      </c>
      <c r="W2134" s="2" t="s">
        <v>68</v>
      </c>
      <c r="X2134" s="1">
        <v>45658</v>
      </c>
      <c r="Y2134" s="2">
        <v>148400</v>
      </c>
      <c r="Z2134" s="2">
        <v>0</v>
      </c>
      <c r="AA2134" s="2">
        <v>148400</v>
      </c>
    </row>
    <row r="2135" spans="1:27" x14ac:dyDescent="0.3">
      <c r="A2135" s="3">
        <v>32</v>
      </c>
      <c r="B2135" s="2" t="str">
        <f>"17500018100"</f>
        <v>17500018100</v>
      </c>
      <c r="C2135" s="2" t="s">
        <v>28</v>
      </c>
      <c r="D2135" t="s">
        <v>1945</v>
      </c>
      <c r="E2135" s="2" t="s">
        <v>30</v>
      </c>
      <c r="F2135" s="2">
        <v>37013</v>
      </c>
      <c r="G2135" s="2" t="s">
        <v>41</v>
      </c>
      <c r="H2135" t="s">
        <v>32</v>
      </c>
      <c r="I2135" s="6">
        <v>42247</v>
      </c>
      <c r="J2135" s="2" t="s">
        <v>7829</v>
      </c>
      <c r="K2135" s="2">
        <v>0</v>
      </c>
      <c r="L2135" t="s">
        <v>35</v>
      </c>
      <c r="M2135" t="s">
        <v>29</v>
      </c>
      <c r="N2135" t="s">
        <v>30</v>
      </c>
      <c r="O2135">
        <v>37219</v>
      </c>
      <c r="P2135" t="s">
        <v>7861</v>
      </c>
      <c r="Q2135" s="2">
        <v>5.25</v>
      </c>
      <c r="R2135" s="2">
        <v>0</v>
      </c>
      <c r="S2135" s="2">
        <v>0</v>
      </c>
      <c r="T2135" t="s">
        <v>7859</v>
      </c>
      <c r="U2135" s="6">
        <v>39066</v>
      </c>
      <c r="V2135" s="2">
        <v>47037015630</v>
      </c>
      <c r="W2135" s="2" t="s">
        <v>68</v>
      </c>
      <c r="X2135" s="1">
        <v>45658</v>
      </c>
      <c r="Y2135" s="2">
        <v>525000</v>
      </c>
      <c r="Z2135" s="2">
        <v>0</v>
      </c>
      <c r="AA2135" s="2">
        <v>525000</v>
      </c>
    </row>
    <row r="2136" spans="1:27" x14ac:dyDescent="0.3">
      <c r="A2136" s="3">
        <v>32</v>
      </c>
      <c r="B2136" s="2" t="str">
        <f>"17500002300"</f>
        <v>17500002300</v>
      </c>
      <c r="C2136" s="2" t="s">
        <v>28</v>
      </c>
      <c r="D2136" t="s">
        <v>1945</v>
      </c>
      <c r="E2136" s="2" t="s">
        <v>30</v>
      </c>
      <c r="F2136" s="2">
        <v>37013</v>
      </c>
      <c r="G2136" s="2" t="s">
        <v>41</v>
      </c>
      <c r="H2136" t="s">
        <v>32</v>
      </c>
      <c r="I2136" s="6">
        <v>42257</v>
      </c>
      <c r="J2136" s="2" t="s">
        <v>7862</v>
      </c>
      <c r="K2136" s="2">
        <v>0</v>
      </c>
      <c r="L2136" t="s">
        <v>35</v>
      </c>
      <c r="M2136" t="s">
        <v>29</v>
      </c>
      <c r="N2136" t="s">
        <v>30</v>
      </c>
      <c r="O2136">
        <v>37219</v>
      </c>
      <c r="P2136" t="s">
        <v>7863</v>
      </c>
      <c r="Q2136" s="2">
        <v>168.82</v>
      </c>
      <c r="R2136" s="2">
        <v>0</v>
      </c>
      <c r="S2136" s="2">
        <v>0</v>
      </c>
      <c r="T2136" t="s">
        <v>7864</v>
      </c>
      <c r="U2136" s="6">
        <v>43348</v>
      </c>
      <c r="V2136" s="2">
        <v>47037015630</v>
      </c>
      <c r="W2136" s="2" t="s">
        <v>68</v>
      </c>
      <c r="X2136" s="1">
        <v>45658</v>
      </c>
      <c r="Y2136" s="2">
        <v>6077500</v>
      </c>
      <c r="Z2136" s="2">
        <v>0</v>
      </c>
      <c r="AA2136" s="2">
        <v>6077500</v>
      </c>
    </row>
    <row r="2137" spans="1:27" x14ac:dyDescent="0.3">
      <c r="A2137" s="3">
        <v>32</v>
      </c>
      <c r="B2137" s="2" t="str">
        <f>"17500013700"</f>
        <v>17500013700</v>
      </c>
      <c r="C2137" s="2" t="s">
        <v>28</v>
      </c>
      <c r="D2137" t="s">
        <v>1945</v>
      </c>
      <c r="E2137" s="2" t="s">
        <v>30</v>
      </c>
      <c r="F2137" s="2">
        <v>37013</v>
      </c>
      <c r="G2137" s="2" t="s">
        <v>41</v>
      </c>
      <c r="H2137" t="s">
        <v>32</v>
      </c>
      <c r="I2137" s="6">
        <v>42247</v>
      </c>
      <c r="J2137" s="2" t="s">
        <v>7829</v>
      </c>
      <c r="K2137" s="2">
        <v>0</v>
      </c>
      <c r="L2137" t="s">
        <v>35</v>
      </c>
      <c r="M2137" t="s">
        <v>29</v>
      </c>
      <c r="N2137" t="s">
        <v>30</v>
      </c>
      <c r="O2137">
        <v>37219</v>
      </c>
      <c r="P2137" t="s">
        <v>7847</v>
      </c>
      <c r="Q2137" s="2">
        <v>30.57</v>
      </c>
      <c r="R2137" s="2">
        <v>0</v>
      </c>
      <c r="S2137" s="2">
        <v>0</v>
      </c>
      <c r="T2137" t="s">
        <v>7859</v>
      </c>
      <c r="U2137" s="6">
        <v>39066</v>
      </c>
      <c r="V2137" s="2">
        <v>47037015630</v>
      </c>
      <c r="W2137" s="2" t="s">
        <v>68</v>
      </c>
      <c r="X2137" s="1">
        <v>45658</v>
      </c>
      <c r="Y2137" s="2">
        <v>1528500</v>
      </c>
      <c r="Z2137" s="2">
        <v>0</v>
      </c>
      <c r="AA2137" s="2">
        <v>1528500</v>
      </c>
    </row>
    <row r="2138" spans="1:27" x14ac:dyDescent="0.3">
      <c r="A2138" s="3">
        <v>32</v>
      </c>
      <c r="B2138" s="2" t="str">
        <f>"16300013300"</f>
        <v>16300013300</v>
      </c>
      <c r="C2138" s="2" t="s">
        <v>7865</v>
      </c>
      <c r="D2138" t="s">
        <v>1945</v>
      </c>
      <c r="E2138" s="2" t="s">
        <v>30</v>
      </c>
      <c r="F2138" s="2">
        <v>37013</v>
      </c>
      <c r="G2138" s="2" t="s">
        <v>1153</v>
      </c>
      <c r="H2138" t="s">
        <v>32</v>
      </c>
      <c r="I2138" s="6">
        <v>44111</v>
      </c>
      <c r="J2138" s="2" t="s">
        <v>7866</v>
      </c>
      <c r="K2138" s="2">
        <v>2900000</v>
      </c>
      <c r="L2138" t="s">
        <v>35</v>
      </c>
      <c r="M2138" t="s">
        <v>29</v>
      </c>
      <c r="N2138" t="s">
        <v>30</v>
      </c>
      <c r="O2138">
        <v>37219</v>
      </c>
      <c r="P2138" t="s">
        <v>7867</v>
      </c>
      <c r="Q2138" s="2">
        <v>38.9</v>
      </c>
      <c r="R2138" s="2">
        <v>0</v>
      </c>
      <c r="S2138" s="2">
        <v>0</v>
      </c>
      <c r="T2138" t="s">
        <v>7868</v>
      </c>
      <c r="U2138" s="6">
        <v>25322</v>
      </c>
      <c r="V2138" s="2">
        <v>47037015629</v>
      </c>
      <c r="W2138" s="2" t="s">
        <v>68</v>
      </c>
      <c r="X2138" s="1">
        <v>45658</v>
      </c>
      <c r="Y2138" s="2">
        <v>1133300</v>
      </c>
      <c r="Z2138" s="2">
        <v>2500</v>
      </c>
      <c r="AA2138" s="2">
        <v>1130800</v>
      </c>
    </row>
    <row r="2139" spans="1:27" x14ac:dyDescent="0.3">
      <c r="A2139" s="3">
        <v>32</v>
      </c>
      <c r="B2139" s="2" t="str">
        <f>"16300041700"</f>
        <v>16300041700</v>
      </c>
      <c r="C2139" s="2" t="s">
        <v>7869</v>
      </c>
      <c r="D2139" t="s">
        <v>1945</v>
      </c>
      <c r="E2139" s="2" t="s">
        <v>30</v>
      </c>
      <c r="F2139" s="2">
        <v>37013</v>
      </c>
      <c r="G2139" s="2" t="s">
        <v>41</v>
      </c>
      <c r="H2139" t="s">
        <v>32</v>
      </c>
      <c r="I2139" s="6">
        <v>42244</v>
      </c>
      <c r="J2139" s="2" t="s">
        <v>7870</v>
      </c>
      <c r="K2139" s="2">
        <v>0</v>
      </c>
      <c r="L2139" t="s">
        <v>35</v>
      </c>
      <c r="M2139" t="s">
        <v>29</v>
      </c>
      <c r="N2139" t="s">
        <v>30</v>
      </c>
      <c r="O2139">
        <v>37219</v>
      </c>
      <c r="P2139" t="s">
        <v>7871</v>
      </c>
      <c r="Q2139" s="2">
        <v>23.94</v>
      </c>
      <c r="R2139" s="2">
        <v>60</v>
      </c>
      <c r="S2139" s="2">
        <v>392</v>
      </c>
      <c r="T2139" t="s">
        <v>7872</v>
      </c>
      <c r="U2139" s="6">
        <v>40169</v>
      </c>
      <c r="V2139" s="2">
        <v>47037015629</v>
      </c>
      <c r="W2139" s="2" t="s">
        <v>68</v>
      </c>
      <c r="X2139" s="1">
        <v>45658</v>
      </c>
      <c r="Y2139" s="2">
        <v>2394000</v>
      </c>
      <c r="Z2139" s="2">
        <v>0</v>
      </c>
      <c r="AA2139" s="2">
        <v>2394000</v>
      </c>
    </row>
    <row r="2140" spans="1:27" x14ac:dyDescent="0.3">
      <c r="A2140" s="3">
        <v>32</v>
      </c>
      <c r="B2140" s="2" t="str">
        <f>"16300038900"</f>
        <v>16300038900</v>
      </c>
      <c r="C2140" s="2" t="s">
        <v>7873</v>
      </c>
      <c r="D2140" t="s">
        <v>1945</v>
      </c>
      <c r="E2140" s="2" t="s">
        <v>30</v>
      </c>
      <c r="F2140" s="2">
        <v>37013</v>
      </c>
      <c r="G2140" s="2" t="s">
        <v>870</v>
      </c>
      <c r="H2140" t="s">
        <v>32</v>
      </c>
      <c r="I2140" s="6">
        <v>42355</v>
      </c>
      <c r="J2140" s="2" t="s">
        <v>7874</v>
      </c>
      <c r="K2140" s="2">
        <v>0</v>
      </c>
      <c r="L2140" t="s">
        <v>35</v>
      </c>
      <c r="M2140" t="s">
        <v>29</v>
      </c>
      <c r="N2140" t="s">
        <v>30</v>
      </c>
      <c r="O2140">
        <v>37219</v>
      </c>
      <c r="P2140" t="s">
        <v>7875</v>
      </c>
      <c r="Q2140" s="2">
        <v>9.09</v>
      </c>
      <c r="R2140" s="2">
        <v>0</v>
      </c>
      <c r="S2140" s="2">
        <v>0</v>
      </c>
      <c r="T2140" t="s">
        <v>7876</v>
      </c>
      <c r="U2140" s="6">
        <v>40078</v>
      </c>
      <c r="V2140" s="2">
        <v>47037015629</v>
      </c>
      <c r="W2140" s="2" t="s">
        <v>68</v>
      </c>
      <c r="X2140" s="1">
        <v>45658</v>
      </c>
      <c r="Y2140" s="2">
        <v>1700</v>
      </c>
      <c r="Z2140" s="2">
        <v>0</v>
      </c>
      <c r="AA2140" s="2">
        <v>1700</v>
      </c>
    </row>
    <row r="2141" spans="1:27" x14ac:dyDescent="0.3">
      <c r="A2141" s="3">
        <v>32</v>
      </c>
      <c r="B2141" s="2" t="str">
        <f>"16300042200"</f>
        <v>16300042200</v>
      </c>
      <c r="C2141" s="2" t="s">
        <v>7877</v>
      </c>
      <c r="D2141" t="s">
        <v>1945</v>
      </c>
      <c r="E2141" s="2" t="s">
        <v>30</v>
      </c>
      <c r="F2141" s="2">
        <v>37013</v>
      </c>
      <c r="G2141" s="2" t="s">
        <v>152</v>
      </c>
      <c r="H2141" t="s">
        <v>32</v>
      </c>
      <c r="I2141" s="6">
        <v>41691</v>
      </c>
      <c r="J2141" s="2" t="s">
        <v>7878</v>
      </c>
      <c r="K2141" s="2">
        <v>0</v>
      </c>
      <c r="L2141" t="s">
        <v>35</v>
      </c>
      <c r="M2141" t="s">
        <v>29</v>
      </c>
      <c r="N2141" t="s">
        <v>30</v>
      </c>
      <c r="O2141">
        <v>37219</v>
      </c>
      <c r="P2141" t="s">
        <v>7879</v>
      </c>
      <c r="Q2141" s="2">
        <v>12.3</v>
      </c>
      <c r="R2141" s="2">
        <v>250</v>
      </c>
      <c r="S2141" s="2">
        <v>0</v>
      </c>
      <c r="T2141" t="s">
        <v>7794</v>
      </c>
      <c r="U2141" s="6">
        <v>41684</v>
      </c>
      <c r="V2141" s="2">
        <v>47037015628</v>
      </c>
      <c r="W2141" s="2" t="s">
        <v>68</v>
      </c>
      <c r="X2141" s="1">
        <v>45658</v>
      </c>
      <c r="Y2141" s="2">
        <v>3214700</v>
      </c>
      <c r="Z2141" s="2">
        <v>0</v>
      </c>
      <c r="AA2141" s="2">
        <v>3214700</v>
      </c>
    </row>
    <row r="2142" spans="1:27" x14ac:dyDescent="0.3">
      <c r="A2142" s="3">
        <v>32</v>
      </c>
      <c r="B2142" s="2" t="str">
        <f>"16300025600"</f>
        <v>16300025600</v>
      </c>
      <c r="C2142" s="2" t="s">
        <v>7880</v>
      </c>
      <c r="D2142" t="s">
        <v>1945</v>
      </c>
      <c r="E2142" s="2" t="s">
        <v>30</v>
      </c>
      <c r="F2142" s="2">
        <v>37013</v>
      </c>
      <c r="G2142" s="2" t="s">
        <v>41</v>
      </c>
      <c r="H2142" t="s">
        <v>32</v>
      </c>
      <c r="I2142" s="6">
        <v>44701</v>
      </c>
      <c r="J2142" s="2" t="s">
        <v>7791</v>
      </c>
      <c r="K2142" s="2" t="s">
        <v>34</v>
      </c>
      <c r="L2142" t="s">
        <v>7792</v>
      </c>
      <c r="M2142" t="s">
        <v>29</v>
      </c>
      <c r="N2142" t="s">
        <v>30</v>
      </c>
      <c r="O2142">
        <v>37219</v>
      </c>
      <c r="P2142" t="s">
        <v>7881</v>
      </c>
      <c r="Q2142" s="2">
        <v>0.62</v>
      </c>
      <c r="R2142" s="2">
        <v>586</v>
      </c>
      <c r="S2142" s="2">
        <v>57</v>
      </c>
      <c r="T2142" t="s">
        <v>7794</v>
      </c>
      <c r="U2142" s="6">
        <v>41684</v>
      </c>
      <c r="V2142" s="2">
        <v>47037015628</v>
      </c>
      <c r="W2142" s="2" t="s">
        <v>68</v>
      </c>
      <c r="X2142" s="1">
        <v>45658</v>
      </c>
      <c r="Y2142" s="2">
        <v>8100</v>
      </c>
      <c r="Z2142" s="2">
        <v>0</v>
      </c>
      <c r="AA2142" s="2">
        <v>8100</v>
      </c>
    </row>
    <row r="2143" spans="1:27" x14ac:dyDescent="0.3">
      <c r="A2143" s="3">
        <v>32</v>
      </c>
      <c r="B2143" s="2" t="str">
        <f>"16300004700"</f>
        <v>16300004700</v>
      </c>
      <c r="C2143" s="2" t="s">
        <v>7882</v>
      </c>
      <c r="D2143" t="s">
        <v>1945</v>
      </c>
      <c r="E2143" s="2" t="s">
        <v>30</v>
      </c>
      <c r="F2143" s="2">
        <v>37013</v>
      </c>
      <c r="G2143" s="2" t="s">
        <v>31</v>
      </c>
      <c r="H2143" t="s">
        <v>99</v>
      </c>
      <c r="I2143" s="6">
        <v>29237</v>
      </c>
      <c r="J2143" s="2" t="s">
        <v>7883</v>
      </c>
      <c r="K2143" s="2" t="s">
        <v>34</v>
      </c>
      <c r="L2143" t="s">
        <v>35</v>
      </c>
      <c r="M2143" t="s">
        <v>29</v>
      </c>
      <c r="N2143" t="s">
        <v>30</v>
      </c>
      <c r="O2143">
        <v>37219</v>
      </c>
      <c r="P2143" t="s">
        <v>7884</v>
      </c>
      <c r="Q2143" s="2">
        <v>0.73</v>
      </c>
      <c r="R2143" s="2">
        <v>160</v>
      </c>
      <c r="S2143" s="2">
        <v>170</v>
      </c>
      <c r="T2143" t="s">
        <v>7885</v>
      </c>
      <c r="U2143" s="6">
        <v>28388</v>
      </c>
      <c r="V2143" s="2">
        <v>47037015628</v>
      </c>
      <c r="W2143" s="2" t="s">
        <v>68</v>
      </c>
      <c r="X2143" s="1">
        <v>45658</v>
      </c>
      <c r="Y2143" s="2">
        <v>100000</v>
      </c>
      <c r="Z2143" s="2">
        <v>0</v>
      </c>
      <c r="AA2143" s="2">
        <v>100000</v>
      </c>
    </row>
    <row r="2144" spans="1:27" x14ac:dyDescent="0.3">
      <c r="A2144" s="3">
        <v>32</v>
      </c>
      <c r="B2144" s="2" t="str">
        <f>"17500021900"</f>
        <v>17500021900</v>
      </c>
      <c r="C2144" s="2" t="s">
        <v>7886</v>
      </c>
      <c r="D2144" t="s">
        <v>1945</v>
      </c>
      <c r="E2144" s="2" t="s">
        <v>30</v>
      </c>
      <c r="F2144" s="2">
        <v>37013</v>
      </c>
      <c r="G2144" s="2" t="s">
        <v>64</v>
      </c>
      <c r="H2144" t="s">
        <v>171</v>
      </c>
      <c r="I2144" s="6">
        <v>38422</v>
      </c>
      <c r="J2144" s="2" t="s">
        <v>7887</v>
      </c>
      <c r="K2144" s="2" t="s">
        <v>34</v>
      </c>
      <c r="L2144" t="s">
        <v>35</v>
      </c>
      <c r="M2144" t="s">
        <v>29</v>
      </c>
      <c r="N2144" t="s">
        <v>30</v>
      </c>
      <c r="O2144">
        <v>37219</v>
      </c>
      <c r="P2144" t="s">
        <v>7888</v>
      </c>
      <c r="Q2144" s="2">
        <v>22.04</v>
      </c>
      <c r="R2144" s="2">
        <v>0</v>
      </c>
      <c r="S2144" s="2">
        <v>0</v>
      </c>
      <c r="T2144" t="s">
        <v>7889</v>
      </c>
      <c r="U2144" s="6">
        <v>40198</v>
      </c>
      <c r="V2144" s="2">
        <v>47037015630</v>
      </c>
      <c r="W2144" s="2" t="s">
        <v>68</v>
      </c>
      <c r="X2144" s="1">
        <v>45658</v>
      </c>
      <c r="Y2144" s="2">
        <v>1680000</v>
      </c>
      <c r="Z2144" s="2">
        <v>0</v>
      </c>
      <c r="AA2144" s="2">
        <v>1680000</v>
      </c>
    </row>
    <row r="2145" spans="1:27" x14ac:dyDescent="0.3">
      <c r="A2145" s="3">
        <v>32</v>
      </c>
      <c r="B2145" s="2" t="str">
        <f>"17500016500"</f>
        <v>17500016500</v>
      </c>
      <c r="C2145" s="2" t="s">
        <v>7890</v>
      </c>
      <c r="D2145" t="s">
        <v>1945</v>
      </c>
      <c r="E2145" s="2" t="s">
        <v>30</v>
      </c>
      <c r="F2145" s="2">
        <v>37013</v>
      </c>
      <c r="G2145" s="2" t="s">
        <v>1485</v>
      </c>
      <c r="H2145" t="s">
        <v>176</v>
      </c>
      <c r="I2145" s="6">
        <v>32085</v>
      </c>
      <c r="J2145" s="2" t="s">
        <v>7891</v>
      </c>
      <c r="K2145" s="2">
        <v>219000</v>
      </c>
      <c r="L2145" t="s">
        <v>178</v>
      </c>
      <c r="M2145" t="s">
        <v>29</v>
      </c>
      <c r="N2145" t="s">
        <v>30</v>
      </c>
      <c r="O2145">
        <v>37246</v>
      </c>
      <c r="P2145" t="s">
        <v>7892</v>
      </c>
      <c r="Q2145" s="2">
        <v>5.48</v>
      </c>
      <c r="R2145" s="2">
        <v>0</v>
      </c>
      <c r="S2145" s="2">
        <v>0</v>
      </c>
      <c r="T2145" t="s">
        <v>7891</v>
      </c>
      <c r="U2145" s="6">
        <v>32085</v>
      </c>
      <c r="V2145" s="2">
        <v>47037015630</v>
      </c>
      <c r="W2145" s="2" t="s">
        <v>68</v>
      </c>
      <c r="X2145" s="1">
        <v>45658</v>
      </c>
      <c r="Y2145" s="2">
        <v>1972800</v>
      </c>
      <c r="Z2145" s="2">
        <v>0</v>
      </c>
      <c r="AA2145" s="2">
        <v>1972800</v>
      </c>
    </row>
    <row r="2146" spans="1:27" x14ac:dyDescent="0.3">
      <c r="A2146" s="3">
        <v>32</v>
      </c>
      <c r="B2146" s="2" t="str">
        <f>"17400009300"</f>
        <v>17400009300</v>
      </c>
      <c r="C2146" s="2" t="s">
        <v>7893</v>
      </c>
      <c r="D2146" t="s">
        <v>1945</v>
      </c>
      <c r="E2146" s="2" t="s">
        <v>30</v>
      </c>
      <c r="F2146" s="2">
        <v>37013</v>
      </c>
      <c r="G2146" s="2" t="s">
        <v>152</v>
      </c>
      <c r="H2146" t="s">
        <v>176</v>
      </c>
      <c r="I2146" s="6">
        <v>28167</v>
      </c>
      <c r="J2146" s="2" t="s">
        <v>7894</v>
      </c>
      <c r="K2146" s="2" t="s">
        <v>34</v>
      </c>
      <c r="L2146" t="s">
        <v>178</v>
      </c>
      <c r="M2146" t="s">
        <v>29</v>
      </c>
      <c r="N2146" t="s">
        <v>30</v>
      </c>
      <c r="O2146">
        <v>37246</v>
      </c>
      <c r="P2146" t="s">
        <v>7895</v>
      </c>
      <c r="Q2146" s="2">
        <v>8.5399999999999991</v>
      </c>
      <c r="R2146" s="2">
        <v>0</v>
      </c>
      <c r="S2146" s="2">
        <v>0</v>
      </c>
      <c r="T2146" t="s">
        <v>7894</v>
      </c>
      <c r="U2146" s="6">
        <v>28167</v>
      </c>
      <c r="V2146" s="2">
        <v>47037019117</v>
      </c>
      <c r="W2146" s="2" t="s">
        <v>38</v>
      </c>
      <c r="X2146" s="1">
        <v>45658</v>
      </c>
      <c r="Y2146" s="2">
        <v>512900</v>
      </c>
      <c r="Z2146" s="2">
        <v>0</v>
      </c>
      <c r="AA2146" s="2">
        <v>512900</v>
      </c>
    </row>
    <row r="2147" spans="1:27" x14ac:dyDescent="0.3">
      <c r="A2147" s="3">
        <v>32</v>
      </c>
      <c r="B2147" s="2" t="str">
        <f>"16200002700"</f>
        <v>16200002700</v>
      </c>
      <c r="C2147" s="2" t="s">
        <v>7896</v>
      </c>
      <c r="D2147" t="s">
        <v>1945</v>
      </c>
      <c r="E2147" s="2" t="s">
        <v>30</v>
      </c>
      <c r="F2147" s="2">
        <v>37013</v>
      </c>
      <c r="G2147" s="2" t="s">
        <v>253</v>
      </c>
      <c r="H2147" t="s">
        <v>6957</v>
      </c>
      <c r="I2147" s="6">
        <v>12217</v>
      </c>
      <c r="J2147" s="2" t="s">
        <v>7897</v>
      </c>
      <c r="K2147" s="2" t="s">
        <v>34</v>
      </c>
      <c r="L2147" t="s">
        <v>35</v>
      </c>
      <c r="M2147" t="s">
        <v>29</v>
      </c>
      <c r="N2147" t="s">
        <v>30</v>
      </c>
      <c r="O2147">
        <v>37219</v>
      </c>
      <c r="P2147" t="s">
        <v>7898</v>
      </c>
      <c r="Q2147" s="2">
        <v>22.7</v>
      </c>
      <c r="R2147" s="2">
        <v>0</v>
      </c>
      <c r="S2147" s="2">
        <v>0</v>
      </c>
      <c r="T2147" t="s">
        <v>7897</v>
      </c>
      <c r="U2147" s="6">
        <v>12217</v>
      </c>
      <c r="V2147" s="2">
        <v>47037015628</v>
      </c>
      <c r="W2147" s="2" t="s">
        <v>68</v>
      </c>
      <c r="X2147" s="1">
        <v>45658</v>
      </c>
      <c r="Y2147" s="2">
        <v>278200</v>
      </c>
      <c r="Z2147" s="2">
        <v>0</v>
      </c>
      <c r="AA2147" s="2">
        <v>278200</v>
      </c>
    </row>
    <row r="2148" spans="1:27" x14ac:dyDescent="0.3">
      <c r="A2148" s="3">
        <v>32</v>
      </c>
      <c r="B2148" s="2" t="str">
        <f>"16300032900"</f>
        <v>16300032900</v>
      </c>
      <c r="C2148" s="2" t="s">
        <v>7899</v>
      </c>
      <c r="D2148" t="s">
        <v>1945</v>
      </c>
      <c r="E2148" s="2" t="s">
        <v>30</v>
      </c>
      <c r="F2148" s="2">
        <v>37013</v>
      </c>
      <c r="G2148" s="2" t="s">
        <v>152</v>
      </c>
      <c r="H2148" t="s">
        <v>7900</v>
      </c>
      <c r="I2148" s="6">
        <v>32283</v>
      </c>
      <c r="J2148" s="2" t="s">
        <v>7901</v>
      </c>
      <c r="K2148" s="2">
        <v>0</v>
      </c>
      <c r="L2148" t="s">
        <v>35</v>
      </c>
      <c r="M2148" t="s">
        <v>29</v>
      </c>
      <c r="N2148" t="s">
        <v>30</v>
      </c>
      <c r="O2148">
        <v>37219</v>
      </c>
      <c r="P2148" t="s">
        <v>7902</v>
      </c>
      <c r="Q2148" s="2">
        <v>3</v>
      </c>
      <c r="R2148" s="2">
        <v>741</v>
      </c>
      <c r="S2148" s="2">
        <v>79</v>
      </c>
      <c r="T2148" t="s">
        <v>7903</v>
      </c>
      <c r="U2148" s="6">
        <v>32356</v>
      </c>
      <c r="V2148" s="2">
        <v>47037015628</v>
      </c>
      <c r="W2148" s="2" t="s">
        <v>68</v>
      </c>
      <c r="X2148" s="1">
        <v>45658</v>
      </c>
      <c r="Y2148" s="2">
        <v>222200</v>
      </c>
      <c r="Z2148" s="2">
        <v>0</v>
      </c>
      <c r="AA2148" s="2">
        <v>222200</v>
      </c>
    </row>
    <row r="2149" spans="1:27" x14ac:dyDescent="0.3">
      <c r="A2149" s="3">
        <v>32</v>
      </c>
      <c r="B2149" s="2" t="str">
        <f>"16400031900"</f>
        <v>16400031900</v>
      </c>
      <c r="C2149" s="2" t="s">
        <v>7904</v>
      </c>
      <c r="D2149" t="s">
        <v>1945</v>
      </c>
      <c r="E2149" s="2" t="s">
        <v>30</v>
      </c>
      <c r="F2149" s="2">
        <v>37013</v>
      </c>
      <c r="G2149" s="2" t="s">
        <v>64</v>
      </c>
      <c r="H2149" t="s">
        <v>7905</v>
      </c>
      <c r="I2149" s="6">
        <v>40679</v>
      </c>
      <c r="J2149" s="2" t="s">
        <v>7906</v>
      </c>
      <c r="K2149" s="2">
        <v>1000</v>
      </c>
      <c r="L2149" t="s">
        <v>35</v>
      </c>
      <c r="M2149" t="s">
        <v>29</v>
      </c>
      <c r="N2149" t="s">
        <v>30</v>
      </c>
      <c r="O2149">
        <v>37219</v>
      </c>
      <c r="P2149" t="s">
        <v>7907</v>
      </c>
      <c r="Q2149" s="2">
        <v>13.32</v>
      </c>
      <c r="R2149" s="2">
        <v>51</v>
      </c>
      <c r="S2149" s="2">
        <v>0</v>
      </c>
      <c r="T2149" t="s">
        <v>7908</v>
      </c>
      <c r="U2149" s="6">
        <v>40966</v>
      </c>
      <c r="V2149" s="2">
        <v>47037015630</v>
      </c>
      <c r="W2149" s="2" t="s">
        <v>68</v>
      </c>
      <c r="X2149" s="1">
        <v>45658</v>
      </c>
      <c r="Y2149" s="2">
        <v>2131200</v>
      </c>
      <c r="Z2149" s="2">
        <v>0</v>
      </c>
      <c r="AA2149" s="2">
        <v>2131200</v>
      </c>
    </row>
    <row r="2150" spans="1:27" x14ac:dyDescent="0.3">
      <c r="A2150" s="3">
        <v>32</v>
      </c>
      <c r="B2150" s="2" t="str">
        <f>"17500021200"</f>
        <v>17500021200</v>
      </c>
      <c r="C2150" s="2" t="s">
        <v>7909</v>
      </c>
      <c r="D2150" t="s">
        <v>1945</v>
      </c>
      <c r="E2150" s="2" t="s">
        <v>30</v>
      </c>
      <c r="F2150" s="2">
        <v>37013</v>
      </c>
      <c r="G2150" s="2" t="s">
        <v>253</v>
      </c>
      <c r="H2150" t="s">
        <v>7910</v>
      </c>
      <c r="I2150" s="6">
        <v>38876</v>
      </c>
      <c r="J2150" s="2" t="s">
        <v>7911</v>
      </c>
      <c r="K2150" s="2">
        <v>1258250</v>
      </c>
      <c r="L2150" t="s">
        <v>35</v>
      </c>
      <c r="M2150" t="s">
        <v>29</v>
      </c>
      <c r="N2150" t="s">
        <v>30</v>
      </c>
      <c r="O2150">
        <v>37219</v>
      </c>
      <c r="P2150" t="s">
        <v>7912</v>
      </c>
      <c r="Q2150" s="2">
        <v>50.33</v>
      </c>
      <c r="R2150" s="2">
        <v>0</v>
      </c>
      <c r="S2150" s="2">
        <v>0</v>
      </c>
      <c r="T2150" t="s">
        <v>7911</v>
      </c>
      <c r="U2150" s="6">
        <v>38876</v>
      </c>
      <c r="V2150" s="2">
        <v>47037015630</v>
      </c>
      <c r="W2150" s="2" t="s">
        <v>68</v>
      </c>
      <c r="X2150" s="1">
        <v>45658</v>
      </c>
      <c r="Y2150" s="2">
        <v>3019800</v>
      </c>
      <c r="Z2150" s="2">
        <v>0</v>
      </c>
      <c r="AA2150" s="2">
        <v>3019800</v>
      </c>
    </row>
    <row r="2151" spans="1:27" x14ac:dyDescent="0.3">
      <c r="A2151" s="3">
        <v>32</v>
      </c>
      <c r="B2151" s="2" t="str">
        <f>"14916003000"</f>
        <v>14916003000</v>
      </c>
      <c r="C2151" s="2" t="s">
        <v>7913</v>
      </c>
      <c r="D2151" t="s">
        <v>1945</v>
      </c>
      <c r="E2151" s="2" t="s">
        <v>30</v>
      </c>
      <c r="F2151" s="2">
        <v>37013</v>
      </c>
      <c r="G2151" s="2" t="s">
        <v>152</v>
      </c>
      <c r="H2151" t="s">
        <v>280</v>
      </c>
      <c r="I2151" s="6">
        <v>26846</v>
      </c>
      <c r="J2151" s="2" t="s">
        <v>1990</v>
      </c>
      <c r="K2151" s="2">
        <v>0</v>
      </c>
      <c r="L2151" t="s">
        <v>35</v>
      </c>
      <c r="M2151" t="s">
        <v>29</v>
      </c>
      <c r="N2151" t="s">
        <v>30</v>
      </c>
      <c r="O2151">
        <v>37219</v>
      </c>
      <c r="P2151" t="s">
        <v>7914</v>
      </c>
      <c r="Q2151" s="2">
        <v>2</v>
      </c>
      <c r="R2151" s="2">
        <v>0</v>
      </c>
      <c r="S2151" s="2">
        <v>0</v>
      </c>
      <c r="T2151" t="s">
        <v>7915</v>
      </c>
      <c r="U2151" s="6">
        <v>22706</v>
      </c>
      <c r="V2151" s="2">
        <v>47037015629</v>
      </c>
      <c r="W2151" s="2" t="s">
        <v>68</v>
      </c>
      <c r="X2151" s="1">
        <v>45658</v>
      </c>
      <c r="Y2151" s="2">
        <v>50000</v>
      </c>
      <c r="Z2151" s="2">
        <v>0</v>
      </c>
      <c r="AA2151" s="2">
        <v>50000</v>
      </c>
    </row>
    <row r="2152" spans="1:27" x14ac:dyDescent="0.3">
      <c r="A2152" s="3">
        <v>33</v>
      </c>
      <c r="B2152" s="2" t="str">
        <f>"16200030400"</f>
        <v>16200030400</v>
      </c>
      <c r="C2152" s="2" t="s">
        <v>7916</v>
      </c>
      <c r="D2152" t="s">
        <v>1945</v>
      </c>
      <c r="E2152" s="2" t="s">
        <v>30</v>
      </c>
      <c r="F2152" s="2">
        <v>37013</v>
      </c>
      <c r="G2152" s="2" t="s">
        <v>77</v>
      </c>
      <c r="H2152" t="s">
        <v>32</v>
      </c>
      <c r="I2152" s="6">
        <v>44690</v>
      </c>
      <c r="J2152" s="2" t="s">
        <v>7917</v>
      </c>
      <c r="K2152" s="2" t="s">
        <v>34</v>
      </c>
      <c r="L2152" t="s">
        <v>35</v>
      </c>
      <c r="M2152" t="s">
        <v>29</v>
      </c>
      <c r="N2152" t="s">
        <v>30</v>
      </c>
      <c r="O2152">
        <v>37219</v>
      </c>
      <c r="P2152" t="s">
        <v>7918</v>
      </c>
      <c r="Q2152" s="2">
        <v>3.69</v>
      </c>
      <c r="R2152" s="2">
        <v>280</v>
      </c>
      <c r="S2152" s="2">
        <v>149</v>
      </c>
      <c r="T2152" t="s">
        <v>7919</v>
      </c>
      <c r="U2152" s="6">
        <v>44033</v>
      </c>
      <c r="V2152" s="2">
        <v>47037019109</v>
      </c>
      <c r="W2152" s="2" t="s">
        <v>68</v>
      </c>
      <c r="X2152" s="1">
        <v>45658</v>
      </c>
      <c r="Y2152" s="2">
        <v>302300</v>
      </c>
      <c r="Z2152" s="2">
        <v>12400</v>
      </c>
      <c r="AA2152" s="2">
        <v>289900</v>
      </c>
    </row>
    <row r="2153" spans="1:27" x14ac:dyDescent="0.3">
      <c r="A2153" s="3">
        <v>33</v>
      </c>
      <c r="B2153" s="2" t="str">
        <f>"16200012300"</f>
        <v>16200012300</v>
      </c>
      <c r="C2153" s="2" t="s">
        <v>7920</v>
      </c>
      <c r="D2153" t="s">
        <v>1945</v>
      </c>
      <c r="E2153" s="2" t="s">
        <v>30</v>
      </c>
      <c r="F2153" s="2">
        <v>37013</v>
      </c>
      <c r="G2153" s="2" t="s">
        <v>31</v>
      </c>
      <c r="H2153" t="s">
        <v>32</v>
      </c>
      <c r="I2153" s="6">
        <v>43215</v>
      </c>
      <c r="J2153" s="2" t="s">
        <v>7921</v>
      </c>
      <c r="K2153" s="2" t="s">
        <v>34</v>
      </c>
      <c r="L2153" t="s">
        <v>35</v>
      </c>
      <c r="M2153" t="s">
        <v>29</v>
      </c>
      <c r="N2153" t="s">
        <v>30</v>
      </c>
      <c r="O2153">
        <v>37219</v>
      </c>
      <c r="P2153" t="s">
        <v>7922</v>
      </c>
      <c r="Q2153" s="2">
        <v>8.69</v>
      </c>
      <c r="R2153" s="2">
        <v>0</v>
      </c>
      <c r="S2153" s="2">
        <v>0</v>
      </c>
      <c r="T2153" t="s">
        <v>7923</v>
      </c>
      <c r="U2153" s="6">
        <v>32639</v>
      </c>
      <c r="V2153" s="2">
        <v>47037019118</v>
      </c>
      <c r="W2153" s="2" t="s">
        <v>68</v>
      </c>
      <c r="X2153" s="1">
        <v>45658</v>
      </c>
      <c r="Y2153" s="2">
        <v>339500</v>
      </c>
      <c r="Z2153" s="2">
        <v>0</v>
      </c>
      <c r="AA2153" s="2">
        <v>339500</v>
      </c>
    </row>
    <row r="2154" spans="1:27" x14ac:dyDescent="0.3">
      <c r="A2154" s="3">
        <v>33</v>
      </c>
      <c r="B2154" s="2" t="str">
        <f>"17400023100"</f>
        <v>17400023100</v>
      </c>
      <c r="C2154" s="2" t="s">
        <v>7669</v>
      </c>
      <c r="D2154" t="s">
        <v>1945</v>
      </c>
      <c r="E2154" s="2" t="s">
        <v>30</v>
      </c>
      <c r="F2154" s="2">
        <v>37013</v>
      </c>
      <c r="G2154" s="2" t="s">
        <v>31</v>
      </c>
      <c r="H2154" t="s">
        <v>32</v>
      </c>
      <c r="I2154" s="6">
        <v>41639</v>
      </c>
      <c r="J2154" s="2" t="s">
        <v>7924</v>
      </c>
      <c r="K2154" s="2">
        <v>0</v>
      </c>
      <c r="L2154" t="s">
        <v>35</v>
      </c>
      <c r="M2154" t="s">
        <v>29</v>
      </c>
      <c r="N2154" t="s">
        <v>30</v>
      </c>
      <c r="O2154">
        <v>37219</v>
      </c>
      <c r="P2154" t="s">
        <v>7925</v>
      </c>
      <c r="Q2154" s="2">
        <v>12.44</v>
      </c>
      <c r="R2154" s="2">
        <v>661</v>
      </c>
      <c r="S2154" s="2">
        <v>0</v>
      </c>
      <c r="T2154" t="s">
        <v>7924</v>
      </c>
      <c r="U2154" s="6">
        <v>41639</v>
      </c>
      <c r="V2154" s="2">
        <v>47037019118</v>
      </c>
      <c r="W2154" s="2" t="s">
        <v>38</v>
      </c>
      <c r="X2154" s="1">
        <v>45658</v>
      </c>
      <c r="Y2154" s="2">
        <v>169300</v>
      </c>
      <c r="Z2154" s="2">
        <v>0</v>
      </c>
      <c r="AA2154" s="2">
        <v>169300</v>
      </c>
    </row>
    <row r="2155" spans="1:27" x14ac:dyDescent="0.3">
      <c r="A2155" s="3">
        <v>33</v>
      </c>
      <c r="B2155" s="2" t="str">
        <f>"17400023500"</f>
        <v>17400023500</v>
      </c>
      <c r="C2155" s="2" t="s">
        <v>7926</v>
      </c>
      <c r="D2155" t="s">
        <v>1945</v>
      </c>
      <c r="E2155" s="2" t="s">
        <v>30</v>
      </c>
      <c r="F2155" s="2">
        <v>37013</v>
      </c>
      <c r="G2155" s="2" t="s">
        <v>31</v>
      </c>
      <c r="H2155" t="s">
        <v>32</v>
      </c>
      <c r="I2155" s="6">
        <v>42212</v>
      </c>
      <c r="J2155" s="2" t="s">
        <v>7927</v>
      </c>
      <c r="K2155" s="2">
        <v>0</v>
      </c>
      <c r="L2155" t="s">
        <v>35</v>
      </c>
      <c r="M2155" t="s">
        <v>29</v>
      </c>
      <c r="N2155" t="s">
        <v>30</v>
      </c>
      <c r="O2155">
        <v>37219</v>
      </c>
      <c r="P2155" t="s">
        <v>7928</v>
      </c>
      <c r="Q2155" s="2">
        <v>3.56</v>
      </c>
      <c r="R2155" s="2">
        <v>0</v>
      </c>
      <c r="S2155" s="2">
        <v>0</v>
      </c>
      <c r="T2155" t="s">
        <v>7927</v>
      </c>
      <c r="U2155" s="6">
        <v>42212</v>
      </c>
      <c r="V2155" s="2">
        <v>47037019118</v>
      </c>
      <c r="W2155" s="2" t="s">
        <v>38</v>
      </c>
      <c r="X2155" s="1">
        <v>45658</v>
      </c>
      <c r="Y2155" s="2">
        <v>33600</v>
      </c>
      <c r="Z2155" s="2">
        <v>0</v>
      </c>
      <c r="AA2155" s="2">
        <v>33600</v>
      </c>
    </row>
    <row r="2156" spans="1:27" x14ac:dyDescent="0.3">
      <c r="A2156" s="3">
        <v>33</v>
      </c>
      <c r="B2156" s="2" t="str">
        <f>"16200030500"</f>
        <v>16200030500</v>
      </c>
      <c r="C2156" s="2" t="s">
        <v>7916</v>
      </c>
      <c r="D2156" t="s">
        <v>1945</v>
      </c>
      <c r="E2156" s="2" t="s">
        <v>30</v>
      </c>
      <c r="F2156" s="2">
        <v>37013</v>
      </c>
      <c r="G2156" s="2" t="s">
        <v>64</v>
      </c>
      <c r="H2156" t="s">
        <v>32</v>
      </c>
      <c r="I2156" s="6">
        <v>44690</v>
      </c>
      <c r="J2156" s="2" t="s">
        <v>7917</v>
      </c>
      <c r="K2156" s="2" t="s">
        <v>34</v>
      </c>
      <c r="L2156" t="s">
        <v>35</v>
      </c>
      <c r="M2156" t="s">
        <v>29</v>
      </c>
      <c r="N2156" t="s">
        <v>30</v>
      </c>
      <c r="O2156">
        <v>37219</v>
      </c>
      <c r="P2156" t="s">
        <v>7929</v>
      </c>
      <c r="Q2156" s="2">
        <v>3.07</v>
      </c>
      <c r="R2156" s="2">
        <v>95</v>
      </c>
      <c r="S2156" s="2">
        <v>70</v>
      </c>
      <c r="T2156" t="s">
        <v>7919</v>
      </c>
      <c r="U2156" s="6">
        <v>44033</v>
      </c>
      <c r="V2156" s="2">
        <v>47037019109</v>
      </c>
      <c r="W2156" s="2" t="s">
        <v>68</v>
      </c>
      <c r="X2156" s="1">
        <v>45658</v>
      </c>
      <c r="Y2156" s="2">
        <v>243300</v>
      </c>
      <c r="Z2156" s="2">
        <v>0</v>
      </c>
      <c r="AA2156" s="2">
        <v>243300</v>
      </c>
    </row>
    <row r="2157" spans="1:27" x14ac:dyDescent="0.3">
      <c r="A2157" s="3">
        <v>33</v>
      </c>
      <c r="B2157" s="2" t="str">
        <f>"16200030600"</f>
        <v>16200030600</v>
      </c>
      <c r="C2157" s="2" t="s">
        <v>7930</v>
      </c>
      <c r="D2157" t="s">
        <v>1945</v>
      </c>
      <c r="E2157" s="2" t="s">
        <v>30</v>
      </c>
      <c r="F2157" s="2">
        <v>37013</v>
      </c>
      <c r="G2157" s="2" t="s">
        <v>64</v>
      </c>
      <c r="H2157" t="s">
        <v>32</v>
      </c>
      <c r="I2157" s="6">
        <v>44690</v>
      </c>
      <c r="J2157" s="2" t="s">
        <v>7917</v>
      </c>
      <c r="K2157" s="2" t="s">
        <v>34</v>
      </c>
      <c r="L2157" t="s">
        <v>35</v>
      </c>
      <c r="M2157" t="s">
        <v>29</v>
      </c>
      <c r="N2157" t="s">
        <v>30</v>
      </c>
      <c r="O2157">
        <v>37219</v>
      </c>
      <c r="P2157" t="s">
        <v>7931</v>
      </c>
      <c r="Q2157" s="2">
        <v>2.76</v>
      </c>
      <c r="R2157" s="2">
        <v>72</v>
      </c>
      <c r="S2157" s="2">
        <v>195</v>
      </c>
      <c r="T2157" t="s">
        <v>7919</v>
      </c>
      <c r="U2157" s="6">
        <v>44033</v>
      </c>
      <c r="V2157" s="2">
        <v>47037019109</v>
      </c>
      <c r="W2157" s="2" t="s">
        <v>68</v>
      </c>
      <c r="X2157" s="1">
        <v>45658</v>
      </c>
      <c r="Y2157" s="2">
        <v>219900</v>
      </c>
      <c r="Z2157" s="2">
        <v>0</v>
      </c>
      <c r="AA2157" s="2">
        <v>219900</v>
      </c>
    </row>
    <row r="2158" spans="1:27" x14ac:dyDescent="0.3">
      <c r="A2158" s="3">
        <v>33</v>
      </c>
      <c r="B2158" s="2" t="str">
        <f>"18800019700"</f>
        <v>18800019700</v>
      </c>
      <c r="C2158" s="2" t="s">
        <v>7932</v>
      </c>
      <c r="D2158" t="s">
        <v>7933</v>
      </c>
      <c r="E2158" s="2" t="s">
        <v>30</v>
      </c>
      <c r="F2158" s="2">
        <v>37135</v>
      </c>
      <c r="G2158" s="2" t="s">
        <v>34</v>
      </c>
      <c r="H2158" t="s">
        <v>7934</v>
      </c>
      <c r="I2158" s="6">
        <v>45194</v>
      </c>
      <c r="J2158" s="2" t="s">
        <v>7935</v>
      </c>
      <c r="K2158" s="2">
        <v>0</v>
      </c>
      <c r="L2158" t="s">
        <v>85</v>
      </c>
      <c r="M2158" t="s">
        <v>29</v>
      </c>
      <c r="N2158" t="s">
        <v>30</v>
      </c>
      <c r="O2158">
        <v>37219</v>
      </c>
      <c r="P2158" t="s">
        <v>7936</v>
      </c>
      <c r="Q2158" s="2">
        <v>5.08</v>
      </c>
      <c r="R2158" s="2">
        <v>415</v>
      </c>
      <c r="S2158" s="2">
        <v>503</v>
      </c>
      <c r="T2158" t="s">
        <v>7935</v>
      </c>
      <c r="U2158" s="6">
        <v>45194</v>
      </c>
      <c r="V2158" s="2">
        <v>47037010103</v>
      </c>
      <c r="W2158" s="2" t="s">
        <v>2599</v>
      </c>
      <c r="X2158" s="1">
        <v>45658</v>
      </c>
      <c r="Y2158" s="2">
        <v>162600</v>
      </c>
      <c r="Z2158" s="2">
        <v>0</v>
      </c>
      <c r="AA2158" s="2">
        <v>162600</v>
      </c>
    </row>
    <row r="2159" spans="1:27" x14ac:dyDescent="0.3">
      <c r="A2159" s="3">
        <v>33</v>
      </c>
      <c r="B2159" s="2" t="str">
        <f>"16216004900"</f>
        <v>16216004900</v>
      </c>
      <c r="C2159" s="2" t="s">
        <v>7937</v>
      </c>
      <c r="D2159" t="s">
        <v>1945</v>
      </c>
      <c r="E2159" s="2" t="s">
        <v>30</v>
      </c>
      <c r="F2159" s="2">
        <v>37013</v>
      </c>
      <c r="G2159" s="2" t="s">
        <v>64</v>
      </c>
      <c r="H2159" t="s">
        <v>99</v>
      </c>
      <c r="I2159" s="6">
        <v>41297</v>
      </c>
      <c r="J2159" s="2" t="s">
        <v>7938</v>
      </c>
      <c r="K2159" s="2">
        <v>1024</v>
      </c>
      <c r="L2159" t="s">
        <v>35</v>
      </c>
      <c r="M2159" t="s">
        <v>29</v>
      </c>
      <c r="N2159" t="s">
        <v>30</v>
      </c>
      <c r="O2159">
        <v>37219</v>
      </c>
      <c r="P2159" t="s">
        <v>7939</v>
      </c>
      <c r="Q2159" s="2">
        <v>0.06</v>
      </c>
      <c r="R2159" s="2">
        <v>0</v>
      </c>
      <c r="S2159" s="2">
        <v>134</v>
      </c>
      <c r="T2159" t="s">
        <v>7940</v>
      </c>
      <c r="U2159" s="6">
        <v>30565</v>
      </c>
      <c r="V2159" s="2">
        <v>47037019118</v>
      </c>
      <c r="W2159" s="2" t="s">
        <v>68</v>
      </c>
      <c r="X2159" s="1">
        <v>45658</v>
      </c>
      <c r="Y2159" s="2">
        <v>5100</v>
      </c>
      <c r="Z2159" s="2">
        <v>0</v>
      </c>
      <c r="AA2159" s="2">
        <v>5100</v>
      </c>
    </row>
    <row r="2160" spans="1:27" x14ac:dyDescent="0.3">
      <c r="A2160" s="3">
        <v>33</v>
      </c>
      <c r="B2160" s="2" t="str">
        <f>"17304000500"</f>
        <v>17304000500</v>
      </c>
      <c r="C2160" s="2" t="s">
        <v>7941</v>
      </c>
      <c r="D2160" t="s">
        <v>1945</v>
      </c>
      <c r="E2160" s="2" t="s">
        <v>30</v>
      </c>
      <c r="F2160" s="2">
        <v>37013</v>
      </c>
      <c r="G2160" s="2" t="s">
        <v>64</v>
      </c>
      <c r="H2160" t="s">
        <v>99</v>
      </c>
      <c r="I2160" s="6">
        <v>41297</v>
      </c>
      <c r="J2160" s="2" t="s">
        <v>7942</v>
      </c>
      <c r="K2160" s="2">
        <v>1084</v>
      </c>
      <c r="L2160" t="s">
        <v>35</v>
      </c>
      <c r="M2160" t="s">
        <v>29</v>
      </c>
      <c r="N2160" t="s">
        <v>30</v>
      </c>
      <c r="O2160">
        <v>37219</v>
      </c>
      <c r="P2160" t="s">
        <v>7943</v>
      </c>
      <c r="Q2160" s="2">
        <v>0.1</v>
      </c>
      <c r="R2160" s="2">
        <v>40</v>
      </c>
      <c r="S2160" s="2">
        <v>138</v>
      </c>
      <c r="T2160" t="s">
        <v>7944</v>
      </c>
      <c r="U2160" s="6">
        <v>31418</v>
      </c>
      <c r="V2160" s="2">
        <v>47037019118</v>
      </c>
      <c r="W2160" s="2" t="s">
        <v>68</v>
      </c>
      <c r="X2160" s="1">
        <v>45658</v>
      </c>
      <c r="Y2160" s="2">
        <v>5100</v>
      </c>
      <c r="Z2160" s="2">
        <v>0</v>
      </c>
      <c r="AA2160" s="2">
        <v>5100</v>
      </c>
    </row>
    <row r="2161" spans="1:27" x14ac:dyDescent="0.3">
      <c r="A2161" s="3">
        <v>33</v>
      </c>
      <c r="B2161" s="2" t="str">
        <f>"16200024500"</f>
        <v>16200024500</v>
      </c>
      <c r="C2161" s="2" t="s">
        <v>7945</v>
      </c>
      <c r="D2161" t="s">
        <v>1945</v>
      </c>
      <c r="E2161" s="2" t="s">
        <v>30</v>
      </c>
      <c r="F2161" s="2">
        <v>37013</v>
      </c>
      <c r="G2161" s="2" t="s">
        <v>147</v>
      </c>
      <c r="H2161" t="s">
        <v>1131</v>
      </c>
      <c r="I2161" s="6">
        <v>33918</v>
      </c>
      <c r="J2161" s="2" t="s">
        <v>7946</v>
      </c>
      <c r="K2161" s="2">
        <v>67000</v>
      </c>
      <c r="L2161" t="s">
        <v>35</v>
      </c>
      <c r="M2161" t="s">
        <v>29</v>
      </c>
      <c r="N2161" t="s">
        <v>30</v>
      </c>
      <c r="O2161">
        <v>37219</v>
      </c>
      <c r="P2161" t="s">
        <v>7947</v>
      </c>
      <c r="Q2161" s="2">
        <v>1.19</v>
      </c>
      <c r="R2161" s="2">
        <v>224</v>
      </c>
      <c r="S2161" s="2">
        <v>240</v>
      </c>
      <c r="T2161" t="s">
        <v>278</v>
      </c>
      <c r="U2161" s="6">
        <v>36696</v>
      </c>
      <c r="V2161" s="2">
        <v>47037019118</v>
      </c>
      <c r="W2161" s="2" t="s">
        <v>68</v>
      </c>
      <c r="X2161" s="1">
        <v>45658</v>
      </c>
      <c r="Y2161" s="2">
        <v>76800</v>
      </c>
      <c r="Z2161" s="2">
        <v>0</v>
      </c>
      <c r="AA2161" s="2">
        <v>76800</v>
      </c>
    </row>
    <row r="2162" spans="1:27" x14ac:dyDescent="0.3">
      <c r="A2162" s="3">
        <v>33</v>
      </c>
      <c r="B2162" s="2" t="str">
        <f>"18300016700"</f>
        <v>18300016700</v>
      </c>
      <c r="C2162" s="2" t="s">
        <v>7948</v>
      </c>
      <c r="D2162" t="s">
        <v>1945</v>
      </c>
      <c r="E2162" s="2" t="s">
        <v>30</v>
      </c>
      <c r="F2162" s="2">
        <v>37013</v>
      </c>
      <c r="G2162" s="2" t="s">
        <v>2379</v>
      </c>
      <c r="H2162" t="s">
        <v>176</v>
      </c>
      <c r="I2162" s="6">
        <v>45210</v>
      </c>
      <c r="J2162" s="2" t="s">
        <v>7949</v>
      </c>
      <c r="K2162" s="2">
        <v>550000</v>
      </c>
      <c r="L2162" t="s">
        <v>7950</v>
      </c>
      <c r="M2162" t="s">
        <v>29</v>
      </c>
      <c r="N2162" t="s">
        <v>30</v>
      </c>
      <c r="O2162">
        <v>37246</v>
      </c>
      <c r="P2162" t="s">
        <v>7951</v>
      </c>
      <c r="Q2162" s="2">
        <v>4.1900000000000004</v>
      </c>
      <c r="R2162" s="2">
        <v>319</v>
      </c>
      <c r="S2162" s="2">
        <v>382</v>
      </c>
      <c r="T2162" t="s">
        <v>7952</v>
      </c>
      <c r="U2162" s="6">
        <v>39701</v>
      </c>
      <c r="V2162" s="2">
        <v>47037019114</v>
      </c>
      <c r="W2162" s="2" t="s">
        <v>38</v>
      </c>
      <c r="X2162" s="1">
        <v>45658</v>
      </c>
      <c r="Y2162" s="2">
        <v>363200</v>
      </c>
      <c r="Z2162" s="2">
        <v>14500</v>
      </c>
      <c r="AA2162" s="2">
        <v>348700</v>
      </c>
    </row>
    <row r="2163" spans="1:27" x14ac:dyDescent="0.3">
      <c r="A2163" s="3">
        <v>33</v>
      </c>
      <c r="B2163" s="2" t="str">
        <f>"18300016000"</f>
        <v>18300016000</v>
      </c>
      <c r="C2163" s="2" t="s">
        <v>7953</v>
      </c>
      <c r="D2163" t="s">
        <v>1945</v>
      </c>
      <c r="E2163" s="2" t="s">
        <v>30</v>
      </c>
      <c r="F2163" s="2">
        <v>37013</v>
      </c>
      <c r="G2163" s="2" t="s">
        <v>31</v>
      </c>
      <c r="H2163" t="s">
        <v>176</v>
      </c>
      <c r="I2163" s="6">
        <v>45210</v>
      </c>
      <c r="J2163" s="2" t="s">
        <v>7949</v>
      </c>
      <c r="K2163" s="2">
        <v>550000</v>
      </c>
      <c r="L2163" t="s">
        <v>7950</v>
      </c>
      <c r="M2163" t="s">
        <v>29</v>
      </c>
      <c r="N2163" t="s">
        <v>30</v>
      </c>
      <c r="O2163">
        <v>37246</v>
      </c>
      <c r="P2163" t="s">
        <v>7954</v>
      </c>
      <c r="Q2163" s="2">
        <v>0.26</v>
      </c>
      <c r="R2163" s="2">
        <v>209</v>
      </c>
      <c r="S2163" s="2">
        <v>110</v>
      </c>
      <c r="T2163" t="s">
        <v>278</v>
      </c>
      <c r="U2163" s="6">
        <v>32714</v>
      </c>
      <c r="V2163" s="2">
        <v>47037019114</v>
      </c>
      <c r="W2163" s="2" t="s">
        <v>38</v>
      </c>
      <c r="X2163" s="1">
        <v>45658</v>
      </c>
      <c r="Y2163" s="2">
        <v>6600</v>
      </c>
      <c r="Z2163" s="2">
        <v>0</v>
      </c>
      <c r="AA2163" s="2">
        <v>6600</v>
      </c>
    </row>
    <row r="2164" spans="1:27" x14ac:dyDescent="0.3">
      <c r="A2164" s="3">
        <v>33</v>
      </c>
      <c r="B2164" s="2" t="str">
        <f>"18200002001"</f>
        <v>18200002001</v>
      </c>
      <c r="C2164" s="2" t="s">
        <v>7955</v>
      </c>
      <c r="D2164" t="s">
        <v>1945</v>
      </c>
      <c r="E2164" s="2" t="s">
        <v>30</v>
      </c>
      <c r="F2164" s="2">
        <v>37013</v>
      </c>
      <c r="G2164" s="2" t="s">
        <v>194</v>
      </c>
      <c r="H2164" t="s">
        <v>206</v>
      </c>
      <c r="I2164" s="6">
        <v>30061</v>
      </c>
      <c r="J2164" s="2" t="s">
        <v>7956</v>
      </c>
      <c r="K2164" s="2" t="s">
        <v>34</v>
      </c>
      <c r="L2164" t="s">
        <v>35</v>
      </c>
      <c r="M2164" t="s">
        <v>29</v>
      </c>
      <c r="N2164" t="s">
        <v>30</v>
      </c>
      <c r="O2164">
        <v>37219</v>
      </c>
      <c r="P2164" t="s">
        <v>7957</v>
      </c>
      <c r="Q2164" s="2">
        <v>7</v>
      </c>
      <c r="R2164" s="2">
        <v>0</v>
      </c>
      <c r="S2164" s="2">
        <v>0</v>
      </c>
      <c r="T2164" t="s">
        <v>278</v>
      </c>
      <c r="U2164" s="6">
        <v>36578</v>
      </c>
      <c r="V2164" s="2">
        <v>47037019117</v>
      </c>
      <c r="W2164" s="2" t="s">
        <v>38</v>
      </c>
      <c r="X2164" s="1">
        <v>45658</v>
      </c>
      <c r="Y2164" s="2">
        <v>888900</v>
      </c>
      <c r="Z2164" s="2">
        <v>213400</v>
      </c>
      <c r="AA2164" s="2">
        <v>675500</v>
      </c>
    </row>
    <row r="2165" spans="1:27" x14ac:dyDescent="0.3">
      <c r="A2165" s="3">
        <v>33</v>
      </c>
      <c r="B2165" s="2" t="str">
        <f>"18800000700"</f>
        <v>18800000700</v>
      </c>
      <c r="C2165" s="2" t="s">
        <v>7958</v>
      </c>
      <c r="D2165" t="s">
        <v>1945</v>
      </c>
      <c r="E2165" s="2" t="s">
        <v>30</v>
      </c>
      <c r="F2165" s="2">
        <v>37013</v>
      </c>
      <c r="G2165" s="2" t="s">
        <v>200</v>
      </c>
      <c r="H2165" t="s">
        <v>206</v>
      </c>
      <c r="I2165" s="6">
        <v>28051</v>
      </c>
      <c r="J2165" s="2" t="s">
        <v>7959</v>
      </c>
      <c r="K2165" s="2">
        <v>485000</v>
      </c>
      <c r="L2165" t="s">
        <v>35</v>
      </c>
      <c r="M2165" t="s">
        <v>29</v>
      </c>
      <c r="N2165" t="s">
        <v>30</v>
      </c>
      <c r="O2165">
        <v>37219</v>
      </c>
      <c r="P2165" t="s">
        <v>7960</v>
      </c>
      <c r="Q2165" s="2">
        <v>280.58999999999997</v>
      </c>
      <c r="R2165" s="2">
        <v>0</v>
      </c>
      <c r="S2165" s="2">
        <v>0</v>
      </c>
      <c r="T2165" t="s">
        <v>7959</v>
      </c>
      <c r="U2165" s="6">
        <v>28051</v>
      </c>
      <c r="V2165" s="2">
        <v>47037019114</v>
      </c>
      <c r="W2165" s="2" t="s">
        <v>38</v>
      </c>
      <c r="X2165" s="1">
        <v>45658</v>
      </c>
      <c r="Y2165" s="2">
        <v>7255600</v>
      </c>
      <c r="Z2165" s="2">
        <v>0</v>
      </c>
      <c r="AA2165" s="2">
        <v>7255600</v>
      </c>
    </row>
    <row r="2166" spans="1:27" x14ac:dyDescent="0.3">
      <c r="A2166" s="3">
        <v>33</v>
      </c>
      <c r="B2166" s="2" t="str">
        <f>"17400006000"</f>
        <v>17400006000</v>
      </c>
      <c r="C2166" s="2" t="s">
        <v>7961</v>
      </c>
      <c r="D2166" t="s">
        <v>1945</v>
      </c>
      <c r="E2166" s="2" t="s">
        <v>30</v>
      </c>
      <c r="F2166" s="2">
        <v>37013</v>
      </c>
      <c r="G2166" s="2" t="s">
        <v>253</v>
      </c>
      <c r="H2166" t="s">
        <v>7962</v>
      </c>
      <c r="I2166" s="6">
        <v>37992</v>
      </c>
      <c r="J2166" s="2" t="s">
        <v>7963</v>
      </c>
      <c r="K2166" s="2" t="s">
        <v>34</v>
      </c>
      <c r="L2166" t="s">
        <v>35</v>
      </c>
      <c r="M2166" t="s">
        <v>29</v>
      </c>
      <c r="N2166" t="s">
        <v>30</v>
      </c>
      <c r="O2166">
        <v>37219</v>
      </c>
      <c r="P2166" t="s">
        <v>7964</v>
      </c>
      <c r="Q2166" s="2">
        <v>27.81</v>
      </c>
      <c r="R2166" s="2">
        <v>0</v>
      </c>
      <c r="S2166" s="2">
        <v>0</v>
      </c>
      <c r="T2166" t="s">
        <v>7965</v>
      </c>
      <c r="U2166" s="6">
        <v>27151</v>
      </c>
      <c r="V2166" s="2">
        <v>47037019117</v>
      </c>
      <c r="W2166" s="2" t="s">
        <v>38</v>
      </c>
      <c r="X2166" s="1">
        <v>45658</v>
      </c>
      <c r="Y2166" s="2">
        <v>994600</v>
      </c>
      <c r="Z2166" s="2">
        <v>0</v>
      </c>
      <c r="AA2166" s="2">
        <v>994600</v>
      </c>
    </row>
    <row r="2167" spans="1:27" x14ac:dyDescent="0.3">
      <c r="A2167" s="3">
        <v>33</v>
      </c>
      <c r="B2167" s="2" t="str">
        <f>"16208007800"</f>
        <v>16208007800</v>
      </c>
      <c r="C2167" s="2" t="s">
        <v>7966</v>
      </c>
      <c r="D2167" t="s">
        <v>1945</v>
      </c>
      <c r="E2167" s="2" t="s">
        <v>30</v>
      </c>
      <c r="F2167" s="2">
        <v>37013</v>
      </c>
      <c r="G2167" s="2" t="s">
        <v>64</v>
      </c>
      <c r="H2167" t="s">
        <v>280</v>
      </c>
      <c r="I2167" s="6">
        <v>40898</v>
      </c>
      <c r="J2167" s="2" t="s">
        <v>7967</v>
      </c>
      <c r="K2167" s="2">
        <v>0</v>
      </c>
      <c r="L2167" t="s">
        <v>35</v>
      </c>
      <c r="M2167" t="s">
        <v>29</v>
      </c>
      <c r="N2167" t="s">
        <v>30</v>
      </c>
      <c r="O2167">
        <v>37219</v>
      </c>
      <c r="P2167" t="s">
        <v>7968</v>
      </c>
      <c r="Q2167" s="2">
        <v>0.61</v>
      </c>
      <c r="R2167" s="2">
        <v>35</v>
      </c>
      <c r="S2167" s="2">
        <v>210</v>
      </c>
      <c r="T2167" t="s">
        <v>7969</v>
      </c>
      <c r="U2167" s="6">
        <v>27708</v>
      </c>
      <c r="V2167" s="2">
        <v>47037019111</v>
      </c>
      <c r="W2167" s="2" t="s">
        <v>68</v>
      </c>
      <c r="X2167" s="1">
        <v>45658</v>
      </c>
      <c r="Y2167" s="2">
        <v>1100</v>
      </c>
      <c r="Z2167" s="2">
        <v>0</v>
      </c>
      <c r="AA2167" s="2">
        <v>1100</v>
      </c>
    </row>
    <row r="2168" spans="1:27" x14ac:dyDescent="0.3">
      <c r="A2168" s="3">
        <v>33</v>
      </c>
      <c r="B2168" s="2" t="str">
        <f>"16208004700"</f>
        <v>16208004700</v>
      </c>
      <c r="C2168" s="2" t="s">
        <v>7970</v>
      </c>
      <c r="D2168" t="s">
        <v>1945</v>
      </c>
      <c r="E2168" s="2" t="s">
        <v>30</v>
      </c>
      <c r="F2168" s="2">
        <v>37013</v>
      </c>
      <c r="G2168" s="2" t="s">
        <v>64</v>
      </c>
      <c r="H2168" t="s">
        <v>280</v>
      </c>
      <c r="I2168" s="6">
        <v>40898</v>
      </c>
      <c r="J2168" s="2" t="s">
        <v>7971</v>
      </c>
      <c r="K2168" s="2">
        <v>0</v>
      </c>
      <c r="L2168" t="s">
        <v>35</v>
      </c>
      <c r="M2168" t="s">
        <v>29</v>
      </c>
      <c r="N2168" t="s">
        <v>30</v>
      </c>
      <c r="O2168">
        <v>37219</v>
      </c>
      <c r="P2168" t="s">
        <v>7972</v>
      </c>
      <c r="Q2168" s="2">
        <v>0.65</v>
      </c>
      <c r="R2168" s="2">
        <v>73</v>
      </c>
      <c r="S2168" s="2">
        <v>355</v>
      </c>
      <c r="T2168" t="s">
        <v>7973</v>
      </c>
      <c r="U2168" s="6">
        <v>24660</v>
      </c>
      <c r="V2168" s="2">
        <v>47037019111</v>
      </c>
      <c r="W2168" s="2" t="s">
        <v>68</v>
      </c>
      <c r="X2168" s="1">
        <v>45658</v>
      </c>
      <c r="Y2168" s="2">
        <v>1100</v>
      </c>
      <c r="Z2168" s="2">
        <v>0</v>
      </c>
      <c r="AA2168" s="2">
        <v>1100</v>
      </c>
    </row>
    <row r="2169" spans="1:27" x14ac:dyDescent="0.3">
      <c r="A2169" s="3">
        <v>33</v>
      </c>
      <c r="B2169" s="2" t="str">
        <f>"16208004600"</f>
        <v>16208004600</v>
      </c>
      <c r="C2169" s="2" t="s">
        <v>7974</v>
      </c>
      <c r="D2169" t="s">
        <v>1945</v>
      </c>
      <c r="E2169" s="2" t="s">
        <v>30</v>
      </c>
      <c r="F2169" s="2">
        <v>37013</v>
      </c>
      <c r="G2169" s="2" t="s">
        <v>64</v>
      </c>
      <c r="H2169" t="s">
        <v>280</v>
      </c>
      <c r="I2169" s="6">
        <v>40941</v>
      </c>
      <c r="J2169" s="2" t="s">
        <v>7975</v>
      </c>
      <c r="K2169" s="2">
        <v>0</v>
      </c>
      <c r="L2169" t="s">
        <v>35</v>
      </c>
      <c r="M2169" t="s">
        <v>29</v>
      </c>
      <c r="N2169" t="s">
        <v>30</v>
      </c>
      <c r="O2169">
        <v>37219</v>
      </c>
      <c r="P2169" t="s">
        <v>7976</v>
      </c>
      <c r="Q2169" s="2">
        <v>0.32</v>
      </c>
      <c r="R2169" s="2">
        <v>73</v>
      </c>
      <c r="S2169" s="2">
        <v>302</v>
      </c>
      <c r="T2169" t="s">
        <v>7977</v>
      </c>
      <c r="U2169" s="6">
        <v>27167</v>
      </c>
      <c r="V2169" s="2">
        <v>47037019111</v>
      </c>
      <c r="W2169" s="2" t="s">
        <v>68</v>
      </c>
      <c r="X2169" s="1">
        <v>45658</v>
      </c>
      <c r="Y2169" s="2">
        <v>1000</v>
      </c>
      <c r="Z2169" s="2">
        <v>0</v>
      </c>
      <c r="AA2169" s="2">
        <v>1000</v>
      </c>
    </row>
    <row r="2170" spans="1:27" x14ac:dyDescent="0.3">
      <c r="A2170" s="3">
        <v>33</v>
      </c>
      <c r="B2170" s="2" t="str">
        <f>"16208004500"</f>
        <v>16208004500</v>
      </c>
      <c r="C2170" s="2" t="s">
        <v>7978</v>
      </c>
      <c r="D2170" t="s">
        <v>1945</v>
      </c>
      <c r="E2170" s="2" t="s">
        <v>30</v>
      </c>
      <c r="F2170" s="2">
        <v>37013</v>
      </c>
      <c r="G2170" s="2" t="s">
        <v>64</v>
      </c>
      <c r="H2170" t="s">
        <v>280</v>
      </c>
      <c r="I2170" s="6">
        <v>40932</v>
      </c>
      <c r="J2170" s="2" t="s">
        <v>7979</v>
      </c>
      <c r="K2170" s="2">
        <v>0</v>
      </c>
      <c r="L2170" t="s">
        <v>35</v>
      </c>
      <c r="M2170" t="s">
        <v>29</v>
      </c>
      <c r="N2170" t="s">
        <v>30</v>
      </c>
      <c r="O2170">
        <v>37219</v>
      </c>
      <c r="P2170" t="s">
        <v>7980</v>
      </c>
      <c r="Q2170" s="2">
        <v>0.47</v>
      </c>
      <c r="R2170" s="2">
        <v>73</v>
      </c>
      <c r="S2170" s="2">
        <v>261</v>
      </c>
      <c r="T2170" t="s">
        <v>7981</v>
      </c>
      <c r="U2170" s="6">
        <v>24762</v>
      </c>
      <c r="V2170" s="2">
        <v>47037019111</v>
      </c>
      <c r="W2170" s="2" t="s">
        <v>68</v>
      </c>
      <c r="X2170" s="1">
        <v>45658</v>
      </c>
      <c r="Y2170" s="2">
        <v>1100</v>
      </c>
      <c r="Z2170" s="2">
        <v>0</v>
      </c>
      <c r="AA2170" s="2">
        <v>1100</v>
      </c>
    </row>
    <row r="2171" spans="1:27" x14ac:dyDescent="0.3">
      <c r="A2171" s="3">
        <v>33</v>
      </c>
      <c r="B2171" s="2" t="str">
        <f>"16208004400"</f>
        <v>16208004400</v>
      </c>
      <c r="C2171" s="2" t="s">
        <v>7982</v>
      </c>
      <c r="D2171" t="s">
        <v>1945</v>
      </c>
      <c r="E2171" s="2" t="s">
        <v>30</v>
      </c>
      <c r="F2171" s="2">
        <v>37013</v>
      </c>
      <c r="G2171" s="2" t="s">
        <v>64</v>
      </c>
      <c r="H2171" t="s">
        <v>280</v>
      </c>
      <c r="I2171" s="6">
        <v>40897</v>
      </c>
      <c r="J2171" s="2" t="s">
        <v>7983</v>
      </c>
      <c r="K2171" s="2">
        <v>0</v>
      </c>
      <c r="L2171" t="s">
        <v>35</v>
      </c>
      <c r="M2171" t="s">
        <v>29</v>
      </c>
      <c r="N2171" t="s">
        <v>30</v>
      </c>
      <c r="O2171">
        <v>37219</v>
      </c>
      <c r="P2171" t="s">
        <v>7984</v>
      </c>
      <c r="Q2171" s="2">
        <v>0.42</v>
      </c>
      <c r="R2171" s="2">
        <v>73</v>
      </c>
      <c r="S2171" s="2">
        <v>229</v>
      </c>
      <c r="T2171" t="s">
        <v>7985</v>
      </c>
      <c r="U2171" s="6">
        <v>24818</v>
      </c>
      <c r="V2171" s="2">
        <v>47037019111</v>
      </c>
      <c r="W2171" s="2" t="s">
        <v>68</v>
      </c>
      <c r="X2171" s="1">
        <v>45658</v>
      </c>
      <c r="Y2171" s="2">
        <v>1000</v>
      </c>
      <c r="Z2171" s="2">
        <v>0</v>
      </c>
      <c r="AA2171" s="2">
        <v>1000</v>
      </c>
    </row>
    <row r="2172" spans="1:27" x14ac:dyDescent="0.3">
      <c r="A2172" s="3">
        <v>33</v>
      </c>
      <c r="B2172" s="2" t="str">
        <f>"16208008000"</f>
        <v>16208008000</v>
      </c>
      <c r="C2172" s="2" t="s">
        <v>7986</v>
      </c>
      <c r="D2172" t="s">
        <v>1945</v>
      </c>
      <c r="E2172" s="2" t="s">
        <v>30</v>
      </c>
      <c r="F2172" s="2">
        <v>37013</v>
      </c>
      <c r="G2172" s="2" t="s">
        <v>64</v>
      </c>
      <c r="H2172" t="s">
        <v>280</v>
      </c>
      <c r="I2172" s="6">
        <v>40898</v>
      </c>
      <c r="J2172" s="2" t="s">
        <v>7987</v>
      </c>
      <c r="K2172" s="2">
        <v>0</v>
      </c>
      <c r="L2172" t="s">
        <v>35</v>
      </c>
      <c r="M2172" t="s">
        <v>29</v>
      </c>
      <c r="N2172" t="s">
        <v>30</v>
      </c>
      <c r="O2172">
        <v>37219</v>
      </c>
      <c r="P2172" t="s">
        <v>7988</v>
      </c>
      <c r="Q2172" s="2">
        <v>0.22</v>
      </c>
      <c r="R2172" s="2">
        <v>101</v>
      </c>
      <c r="S2172" s="2">
        <v>141</v>
      </c>
      <c r="T2172" t="s">
        <v>7969</v>
      </c>
      <c r="U2172" s="6">
        <v>27708</v>
      </c>
      <c r="V2172" s="2">
        <v>47037019111</v>
      </c>
      <c r="W2172" s="2" t="s">
        <v>68</v>
      </c>
      <c r="X2172" s="1">
        <v>45658</v>
      </c>
      <c r="Y2172" s="2">
        <v>900</v>
      </c>
      <c r="Z2172" s="2">
        <v>0</v>
      </c>
      <c r="AA2172" s="2">
        <v>900</v>
      </c>
    </row>
    <row r="2173" spans="1:27" x14ac:dyDescent="0.3">
      <c r="A2173" s="3">
        <v>33</v>
      </c>
      <c r="B2173" s="2" t="str">
        <f>"16208004300"</f>
        <v>16208004300</v>
      </c>
      <c r="C2173" s="2" t="s">
        <v>7989</v>
      </c>
      <c r="D2173" t="s">
        <v>1945</v>
      </c>
      <c r="E2173" s="2" t="s">
        <v>30</v>
      </c>
      <c r="F2173" s="2">
        <v>37013</v>
      </c>
      <c r="G2173" s="2" t="s">
        <v>64</v>
      </c>
      <c r="H2173" t="s">
        <v>280</v>
      </c>
      <c r="I2173" s="6">
        <v>40897</v>
      </c>
      <c r="J2173" s="2" t="s">
        <v>7990</v>
      </c>
      <c r="K2173" s="2">
        <v>0</v>
      </c>
      <c r="L2173" t="s">
        <v>35</v>
      </c>
      <c r="M2173" t="s">
        <v>29</v>
      </c>
      <c r="N2173" t="s">
        <v>30</v>
      </c>
      <c r="O2173">
        <v>37219</v>
      </c>
      <c r="P2173" t="s">
        <v>7991</v>
      </c>
      <c r="Q2173" s="2">
        <v>0.33</v>
      </c>
      <c r="R2173" s="2">
        <v>75</v>
      </c>
      <c r="S2173" s="2">
        <v>206</v>
      </c>
      <c r="T2173" t="s">
        <v>7992</v>
      </c>
      <c r="U2173" s="6">
        <v>24937</v>
      </c>
      <c r="V2173" s="2">
        <v>47037019111</v>
      </c>
      <c r="W2173" s="2" t="s">
        <v>68</v>
      </c>
      <c r="X2173" s="1">
        <v>45658</v>
      </c>
      <c r="Y2173" s="2">
        <v>1000</v>
      </c>
      <c r="Z2173" s="2">
        <v>0</v>
      </c>
      <c r="AA2173" s="2">
        <v>1000</v>
      </c>
    </row>
    <row r="2174" spans="1:27" x14ac:dyDescent="0.3">
      <c r="A2174" s="3">
        <v>33</v>
      </c>
      <c r="B2174" s="2" t="str">
        <f>"16208004200"</f>
        <v>16208004200</v>
      </c>
      <c r="C2174" s="2" t="s">
        <v>7993</v>
      </c>
      <c r="D2174" t="s">
        <v>1945</v>
      </c>
      <c r="E2174" s="2" t="s">
        <v>30</v>
      </c>
      <c r="F2174" s="2">
        <v>37013</v>
      </c>
      <c r="G2174" s="2" t="s">
        <v>64</v>
      </c>
      <c r="H2174" t="s">
        <v>280</v>
      </c>
      <c r="I2174" s="6">
        <v>41108</v>
      </c>
      <c r="J2174" s="2" t="s">
        <v>7994</v>
      </c>
      <c r="K2174" s="2">
        <v>0</v>
      </c>
      <c r="L2174" t="s">
        <v>35</v>
      </c>
      <c r="M2174" t="s">
        <v>29</v>
      </c>
      <c r="N2174" t="s">
        <v>30</v>
      </c>
      <c r="O2174">
        <v>37219</v>
      </c>
      <c r="P2174" t="s">
        <v>7995</v>
      </c>
      <c r="Q2174" s="2">
        <v>0.33</v>
      </c>
      <c r="R2174" s="2">
        <v>75</v>
      </c>
      <c r="S2174" s="2">
        <v>192</v>
      </c>
      <c r="T2174" t="s">
        <v>7996</v>
      </c>
      <c r="U2174" s="6">
        <v>26532</v>
      </c>
      <c r="V2174" s="2">
        <v>47037019111</v>
      </c>
      <c r="W2174" s="2" t="s">
        <v>68</v>
      </c>
      <c r="X2174" s="1">
        <v>45658</v>
      </c>
      <c r="Y2174" s="2">
        <v>1000</v>
      </c>
      <c r="Z2174" s="2">
        <v>0</v>
      </c>
      <c r="AA2174" s="2">
        <v>1000</v>
      </c>
    </row>
    <row r="2175" spans="1:27" x14ac:dyDescent="0.3">
      <c r="A2175" s="3">
        <v>33</v>
      </c>
      <c r="B2175" s="2" t="str">
        <f>"16208004100"</f>
        <v>16208004100</v>
      </c>
      <c r="C2175" s="2" t="s">
        <v>7997</v>
      </c>
      <c r="D2175" t="s">
        <v>1945</v>
      </c>
      <c r="E2175" s="2" t="s">
        <v>30</v>
      </c>
      <c r="F2175" s="2">
        <v>37013</v>
      </c>
      <c r="G2175" s="2" t="s">
        <v>64</v>
      </c>
      <c r="H2175" t="s">
        <v>280</v>
      </c>
      <c r="I2175" s="6">
        <v>40953</v>
      </c>
      <c r="J2175" s="2" t="s">
        <v>7998</v>
      </c>
      <c r="K2175" s="2">
        <v>0</v>
      </c>
      <c r="L2175" t="s">
        <v>35</v>
      </c>
      <c r="M2175" t="s">
        <v>29</v>
      </c>
      <c r="N2175" t="s">
        <v>30</v>
      </c>
      <c r="O2175">
        <v>37219</v>
      </c>
      <c r="P2175" t="s">
        <v>7999</v>
      </c>
      <c r="Q2175" s="2">
        <v>0.34</v>
      </c>
      <c r="R2175" s="2">
        <v>75</v>
      </c>
      <c r="S2175" s="2">
        <v>193</v>
      </c>
      <c r="T2175" t="s">
        <v>8000</v>
      </c>
      <c r="U2175" s="6">
        <v>24918</v>
      </c>
      <c r="V2175" s="2">
        <v>47037019109</v>
      </c>
      <c r="W2175" s="2" t="s">
        <v>68</v>
      </c>
      <c r="X2175" s="1">
        <v>45658</v>
      </c>
      <c r="Y2175" s="2">
        <v>1000</v>
      </c>
      <c r="Z2175" s="2">
        <v>0</v>
      </c>
      <c r="AA2175" s="2">
        <v>1000</v>
      </c>
    </row>
    <row r="2176" spans="1:27" x14ac:dyDescent="0.3">
      <c r="A2176" s="3">
        <v>33</v>
      </c>
      <c r="B2176" s="2" t="str">
        <f>"16208004000"</f>
        <v>16208004000</v>
      </c>
      <c r="C2176" s="2" t="s">
        <v>8001</v>
      </c>
      <c r="D2176" t="s">
        <v>1945</v>
      </c>
      <c r="E2176" s="2" t="s">
        <v>30</v>
      </c>
      <c r="F2176" s="2">
        <v>37013</v>
      </c>
      <c r="G2176" s="2" t="s">
        <v>64</v>
      </c>
      <c r="H2176" t="s">
        <v>280</v>
      </c>
      <c r="I2176" s="6">
        <v>40935</v>
      </c>
      <c r="J2176" s="2" t="s">
        <v>8002</v>
      </c>
      <c r="K2176" s="2">
        <v>0</v>
      </c>
      <c r="L2176" t="s">
        <v>35</v>
      </c>
      <c r="M2176" t="s">
        <v>29</v>
      </c>
      <c r="N2176" t="s">
        <v>30</v>
      </c>
      <c r="O2176">
        <v>37219</v>
      </c>
      <c r="P2176" t="s">
        <v>8003</v>
      </c>
      <c r="Q2176" s="2">
        <v>0.34</v>
      </c>
      <c r="R2176" s="2">
        <v>75</v>
      </c>
      <c r="S2176" s="2">
        <v>195</v>
      </c>
      <c r="T2176" t="s">
        <v>8004</v>
      </c>
      <c r="U2176" s="6">
        <v>24930</v>
      </c>
      <c r="V2176" s="2">
        <v>47037019109</v>
      </c>
      <c r="W2176" s="2" t="s">
        <v>68</v>
      </c>
      <c r="X2176" s="1">
        <v>45658</v>
      </c>
      <c r="Y2176" s="2">
        <v>1000</v>
      </c>
      <c r="Z2176" s="2">
        <v>0</v>
      </c>
      <c r="AA2176" s="2">
        <v>1000</v>
      </c>
    </row>
    <row r="2177" spans="1:27" x14ac:dyDescent="0.3">
      <c r="A2177" s="3">
        <v>33</v>
      </c>
      <c r="B2177" s="2" t="str">
        <f>"16208003800"</f>
        <v>16208003800</v>
      </c>
      <c r="C2177" s="2" t="s">
        <v>8005</v>
      </c>
      <c r="D2177" t="s">
        <v>1945</v>
      </c>
      <c r="E2177" s="2" t="s">
        <v>30</v>
      </c>
      <c r="F2177" s="2">
        <v>37013</v>
      </c>
      <c r="G2177" s="2" t="s">
        <v>64</v>
      </c>
      <c r="H2177" t="s">
        <v>280</v>
      </c>
      <c r="I2177" s="6">
        <v>41115</v>
      </c>
      <c r="J2177" s="2" t="s">
        <v>8006</v>
      </c>
      <c r="K2177" s="2">
        <v>0</v>
      </c>
      <c r="L2177" t="s">
        <v>35</v>
      </c>
      <c r="M2177" t="s">
        <v>29</v>
      </c>
      <c r="N2177" t="s">
        <v>30</v>
      </c>
      <c r="O2177">
        <v>37219</v>
      </c>
      <c r="P2177" t="s">
        <v>8007</v>
      </c>
      <c r="Q2177" s="2">
        <v>0.34</v>
      </c>
      <c r="R2177" s="2">
        <v>75</v>
      </c>
      <c r="S2177" s="2">
        <v>198</v>
      </c>
      <c r="T2177" t="s">
        <v>8008</v>
      </c>
      <c r="U2177" s="6">
        <v>26764</v>
      </c>
      <c r="V2177" s="2">
        <v>47037019111</v>
      </c>
      <c r="W2177" s="2" t="s">
        <v>68</v>
      </c>
      <c r="X2177" s="1">
        <v>45658</v>
      </c>
      <c r="Y2177" s="2">
        <v>1000</v>
      </c>
      <c r="Z2177" s="2">
        <v>0</v>
      </c>
      <c r="AA2177" s="2">
        <v>1000</v>
      </c>
    </row>
    <row r="2178" spans="1:27" x14ac:dyDescent="0.3">
      <c r="A2178" s="3">
        <v>33</v>
      </c>
      <c r="B2178" s="2" t="str">
        <f>"16208007500"</f>
        <v>16208007500</v>
      </c>
      <c r="C2178" s="2" t="s">
        <v>8009</v>
      </c>
      <c r="D2178" t="s">
        <v>1945</v>
      </c>
      <c r="E2178" s="2" t="s">
        <v>30</v>
      </c>
      <c r="F2178" s="2">
        <v>37013</v>
      </c>
      <c r="G2178" s="2" t="s">
        <v>64</v>
      </c>
      <c r="H2178" t="s">
        <v>280</v>
      </c>
      <c r="I2178" s="6">
        <v>40926</v>
      </c>
      <c r="J2178" s="2" t="s">
        <v>8010</v>
      </c>
      <c r="K2178" s="2">
        <v>0</v>
      </c>
      <c r="L2178" t="s">
        <v>35</v>
      </c>
      <c r="M2178" t="s">
        <v>29</v>
      </c>
      <c r="N2178" t="s">
        <v>30</v>
      </c>
      <c r="O2178">
        <v>37219</v>
      </c>
      <c r="P2178" t="s">
        <v>8011</v>
      </c>
      <c r="Q2178" s="2">
        <v>0.22</v>
      </c>
      <c r="R2178" s="2">
        <v>55</v>
      </c>
      <c r="S2178" s="2">
        <v>100</v>
      </c>
      <c r="T2178" t="s">
        <v>7969</v>
      </c>
      <c r="U2178" s="6">
        <v>27708</v>
      </c>
      <c r="V2178" s="2">
        <v>47037019111</v>
      </c>
      <c r="W2178" s="2" t="s">
        <v>68</v>
      </c>
      <c r="X2178" s="1">
        <v>45658</v>
      </c>
      <c r="Y2178" s="2">
        <v>900</v>
      </c>
      <c r="Z2178" s="2">
        <v>0</v>
      </c>
      <c r="AA2178" s="2">
        <v>900</v>
      </c>
    </row>
    <row r="2179" spans="1:27" x14ac:dyDescent="0.3">
      <c r="A2179" s="3">
        <v>33</v>
      </c>
      <c r="B2179" s="2" t="str">
        <f>"16210002700"</f>
        <v>16210002700</v>
      </c>
      <c r="C2179" s="2" t="s">
        <v>8012</v>
      </c>
      <c r="D2179" t="s">
        <v>1945</v>
      </c>
      <c r="E2179" s="2" t="s">
        <v>30</v>
      </c>
      <c r="F2179" s="2">
        <v>37013</v>
      </c>
      <c r="G2179" s="2" t="s">
        <v>64</v>
      </c>
      <c r="H2179" t="s">
        <v>280</v>
      </c>
      <c r="I2179" s="6">
        <v>39059</v>
      </c>
      <c r="J2179" s="2" t="s">
        <v>8013</v>
      </c>
      <c r="K2179" s="2">
        <v>138000</v>
      </c>
      <c r="L2179" t="s">
        <v>35</v>
      </c>
      <c r="M2179" t="s">
        <v>29</v>
      </c>
      <c r="N2179" t="s">
        <v>30</v>
      </c>
      <c r="O2179">
        <v>37219</v>
      </c>
      <c r="P2179" t="s">
        <v>8014</v>
      </c>
      <c r="Q2179" s="2">
        <v>0.21</v>
      </c>
      <c r="R2179" s="2">
        <v>89</v>
      </c>
      <c r="S2179" s="2">
        <v>138</v>
      </c>
      <c r="T2179" t="s">
        <v>8015</v>
      </c>
      <c r="U2179" s="6">
        <v>27115</v>
      </c>
      <c r="V2179" s="2">
        <v>47037019111</v>
      </c>
      <c r="W2179" s="2" t="s">
        <v>68</v>
      </c>
      <c r="X2179" s="1">
        <v>45658</v>
      </c>
      <c r="Y2179" s="2">
        <v>62100</v>
      </c>
      <c r="Z2179" s="2">
        <v>0</v>
      </c>
      <c r="AA2179" s="2">
        <v>62100</v>
      </c>
    </row>
    <row r="2180" spans="1:27" x14ac:dyDescent="0.3">
      <c r="A2180" s="3">
        <v>33</v>
      </c>
      <c r="B2180" s="2" t="str">
        <f>"16210002800"</f>
        <v>16210002800</v>
      </c>
      <c r="C2180" s="2" t="s">
        <v>8016</v>
      </c>
      <c r="D2180" t="s">
        <v>1945</v>
      </c>
      <c r="E2180" s="2" t="s">
        <v>30</v>
      </c>
      <c r="F2180" s="2">
        <v>37013</v>
      </c>
      <c r="G2180" s="2" t="s">
        <v>64</v>
      </c>
      <c r="H2180" t="s">
        <v>280</v>
      </c>
      <c r="I2180" s="6">
        <v>38881</v>
      </c>
      <c r="J2180" s="2" t="s">
        <v>8017</v>
      </c>
      <c r="K2180" s="2">
        <v>128000</v>
      </c>
      <c r="L2180" t="s">
        <v>35</v>
      </c>
      <c r="M2180" t="s">
        <v>29</v>
      </c>
      <c r="N2180" t="s">
        <v>30</v>
      </c>
      <c r="O2180">
        <v>37219</v>
      </c>
      <c r="P2180" t="s">
        <v>8018</v>
      </c>
      <c r="Q2180" s="2">
        <v>0.27</v>
      </c>
      <c r="R2180" s="2">
        <v>90</v>
      </c>
      <c r="S2180" s="2">
        <v>147</v>
      </c>
      <c r="T2180" t="s">
        <v>8019</v>
      </c>
      <c r="U2180" s="6">
        <v>26554</v>
      </c>
      <c r="V2180" s="2">
        <v>47037019111</v>
      </c>
      <c r="W2180" s="2" t="s">
        <v>68</v>
      </c>
      <c r="X2180" s="1">
        <v>45658</v>
      </c>
      <c r="Y2180" s="2">
        <v>69000</v>
      </c>
      <c r="Z2180" s="2">
        <v>0</v>
      </c>
      <c r="AA2180" s="2">
        <v>69000</v>
      </c>
    </row>
    <row r="2181" spans="1:27" x14ac:dyDescent="0.3">
      <c r="A2181" s="3">
        <v>33</v>
      </c>
      <c r="B2181" s="2" t="str">
        <f>"16210002600"</f>
        <v>16210002600</v>
      </c>
      <c r="C2181" s="2" t="s">
        <v>8020</v>
      </c>
      <c r="D2181" t="s">
        <v>1945</v>
      </c>
      <c r="E2181" s="2" t="s">
        <v>30</v>
      </c>
      <c r="F2181" s="2">
        <v>37013</v>
      </c>
      <c r="G2181" s="2" t="s">
        <v>64</v>
      </c>
      <c r="H2181" t="s">
        <v>280</v>
      </c>
      <c r="I2181" s="6">
        <v>43469</v>
      </c>
      <c r="J2181" s="2" t="s">
        <v>8021</v>
      </c>
      <c r="K2181" s="2">
        <v>0</v>
      </c>
      <c r="L2181" t="s">
        <v>315</v>
      </c>
      <c r="M2181" t="s">
        <v>29</v>
      </c>
      <c r="N2181" t="s">
        <v>30</v>
      </c>
      <c r="O2181">
        <v>37208</v>
      </c>
      <c r="P2181" t="s">
        <v>8022</v>
      </c>
      <c r="Q2181" s="2">
        <v>0.2</v>
      </c>
      <c r="R2181" s="2">
        <v>89</v>
      </c>
      <c r="S2181" s="2">
        <v>130</v>
      </c>
      <c r="T2181" t="s">
        <v>8023</v>
      </c>
      <c r="U2181" s="6">
        <v>27366</v>
      </c>
      <c r="V2181" s="2">
        <v>47037019111</v>
      </c>
      <c r="W2181" s="2" t="s">
        <v>68</v>
      </c>
      <c r="X2181" s="1">
        <v>45658</v>
      </c>
      <c r="Y2181" s="2">
        <v>62100</v>
      </c>
      <c r="Z2181" s="2">
        <v>0</v>
      </c>
      <c r="AA2181" s="2">
        <v>62100</v>
      </c>
    </row>
    <row r="2182" spans="1:27" x14ac:dyDescent="0.3">
      <c r="A2182" s="3">
        <v>33</v>
      </c>
      <c r="B2182" s="2" t="str">
        <f>"17400009200"</f>
        <v>17400009200</v>
      </c>
      <c r="C2182" s="2" t="s">
        <v>8024</v>
      </c>
      <c r="D2182" t="s">
        <v>1945</v>
      </c>
      <c r="E2182" s="2" t="s">
        <v>30</v>
      </c>
      <c r="F2182" s="2">
        <v>37013</v>
      </c>
      <c r="G2182" s="2" t="s">
        <v>31</v>
      </c>
      <c r="H2182" t="s">
        <v>280</v>
      </c>
      <c r="I2182" s="6">
        <v>28037</v>
      </c>
      <c r="J2182" s="2" t="s">
        <v>8025</v>
      </c>
      <c r="K2182" s="2" t="s">
        <v>34</v>
      </c>
      <c r="L2182" t="s">
        <v>35</v>
      </c>
      <c r="M2182" t="s">
        <v>29</v>
      </c>
      <c r="N2182" t="s">
        <v>30</v>
      </c>
      <c r="O2182">
        <v>37219</v>
      </c>
      <c r="P2182" t="s">
        <v>8026</v>
      </c>
      <c r="Q2182" s="2">
        <v>2.87</v>
      </c>
      <c r="R2182" s="2">
        <v>0</v>
      </c>
      <c r="S2182" s="2">
        <v>0</v>
      </c>
      <c r="T2182" t="s">
        <v>8027</v>
      </c>
      <c r="U2182" s="6">
        <v>28166</v>
      </c>
      <c r="V2182" s="2">
        <v>47037019117</v>
      </c>
      <c r="W2182" s="2" t="s">
        <v>38</v>
      </c>
      <c r="X2182" s="1">
        <v>45658</v>
      </c>
      <c r="Y2182" s="2">
        <v>81400</v>
      </c>
      <c r="Z2182" s="2">
        <v>0</v>
      </c>
      <c r="AA2182" s="2">
        <v>81400</v>
      </c>
    </row>
    <row r="2183" spans="1:27" x14ac:dyDescent="0.3">
      <c r="A2183" s="3">
        <v>33</v>
      </c>
      <c r="B2183" s="2" t="str">
        <f>"16210001600"</f>
        <v>16210001600</v>
      </c>
      <c r="C2183" s="2" t="s">
        <v>8028</v>
      </c>
      <c r="D2183" t="s">
        <v>1945</v>
      </c>
      <c r="E2183" s="2" t="s">
        <v>30</v>
      </c>
      <c r="F2183" s="2">
        <v>37013</v>
      </c>
      <c r="G2183" s="2" t="s">
        <v>64</v>
      </c>
      <c r="H2183" t="s">
        <v>1084</v>
      </c>
      <c r="I2183" s="6">
        <v>43496</v>
      </c>
      <c r="J2183" s="2" t="s">
        <v>8029</v>
      </c>
      <c r="K2183" s="2" t="s">
        <v>34</v>
      </c>
      <c r="L2183" t="s">
        <v>315</v>
      </c>
      <c r="M2183" t="s">
        <v>29</v>
      </c>
      <c r="N2183" t="s">
        <v>30</v>
      </c>
      <c r="O2183">
        <v>37208</v>
      </c>
      <c r="P2183" t="s">
        <v>8030</v>
      </c>
      <c r="Q2183" s="2">
        <v>0.69</v>
      </c>
      <c r="R2183" s="2">
        <v>129</v>
      </c>
      <c r="S2183" s="2">
        <v>259</v>
      </c>
      <c r="T2183" t="s">
        <v>8031</v>
      </c>
      <c r="U2183" s="6">
        <v>27166</v>
      </c>
      <c r="V2183" s="2">
        <v>47037019111</v>
      </c>
      <c r="W2183" s="2" t="s">
        <v>68</v>
      </c>
      <c r="X2183" s="1">
        <v>45658</v>
      </c>
      <c r="Y2183" s="2">
        <v>86300</v>
      </c>
      <c r="Z2183" s="2">
        <v>0</v>
      </c>
      <c r="AA2183" s="2">
        <v>86300</v>
      </c>
    </row>
    <row r="2184" spans="1:27" x14ac:dyDescent="0.3">
      <c r="A2184" s="3">
        <v>33</v>
      </c>
      <c r="B2184" s="2" t="str">
        <f>"16208005400"</f>
        <v>16208005400</v>
      </c>
      <c r="C2184" s="2" t="s">
        <v>8032</v>
      </c>
      <c r="D2184" t="s">
        <v>1945</v>
      </c>
      <c r="E2184" s="2" t="s">
        <v>30</v>
      </c>
      <c r="F2184" s="2">
        <v>37013</v>
      </c>
      <c r="G2184" s="2" t="s">
        <v>64</v>
      </c>
      <c r="H2184" t="s">
        <v>379</v>
      </c>
      <c r="I2184" s="6">
        <v>44145</v>
      </c>
      <c r="J2184" s="2" t="s">
        <v>8033</v>
      </c>
      <c r="K2184" s="2" t="s">
        <v>34</v>
      </c>
      <c r="L2184" t="s">
        <v>1104</v>
      </c>
      <c r="M2184" t="s">
        <v>29</v>
      </c>
      <c r="N2184" t="s">
        <v>30</v>
      </c>
      <c r="O2184">
        <v>37208</v>
      </c>
      <c r="P2184" t="s">
        <v>8034</v>
      </c>
      <c r="Q2184" s="2">
        <v>0.26</v>
      </c>
      <c r="R2184" s="2">
        <v>75</v>
      </c>
      <c r="S2184" s="2">
        <v>159</v>
      </c>
      <c r="T2184" t="s">
        <v>8035</v>
      </c>
      <c r="U2184" s="6">
        <v>26333</v>
      </c>
      <c r="V2184" s="2">
        <v>47037019109</v>
      </c>
      <c r="W2184" s="2" t="s">
        <v>68</v>
      </c>
      <c r="X2184" s="1">
        <v>45658</v>
      </c>
      <c r="Y2184" s="2">
        <v>62000</v>
      </c>
      <c r="Z2184" s="2">
        <v>0</v>
      </c>
      <c r="AA2184" s="2">
        <v>62000</v>
      </c>
    </row>
    <row r="2185" spans="1:27" x14ac:dyDescent="0.3">
      <c r="A2185" s="3">
        <v>34</v>
      </c>
      <c r="B2185" s="2" t="str">
        <f>"14300001000"</f>
        <v>14300001000</v>
      </c>
      <c r="C2185" s="2" t="s">
        <v>8036</v>
      </c>
      <c r="D2185" t="s">
        <v>29</v>
      </c>
      <c r="E2185" s="2" t="s">
        <v>30</v>
      </c>
      <c r="F2185" s="2">
        <v>37221</v>
      </c>
      <c r="G2185" s="2" t="s">
        <v>64</v>
      </c>
      <c r="H2185" t="s">
        <v>32</v>
      </c>
      <c r="I2185" s="6">
        <v>42013</v>
      </c>
      <c r="J2185" s="2" t="s">
        <v>8037</v>
      </c>
      <c r="K2185" s="2">
        <v>0</v>
      </c>
      <c r="L2185" t="s">
        <v>35</v>
      </c>
      <c r="M2185" t="s">
        <v>29</v>
      </c>
      <c r="N2185" t="s">
        <v>30</v>
      </c>
      <c r="O2185">
        <v>37219</v>
      </c>
      <c r="P2185" t="s">
        <v>8038</v>
      </c>
      <c r="Q2185" s="2">
        <v>318.83999999999997</v>
      </c>
      <c r="R2185" s="2">
        <v>2373</v>
      </c>
      <c r="S2185" s="2">
        <v>0</v>
      </c>
      <c r="T2185" t="s">
        <v>8037</v>
      </c>
      <c r="U2185" s="6">
        <v>42013</v>
      </c>
      <c r="V2185" s="2">
        <v>47037018404</v>
      </c>
      <c r="W2185" s="2" t="s">
        <v>38</v>
      </c>
      <c r="X2185" s="1">
        <v>45658</v>
      </c>
      <c r="Y2185" s="2">
        <v>4419500</v>
      </c>
      <c r="Z2185" s="2">
        <v>0</v>
      </c>
      <c r="AA2185" s="2">
        <v>4419500</v>
      </c>
    </row>
    <row r="2186" spans="1:27" x14ac:dyDescent="0.3">
      <c r="A2186" s="3">
        <v>34</v>
      </c>
      <c r="B2186" s="2" t="str">
        <f>"14300001100"</f>
        <v>14300001100</v>
      </c>
      <c r="C2186" s="2" t="s">
        <v>8039</v>
      </c>
      <c r="D2186" t="s">
        <v>29</v>
      </c>
      <c r="E2186" s="2" t="s">
        <v>30</v>
      </c>
      <c r="F2186" s="2">
        <v>37221</v>
      </c>
      <c r="G2186" s="2" t="s">
        <v>64</v>
      </c>
      <c r="H2186" t="s">
        <v>32</v>
      </c>
      <c r="I2186" s="6">
        <v>45153</v>
      </c>
      <c r="J2186" s="2" t="s">
        <v>8040</v>
      </c>
      <c r="K2186" s="2">
        <v>0</v>
      </c>
      <c r="L2186" t="s">
        <v>85</v>
      </c>
      <c r="M2186" t="s">
        <v>29</v>
      </c>
      <c r="N2186" t="s">
        <v>30</v>
      </c>
      <c r="O2186">
        <v>37219</v>
      </c>
      <c r="P2186" t="s">
        <v>8041</v>
      </c>
      <c r="Q2186" s="2">
        <v>14.3</v>
      </c>
      <c r="R2186" s="2">
        <v>0</v>
      </c>
      <c r="S2186" s="2">
        <v>0</v>
      </c>
      <c r="T2186" t="s">
        <v>8042</v>
      </c>
      <c r="U2186" s="6">
        <v>43834</v>
      </c>
      <c r="V2186" s="2">
        <v>47037018404</v>
      </c>
      <c r="W2186" s="2" t="s">
        <v>38</v>
      </c>
      <c r="X2186" s="1">
        <v>45658</v>
      </c>
      <c r="Y2186" s="2">
        <v>800000</v>
      </c>
      <c r="Z2186" s="2">
        <v>0</v>
      </c>
      <c r="AA2186" s="2">
        <v>800000</v>
      </c>
    </row>
    <row r="2187" spans="1:27" x14ac:dyDescent="0.3">
      <c r="A2187" s="3">
        <v>34</v>
      </c>
      <c r="B2187" s="2" t="str">
        <f>"14300007000"</f>
        <v>14300007000</v>
      </c>
      <c r="C2187" s="2" t="s">
        <v>28</v>
      </c>
      <c r="D2187" t="s">
        <v>29</v>
      </c>
      <c r="E2187" s="2" t="s">
        <v>30</v>
      </c>
      <c r="F2187" s="2">
        <v>37221</v>
      </c>
      <c r="G2187" s="2" t="s">
        <v>870</v>
      </c>
      <c r="H2187" t="s">
        <v>32</v>
      </c>
      <c r="I2187" s="6">
        <v>41359</v>
      </c>
      <c r="J2187" s="2" t="s">
        <v>8043</v>
      </c>
      <c r="K2187" s="2">
        <v>159500</v>
      </c>
      <c r="L2187" t="s">
        <v>35</v>
      </c>
      <c r="M2187" t="s">
        <v>29</v>
      </c>
      <c r="N2187" t="s">
        <v>30</v>
      </c>
      <c r="O2187">
        <v>37219</v>
      </c>
      <c r="P2187" t="s">
        <v>8044</v>
      </c>
      <c r="Q2187" s="2">
        <v>25.48</v>
      </c>
      <c r="R2187" s="2">
        <v>0</v>
      </c>
      <c r="S2187" s="2">
        <v>0</v>
      </c>
      <c r="T2187" t="s">
        <v>8045</v>
      </c>
      <c r="U2187" s="6">
        <v>41263</v>
      </c>
      <c r="V2187" s="2">
        <v>47037018404</v>
      </c>
      <c r="W2187" s="2" t="s">
        <v>38</v>
      </c>
      <c r="X2187" s="1">
        <v>45658</v>
      </c>
      <c r="Y2187" s="2">
        <v>3750000</v>
      </c>
      <c r="Z2187" s="2">
        <v>0</v>
      </c>
      <c r="AA2187" s="2">
        <v>3750000</v>
      </c>
    </row>
    <row r="2188" spans="1:27" x14ac:dyDescent="0.3">
      <c r="A2188" s="3">
        <v>34</v>
      </c>
      <c r="B2188" s="2" t="str">
        <f>"14300001300"</f>
        <v>14300001300</v>
      </c>
      <c r="C2188" s="2" t="s">
        <v>8046</v>
      </c>
      <c r="D2188" t="s">
        <v>29</v>
      </c>
      <c r="E2188" s="2" t="s">
        <v>30</v>
      </c>
      <c r="F2188" s="2">
        <v>37221</v>
      </c>
      <c r="G2188" s="2" t="s">
        <v>194</v>
      </c>
      <c r="H2188" t="s">
        <v>32</v>
      </c>
      <c r="I2188" s="6">
        <v>44550</v>
      </c>
      <c r="J2188" s="2" t="s">
        <v>8047</v>
      </c>
      <c r="K2188" s="2">
        <v>0</v>
      </c>
      <c r="L2188" t="s">
        <v>35</v>
      </c>
      <c r="M2188" t="s">
        <v>29</v>
      </c>
      <c r="N2188" t="s">
        <v>30</v>
      </c>
      <c r="O2188">
        <v>37219</v>
      </c>
      <c r="P2188" t="s">
        <v>8048</v>
      </c>
      <c r="Q2188" s="2">
        <v>3.56</v>
      </c>
      <c r="R2188" s="2">
        <v>0</v>
      </c>
      <c r="S2188" s="2">
        <v>0</v>
      </c>
      <c r="T2188" t="s">
        <v>62</v>
      </c>
      <c r="U2188" s="6">
        <v>30682</v>
      </c>
      <c r="V2188" s="2">
        <v>47037018404</v>
      </c>
      <c r="W2188" s="2" t="s">
        <v>38</v>
      </c>
      <c r="X2188" s="1">
        <v>45658</v>
      </c>
      <c r="Y2188" s="2">
        <v>435300</v>
      </c>
      <c r="Z2188" s="2">
        <v>204400</v>
      </c>
      <c r="AA2188" s="2">
        <v>230900</v>
      </c>
    </row>
    <row r="2189" spans="1:27" x14ac:dyDescent="0.3">
      <c r="A2189" s="3">
        <v>34</v>
      </c>
      <c r="B2189" s="2" t="str">
        <f>"14300002900"</f>
        <v>14300002900</v>
      </c>
      <c r="C2189" s="2" t="s">
        <v>6163</v>
      </c>
      <c r="D2189" t="s">
        <v>29</v>
      </c>
      <c r="E2189" s="2" t="s">
        <v>30</v>
      </c>
      <c r="F2189" s="2">
        <v>37221</v>
      </c>
      <c r="G2189" s="2" t="s">
        <v>64</v>
      </c>
      <c r="H2189" t="s">
        <v>32</v>
      </c>
      <c r="I2189" s="6">
        <v>45100</v>
      </c>
      <c r="J2189" s="2" t="s">
        <v>8049</v>
      </c>
      <c r="K2189" s="2">
        <v>0</v>
      </c>
      <c r="L2189" t="s">
        <v>8050</v>
      </c>
      <c r="M2189" t="s">
        <v>29</v>
      </c>
      <c r="N2189" t="s">
        <v>30</v>
      </c>
      <c r="O2189">
        <v>37219</v>
      </c>
      <c r="P2189" t="s">
        <v>8051</v>
      </c>
      <c r="Q2189" s="2">
        <v>4.5999999999999996</v>
      </c>
      <c r="R2189" s="2">
        <v>0</v>
      </c>
      <c r="S2189" s="2">
        <v>0</v>
      </c>
      <c r="T2189" t="s">
        <v>8052</v>
      </c>
      <c r="U2189" s="6">
        <v>24322</v>
      </c>
      <c r="V2189" s="2">
        <v>47037018404</v>
      </c>
      <c r="W2189" s="2" t="s">
        <v>38</v>
      </c>
      <c r="X2189" s="1">
        <v>45658</v>
      </c>
      <c r="Y2189" s="2">
        <v>239500</v>
      </c>
      <c r="Z2189" s="2">
        <v>0</v>
      </c>
      <c r="AA2189" s="2">
        <v>239500</v>
      </c>
    </row>
    <row r="2190" spans="1:27" x14ac:dyDescent="0.3">
      <c r="A2190" s="3">
        <v>34</v>
      </c>
      <c r="B2190" s="2" t="str">
        <f>"14300001500"</f>
        <v>14300001500</v>
      </c>
      <c r="C2190" s="2" t="s">
        <v>8053</v>
      </c>
      <c r="D2190" t="s">
        <v>29</v>
      </c>
      <c r="E2190" s="2" t="s">
        <v>30</v>
      </c>
      <c r="F2190" s="2">
        <v>37221</v>
      </c>
      <c r="G2190" s="2" t="s">
        <v>194</v>
      </c>
      <c r="H2190" t="s">
        <v>32</v>
      </c>
      <c r="I2190" s="6">
        <v>45148</v>
      </c>
      <c r="J2190" s="2" t="s">
        <v>8054</v>
      </c>
      <c r="K2190" s="2">
        <v>0</v>
      </c>
      <c r="L2190" t="s">
        <v>85</v>
      </c>
      <c r="M2190" t="s">
        <v>29</v>
      </c>
      <c r="N2190" t="s">
        <v>30</v>
      </c>
      <c r="O2190">
        <v>37219</v>
      </c>
      <c r="P2190" t="s">
        <v>8055</v>
      </c>
      <c r="Q2190" s="2">
        <v>7.81</v>
      </c>
      <c r="R2190" s="2">
        <v>0</v>
      </c>
      <c r="S2190" s="2">
        <v>0</v>
      </c>
      <c r="T2190" t="s">
        <v>8056</v>
      </c>
      <c r="U2190" s="6">
        <v>24859</v>
      </c>
      <c r="V2190" s="2">
        <v>47037018404</v>
      </c>
      <c r="W2190" s="2" t="s">
        <v>38</v>
      </c>
      <c r="X2190" s="1">
        <v>45658</v>
      </c>
      <c r="Y2190" s="2">
        <v>815300</v>
      </c>
      <c r="Z2190" s="2">
        <v>543600</v>
      </c>
      <c r="AA2190" s="2">
        <v>271700</v>
      </c>
    </row>
    <row r="2191" spans="1:27" x14ac:dyDescent="0.3">
      <c r="A2191" s="3">
        <v>34</v>
      </c>
      <c r="B2191" s="2" t="str">
        <f>"14300001800"</f>
        <v>14300001800</v>
      </c>
      <c r="C2191" s="2" t="s">
        <v>8057</v>
      </c>
      <c r="D2191" t="s">
        <v>29</v>
      </c>
      <c r="E2191" s="2" t="s">
        <v>30</v>
      </c>
      <c r="F2191" s="2">
        <v>37221</v>
      </c>
      <c r="G2191" s="2" t="s">
        <v>64</v>
      </c>
      <c r="H2191" t="s">
        <v>32</v>
      </c>
      <c r="I2191" s="6">
        <v>45148</v>
      </c>
      <c r="J2191" s="2" t="s">
        <v>8058</v>
      </c>
      <c r="K2191" s="2">
        <v>0</v>
      </c>
      <c r="L2191" t="s">
        <v>85</v>
      </c>
      <c r="M2191" t="s">
        <v>29</v>
      </c>
      <c r="N2191" t="s">
        <v>30</v>
      </c>
      <c r="O2191">
        <v>37219</v>
      </c>
      <c r="P2191" t="s">
        <v>8055</v>
      </c>
      <c r="Q2191" s="2">
        <v>0.53</v>
      </c>
      <c r="R2191" s="2">
        <v>251</v>
      </c>
      <c r="S2191" s="2">
        <v>250</v>
      </c>
      <c r="T2191" t="s">
        <v>8059</v>
      </c>
      <c r="U2191" s="6">
        <v>21861</v>
      </c>
      <c r="V2191" s="2">
        <v>47037018404</v>
      </c>
      <c r="W2191" s="2" t="s">
        <v>38</v>
      </c>
      <c r="X2191" s="1">
        <v>45658</v>
      </c>
      <c r="Y2191" s="2">
        <v>173300</v>
      </c>
      <c r="Z2191" s="2">
        <v>0</v>
      </c>
      <c r="AA2191" s="2">
        <v>173300</v>
      </c>
    </row>
    <row r="2192" spans="1:27" x14ac:dyDescent="0.3">
      <c r="A2192" s="3">
        <v>34</v>
      </c>
      <c r="B2192" s="2" t="str">
        <f>"14300007100"</f>
        <v>14300007100</v>
      </c>
      <c r="C2192" s="2" t="s">
        <v>28</v>
      </c>
      <c r="D2192" t="s">
        <v>29</v>
      </c>
      <c r="E2192" s="2" t="s">
        <v>30</v>
      </c>
      <c r="F2192" s="2">
        <v>37221</v>
      </c>
      <c r="G2192" s="2" t="s">
        <v>870</v>
      </c>
      <c r="H2192" t="s">
        <v>32</v>
      </c>
      <c r="I2192" s="6">
        <v>41359</v>
      </c>
      <c r="J2192" s="2" t="s">
        <v>8060</v>
      </c>
      <c r="K2192" s="2">
        <v>144000</v>
      </c>
      <c r="L2192" t="s">
        <v>35</v>
      </c>
      <c r="M2192" t="s">
        <v>29</v>
      </c>
      <c r="N2192" t="s">
        <v>30</v>
      </c>
      <c r="O2192">
        <v>37219</v>
      </c>
      <c r="P2192" t="s">
        <v>8061</v>
      </c>
      <c r="Q2192" s="2">
        <v>22.99</v>
      </c>
      <c r="R2192" s="2">
        <v>0</v>
      </c>
      <c r="S2192" s="2">
        <v>0</v>
      </c>
      <c r="T2192" t="s">
        <v>8060</v>
      </c>
      <c r="U2192" s="6">
        <v>41359</v>
      </c>
      <c r="V2192" s="2">
        <v>47037018404</v>
      </c>
      <c r="W2192" s="2" t="s">
        <v>38</v>
      </c>
      <c r="X2192" s="1">
        <v>45658</v>
      </c>
      <c r="Y2192" s="2">
        <v>460000</v>
      </c>
      <c r="Z2192" s="2">
        <v>0</v>
      </c>
      <c r="AA2192" s="2">
        <v>460000</v>
      </c>
    </row>
    <row r="2193" spans="1:27" x14ac:dyDescent="0.3">
      <c r="A2193" s="3">
        <v>34</v>
      </c>
      <c r="B2193" s="2" t="str">
        <f>"15800013000"</f>
        <v>15800013000</v>
      </c>
      <c r="C2193" s="2" t="s">
        <v>8062</v>
      </c>
      <c r="D2193" t="s">
        <v>1117</v>
      </c>
      <c r="E2193" s="2" t="s">
        <v>30</v>
      </c>
      <c r="F2193" s="2">
        <v>37027</v>
      </c>
      <c r="G2193" s="2" t="s">
        <v>64</v>
      </c>
      <c r="H2193" t="s">
        <v>32</v>
      </c>
      <c r="I2193" s="6">
        <v>41991</v>
      </c>
      <c r="J2193" s="2" t="s">
        <v>8063</v>
      </c>
      <c r="K2193" s="2">
        <v>0</v>
      </c>
      <c r="L2193" t="s">
        <v>35</v>
      </c>
      <c r="M2193" t="s">
        <v>29</v>
      </c>
      <c r="N2193" t="s">
        <v>30</v>
      </c>
      <c r="O2193">
        <v>37219</v>
      </c>
      <c r="P2193" t="s">
        <v>8064</v>
      </c>
      <c r="Q2193" s="2">
        <v>6.72</v>
      </c>
      <c r="R2193" s="2">
        <v>0</v>
      </c>
      <c r="S2193" s="2">
        <v>0</v>
      </c>
      <c r="T2193" t="s">
        <v>8065</v>
      </c>
      <c r="U2193" s="6">
        <v>37462</v>
      </c>
      <c r="V2193" s="2">
        <v>47037018602</v>
      </c>
      <c r="W2193" s="2" t="s">
        <v>38</v>
      </c>
      <c r="X2193" s="1">
        <v>45658</v>
      </c>
      <c r="Y2193" s="2">
        <v>1672700</v>
      </c>
      <c r="Z2193" s="2">
        <v>0</v>
      </c>
      <c r="AA2193" s="2">
        <v>1672700</v>
      </c>
    </row>
    <row r="2194" spans="1:27" x14ac:dyDescent="0.3">
      <c r="A2194" s="3">
        <v>34</v>
      </c>
      <c r="B2194" s="2" t="str">
        <f>"14403003900"</f>
        <v>14403003900</v>
      </c>
      <c r="C2194" s="2" t="s">
        <v>8066</v>
      </c>
      <c r="D2194" t="s">
        <v>29</v>
      </c>
      <c r="E2194" s="2" t="s">
        <v>30</v>
      </c>
      <c r="F2194" s="2">
        <v>37215</v>
      </c>
      <c r="G2194" s="2" t="s">
        <v>64</v>
      </c>
      <c r="H2194" t="s">
        <v>99</v>
      </c>
      <c r="I2194" s="6">
        <v>28593</v>
      </c>
      <c r="J2194" s="2" t="s">
        <v>8067</v>
      </c>
      <c r="K2194" s="2">
        <v>299</v>
      </c>
      <c r="L2194" t="s">
        <v>35</v>
      </c>
      <c r="M2194" t="s">
        <v>29</v>
      </c>
      <c r="N2194" t="s">
        <v>30</v>
      </c>
      <c r="O2194">
        <v>37219</v>
      </c>
      <c r="P2194" t="s">
        <v>8068</v>
      </c>
      <c r="Q2194" s="2">
        <v>0.14000000000000001</v>
      </c>
      <c r="R2194" s="2">
        <v>78</v>
      </c>
      <c r="S2194" s="2">
        <v>216</v>
      </c>
      <c r="T2194" t="s">
        <v>8069</v>
      </c>
      <c r="U2194" s="6">
        <v>24945</v>
      </c>
      <c r="V2194" s="2">
        <v>47037018601</v>
      </c>
      <c r="W2194" s="2" t="s">
        <v>8070</v>
      </c>
      <c r="X2194" s="1">
        <v>45658</v>
      </c>
      <c r="Y2194" s="2">
        <v>3800</v>
      </c>
      <c r="Z2194" s="2">
        <v>0</v>
      </c>
      <c r="AA2194" s="2">
        <v>3800</v>
      </c>
    </row>
    <row r="2195" spans="1:27" x14ac:dyDescent="0.3">
      <c r="A2195" s="3">
        <v>34</v>
      </c>
      <c r="B2195" s="2" t="str">
        <f>"14211001300"</f>
        <v>14211001300</v>
      </c>
      <c r="C2195" s="2" t="s">
        <v>8071</v>
      </c>
      <c r="D2195" t="s">
        <v>29</v>
      </c>
      <c r="E2195" s="2" t="s">
        <v>30</v>
      </c>
      <c r="F2195" s="2">
        <v>37221</v>
      </c>
      <c r="G2195" s="2" t="s">
        <v>64</v>
      </c>
      <c r="H2195" t="s">
        <v>99</v>
      </c>
      <c r="I2195" s="6">
        <v>42936</v>
      </c>
      <c r="J2195" s="2" t="s">
        <v>8072</v>
      </c>
      <c r="K2195" s="2">
        <v>436</v>
      </c>
      <c r="L2195" t="s">
        <v>893</v>
      </c>
      <c r="M2195" t="s">
        <v>29</v>
      </c>
      <c r="N2195" t="s">
        <v>30</v>
      </c>
      <c r="O2195">
        <v>37219</v>
      </c>
      <c r="P2195" t="s">
        <v>8073</v>
      </c>
      <c r="Q2195" s="2">
        <v>0.05</v>
      </c>
      <c r="R2195" s="2">
        <v>16</v>
      </c>
      <c r="S2195" s="2">
        <v>165</v>
      </c>
      <c r="T2195" t="s">
        <v>8074</v>
      </c>
      <c r="U2195" s="6">
        <v>25618</v>
      </c>
      <c r="V2195" s="2">
        <v>47037018405</v>
      </c>
      <c r="W2195" s="2" t="s">
        <v>38</v>
      </c>
      <c r="X2195" s="1">
        <v>45658</v>
      </c>
      <c r="Y2195" s="2">
        <v>5900</v>
      </c>
      <c r="Z2195" s="2">
        <v>0</v>
      </c>
      <c r="AA2195" s="2">
        <v>5900</v>
      </c>
    </row>
    <row r="2196" spans="1:27" x14ac:dyDescent="0.3">
      <c r="A2196" s="3">
        <v>34</v>
      </c>
      <c r="B2196" s="2" t="str">
        <f>"14200029000"</f>
        <v>14200029000</v>
      </c>
      <c r="C2196" s="2" t="s">
        <v>28</v>
      </c>
      <c r="D2196" t="s">
        <v>29</v>
      </c>
      <c r="E2196" s="2" t="s">
        <v>30</v>
      </c>
      <c r="F2196" s="2">
        <v>37221</v>
      </c>
      <c r="G2196" s="2" t="s">
        <v>64</v>
      </c>
      <c r="H2196" t="s">
        <v>171</v>
      </c>
      <c r="I2196" s="6">
        <v>34326</v>
      </c>
      <c r="J2196" s="2" t="s">
        <v>6154</v>
      </c>
      <c r="K2196" s="2">
        <v>1200000</v>
      </c>
      <c r="L2196" t="s">
        <v>35</v>
      </c>
      <c r="M2196" t="s">
        <v>29</v>
      </c>
      <c r="N2196" t="s">
        <v>30</v>
      </c>
      <c r="O2196">
        <v>37219</v>
      </c>
      <c r="P2196" t="s">
        <v>8075</v>
      </c>
      <c r="Q2196" s="2">
        <v>14.6</v>
      </c>
      <c r="R2196" s="2">
        <v>0</v>
      </c>
      <c r="S2196" s="2">
        <v>0</v>
      </c>
      <c r="T2196" t="s">
        <v>278</v>
      </c>
      <c r="U2196" s="6">
        <v>36578</v>
      </c>
      <c r="V2196" s="2">
        <v>47037018404</v>
      </c>
      <c r="W2196" s="2" t="s">
        <v>38</v>
      </c>
      <c r="X2196" s="1">
        <v>45658</v>
      </c>
      <c r="Y2196" s="2">
        <v>1120000</v>
      </c>
      <c r="Z2196" s="2">
        <v>0</v>
      </c>
      <c r="AA2196" s="2">
        <v>1120000</v>
      </c>
    </row>
    <row r="2197" spans="1:27" x14ac:dyDescent="0.3">
      <c r="A2197" s="3">
        <v>34</v>
      </c>
      <c r="B2197" s="2" t="str">
        <f>"14403000901"</f>
        <v>14403000901</v>
      </c>
      <c r="C2197" s="2" t="s">
        <v>8076</v>
      </c>
      <c r="D2197" t="s">
        <v>29</v>
      </c>
      <c r="E2197" s="2" t="s">
        <v>30</v>
      </c>
      <c r="F2197" s="2">
        <v>37215</v>
      </c>
      <c r="G2197" s="2" t="s">
        <v>152</v>
      </c>
      <c r="H2197" t="s">
        <v>176</v>
      </c>
      <c r="I2197" s="6">
        <v>21016</v>
      </c>
      <c r="J2197" s="2" t="s">
        <v>8077</v>
      </c>
      <c r="K2197" s="2" t="s">
        <v>34</v>
      </c>
      <c r="L2197" t="s">
        <v>178</v>
      </c>
      <c r="M2197" t="s">
        <v>29</v>
      </c>
      <c r="N2197" t="s">
        <v>30</v>
      </c>
      <c r="O2197">
        <v>37246</v>
      </c>
      <c r="P2197" t="s">
        <v>8078</v>
      </c>
      <c r="Q2197" s="2">
        <v>0.16</v>
      </c>
      <c r="R2197" s="2">
        <v>174</v>
      </c>
      <c r="S2197" s="2">
        <v>162</v>
      </c>
      <c r="T2197" t="s">
        <v>8077</v>
      </c>
      <c r="U2197" s="6">
        <v>21016</v>
      </c>
      <c r="V2197" s="2">
        <v>47037018601</v>
      </c>
      <c r="W2197" s="2" t="s">
        <v>8070</v>
      </c>
      <c r="X2197" s="1">
        <v>45658</v>
      </c>
      <c r="Y2197" s="2">
        <v>35000</v>
      </c>
      <c r="Z2197" s="2">
        <v>0</v>
      </c>
      <c r="AA2197" s="2">
        <v>35000</v>
      </c>
    </row>
    <row r="2198" spans="1:27" x14ac:dyDescent="0.3">
      <c r="A2198" s="3">
        <v>34</v>
      </c>
      <c r="B2198" s="2" t="str">
        <f>"14200009600"</f>
        <v>14200009600</v>
      </c>
      <c r="C2198" s="2" t="s">
        <v>8079</v>
      </c>
      <c r="D2198" t="s">
        <v>29</v>
      </c>
      <c r="E2198" s="2" t="s">
        <v>30</v>
      </c>
      <c r="F2198" s="2">
        <v>37221</v>
      </c>
      <c r="G2198" s="2" t="s">
        <v>152</v>
      </c>
      <c r="H2198" t="s">
        <v>176</v>
      </c>
      <c r="I2198" s="6">
        <v>26001</v>
      </c>
      <c r="J2198" s="2" t="s">
        <v>8080</v>
      </c>
      <c r="K2198" s="2" t="s">
        <v>34</v>
      </c>
      <c r="L2198" t="s">
        <v>178</v>
      </c>
      <c r="M2198" t="s">
        <v>29</v>
      </c>
      <c r="N2198" t="s">
        <v>30</v>
      </c>
      <c r="O2198">
        <v>37246</v>
      </c>
      <c r="P2198" t="s">
        <v>8081</v>
      </c>
      <c r="Q2198" s="2">
        <v>1.83</v>
      </c>
      <c r="R2198" s="2">
        <v>0</v>
      </c>
      <c r="S2198" s="2">
        <v>0</v>
      </c>
      <c r="T2198" t="s">
        <v>8080</v>
      </c>
      <c r="U2198" s="6">
        <v>26001</v>
      </c>
      <c r="V2198" s="2">
        <v>47037018404</v>
      </c>
      <c r="W2198" s="2" t="s">
        <v>38</v>
      </c>
      <c r="X2198" s="1">
        <v>45658</v>
      </c>
      <c r="Y2198" s="2">
        <v>116100</v>
      </c>
      <c r="Z2198" s="2">
        <v>0</v>
      </c>
      <c r="AA2198" s="2">
        <v>116100</v>
      </c>
    </row>
    <row r="2199" spans="1:27" x14ac:dyDescent="0.3">
      <c r="A2199" s="3">
        <v>34</v>
      </c>
      <c r="B2199" s="2" t="str">
        <f>"14509005301"</f>
        <v>14509005301</v>
      </c>
      <c r="C2199" s="2" t="s">
        <v>8082</v>
      </c>
      <c r="D2199" t="s">
        <v>29</v>
      </c>
      <c r="E2199" s="2" t="s">
        <v>30</v>
      </c>
      <c r="F2199" s="2">
        <v>37215</v>
      </c>
      <c r="G2199" s="2" t="s">
        <v>152</v>
      </c>
      <c r="H2199" t="s">
        <v>176</v>
      </c>
      <c r="I2199" s="6">
        <v>27395</v>
      </c>
      <c r="J2199" s="2" t="s">
        <v>8083</v>
      </c>
      <c r="K2199" s="2" t="s">
        <v>34</v>
      </c>
      <c r="L2199" t="s">
        <v>178</v>
      </c>
      <c r="M2199" t="s">
        <v>29</v>
      </c>
      <c r="N2199" t="s">
        <v>30</v>
      </c>
      <c r="O2199">
        <v>37246</v>
      </c>
      <c r="P2199" t="s">
        <v>8084</v>
      </c>
      <c r="Q2199" s="2">
        <v>0.09</v>
      </c>
      <c r="R2199" s="2">
        <v>60</v>
      </c>
      <c r="S2199" s="2">
        <v>60</v>
      </c>
      <c r="T2199" t="s">
        <v>8085</v>
      </c>
      <c r="U2199" s="6">
        <v>23536</v>
      </c>
      <c r="V2199" s="2">
        <v>47037018602</v>
      </c>
      <c r="W2199" s="2" t="s">
        <v>8070</v>
      </c>
      <c r="X2199" s="1">
        <v>45658</v>
      </c>
      <c r="Y2199" s="2">
        <v>7100</v>
      </c>
      <c r="Z2199" s="2">
        <v>0</v>
      </c>
      <c r="AA2199" s="2">
        <v>7100</v>
      </c>
    </row>
    <row r="2200" spans="1:27" x14ac:dyDescent="0.3">
      <c r="A2200" s="3">
        <v>34</v>
      </c>
      <c r="B2200" s="2" t="str">
        <f>"15900011500"</f>
        <v>15900011500</v>
      </c>
      <c r="C2200" s="2" t="s">
        <v>8086</v>
      </c>
      <c r="D2200" t="s">
        <v>1117</v>
      </c>
      <c r="E2200" s="2" t="s">
        <v>30</v>
      </c>
      <c r="F2200" s="2">
        <v>37027</v>
      </c>
      <c r="G2200" s="2" t="s">
        <v>152</v>
      </c>
      <c r="H2200" t="s">
        <v>176</v>
      </c>
      <c r="I2200" s="6">
        <v>24854</v>
      </c>
      <c r="J2200" s="2" t="s">
        <v>8087</v>
      </c>
      <c r="K2200" s="2" t="s">
        <v>34</v>
      </c>
      <c r="L2200" t="s">
        <v>178</v>
      </c>
      <c r="M2200" t="s">
        <v>29</v>
      </c>
      <c r="N2200" t="s">
        <v>30</v>
      </c>
      <c r="O2200">
        <v>37246</v>
      </c>
      <c r="P2200" t="s">
        <v>8088</v>
      </c>
      <c r="Q2200" s="2">
        <v>4.5999999999999996</v>
      </c>
      <c r="R2200" s="2">
        <v>0</v>
      </c>
      <c r="S2200" s="2">
        <v>0</v>
      </c>
      <c r="T2200" t="s">
        <v>8089</v>
      </c>
      <c r="U2200" s="6">
        <v>37242</v>
      </c>
      <c r="V2200" s="2">
        <v>47037018602</v>
      </c>
      <c r="W2200" s="2" t="s">
        <v>38</v>
      </c>
      <c r="X2200" s="1">
        <v>45658</v>
      </c>
      <c r="Y2200" s="2">
        <v>927000</v>
      </c>
      <c r="Z2200" s="2">
        <v>0</v>
      </c>
      <c r="AA2200" s="2">
        <v>927000</v>
      </c>
    </row>
    <row r="2201" spans="1:27" x14ac:dyDescent="0.3">
      <c r="A2201" s="3">
        <v>34</v>
      </c>
      <c r="B2201" s="2" t="str">
        <f>"13016006700"</f>
        <v>13016006700</v>
      </c>
      <c r="C2201" s="2" t="s">
        <v>8090</v>
      </c>
      <c r="D2201" t="s">
        <v>29</v>
      </c>
      <c r="E2201" s="2" t="s">
        <v>30</v>
      </c>
      <c r="F2201" s="2">
        <v>37215</v>
      </c>
      <c r="G2201" s="2" t="s">
        <v>152</v>
      </c>
      <c r="H2201" t="s">
        <v>176</v>
      </c>
      <c r="I2201" s="6">
        <v>19967</v>
      </c>
      <c r="J2201" s="2" t="s">
        <v>8091</v>
      </c>
      <c r="K2201" s="2">
        <v>40000</v>
      </c>
      <c r="L2201" t="s">
        <v>178</v>
      </c>
      <c r="M2201" t="s">
        <v>29</v>
      </c>
      <c r="N2201" t="s">
        <v>30</v>
      </c>
      <c r="O2201">
        <v>37246</v>
      </c>
      <c r="P2201" t="s">
        <v>8092</v>
      </c>
      <c r="Q2201" s="2">
        <v>7.61</v>
      </c>
      <c r="R2201" s="2">
        <v>193</v>
      </c>
      <c r="S2201" s="2">
        <v>402</v>
      </c>
      <c r="T2201" t="s">
        <v>8093</v>
      </c>
      <c r="U2201" s="6">
        <v>37861</v>
      </c>
      <c r="V2201" s="2">
        <v>47037018601</v>
      </c>
      <c r="W2201" s="2" t="s">
        <v>8070</v>
      </c>
      <c r="X2201" s="1">
        <v>45658</v>
      </c>
      <c r="Y2201" s="2">
        <v>1154900</v>
      </c>
      <c r="Z2201" s="2">
        <v>0</v>
      </c>
      <c r="AA2201" s="2">
        <v>1154900</v>
      </c>
    </row>
    <row r="2202" spans="1:27" x14ac:dyDescent="0.3">
      <c r="A2202" s="3">
        <v>34</v>
      </c>
      <c r="B2202" s="2" t="str">
        <f>"11709003000"</f>
        <v>11709003000</v>
      </c>
      <c r="C2202" s="2" t="s">
        <v>8094</v>
      </c>
      <c r="D2202" t="s">
        <v>29</v>
      </c>
      <c r="E2202" s="2" t="s">
        <v>30</v>
      </c>
      <c r="F2202" s="2">
        <v>37215</v>
      </c>
      <c r="G2202" s="2" t="s">
        <v>152</v>
      </c>
      <c r="H2202" t="s">
        <v>176</v>
      </c>
      <c r="I2202" s="6">
        <v>19968</v>
      </c>
      <c r="J2202" s="2" t="s">
        <v>8095</v>
      </c>
      <c r="K2202" s="2" t="s">
        <v>34</v>
      </c>
      <c r="L2202" t="s">
        <v>178</v>
      </c>
      <c r="M2202" t="s">
        <v>29</v>
      </c>
      <c r="N2202" t="s">
        <v>30</v>
      </c>
      <c r="O2202">
        <v>37246</v>
      </c>
      <c r="P2202" t="s">
        <v>8096</v>
      </c>
      <c r="Q2202" s="2">
        <v>0.76</v>
      </c>
      <c r="R2202" s="2">
        <v>191</v>
      </c>
      <c r="S2202" s="2">
        <v>207</v>
      </c>
      <c r="T2202" t="s">
        <v>8095</v>
      </c>
      <c r="U2202" s="6">
        <v>19968</v>
      </c>
      <c r="V2202" s="2">
        <v>47037017901</v>
      </c>
      <c r="W2202" s="2" t="s">
        <v>68</v>
      </c>
      <c r="X2202" s="1">
        <v>45658</v>
      </c>
      <c r="Y2202" s="2">
        <v>428400</v>
      </c>
      <c r="Z2202" s="2">
        <v>0</v>
      </c>
      <c r="AA2202" s="2">
        <v>428400</v>
      </c>
    </row>
    <row r="2203" spans="1:27" x14ac:dyDescent="0.3">
      <c r="A2203" s="3">
        <v>34</v>
      </c>
      <c r="B2203" s="2" t="str">
        <f>"13110001600"</f>
        <v>13110001600</v>
      </c>
      <c r="C2203" s="2" t="s">
        <v>8097</v>
      </c>
      <c r="D2203" t="s">
        <v>29</v>
      </c>
      <c r="E2203" s="2" t="s">
        <v>30</v>
      </c>
      <c r="F2203" s="2">
        <v>37215</v>
      </c>
      <c r="G2203" s="2" t="s">
        <v>152</v>
      </c>
      <c r="H2203" t="s">
        <v>176</v>
      </c>
      <c r="I2203" s="6">
        <v>21816</v>
      </c>
      <c r="J2203" s="2" t="s">
        <v>8098</v>
      </c>
      <c r="K2203" s="2" t="s">
        <v>34</v>
      </c>
      <c r="L2203" t="s">
        <v>178</v>
      </c>
      <c r="M2203" t="s">
        <v>29</v>
      </c>
      <c r="N2203" t="s">
        <v>30</v>
      </c>
      <c r="O2203">
        <v>37246</v>
      </c>
      <c r="P2203" t="s">
        <v>8099</v>
      </c>
      <c r="Q2203" s="2">
        <v>0.13</v>
      </c>
      <c r="R2203" s="2">
        <v>75</v>
      </c>
      <c r="S2203" s="2">
        <v>81</v>
      </c>
      <c r="T2203" t="s">
        <v>8098</v>
      </c>
      <c r="U2203" s="6">
        <v>21816</v>
      </c>
      <c r="V2203" s="2">
        <v>47037018602</v>
      </c>
      <c r="W2203" s="2" t="s">
        <v>8070</v>
      </c>
      <c r="X2203" s="1">
        <v>45658</v>
      </c>
      <c r="Y2203" s="2">
        <v>77000</v>
      </c>
      <c r="Z2203" s="2">
        <v>0</v>
      </c>
      <c r="AA2203" s="2">
        <v>77000</v>
      </c>
    </row>
    <row r="2204" spans="1:27" x14ac:dyDescent="0.3">
      <c r="A2204" s="3">
        <v>34</v>
      </c>
      <c r="B2204" s="2" t="str">
        <f>"13101010400"</f>
        <v>13101010400</v>
      </c>
      <c r="C2204" s="2" t="s">
        <v>8100</v>
      </c>
      <c r="D2204" t="s">
        <v>29</v>
      </c>
      <c r="E2204" s="2" t="s">
        <v>30</v>
      </c>
      <c r="F2204" s="2">
        <v>37215</v>
      </c>
      <c r="G2204" s="2" t="s">
        <v>152</v>
      </c>
      <c r="H2204" t="s">
        <v>1304</v>
      </c>
      <c r="I2204" s="6">
        <v>17398</v>
      </c>
      <c r="J2204" s="2" t="s">
        <v>8101</v>
      </c>
      <c r="K2204" s="2">
        <v>0</v>
      </c>
      <c r="L2204" t="s">
        <v>178</v>
      </c>
      <c r="M2204" t="s">
        <v>29</v>
      </c>
      <c r="N2204" t="s">
        <v>30</v>
      </c>
      <c r="O2204">
        <v>37246</v>
      </c>
      <c r="P2204" t="s">
        <v>8102</v>
      </c>
      <c r="Q2204" s="2">
        <v>0.62</v>
      </c>
      <c r="R2204" s="2">
        <v>134</v>
      </c>
      <c r="S2204" s="2">
        <v>196</v>
      </c>
      <c r="T2204" t="s">
        <v>8101</v>
      </c>
      <c r="U2204" s="6">
        <v>17398</v>
      </c>
      <c r="V2204" s="2">
        <v>47037017902</v>
      </c>
      <c r="W2204" s="2" t="s">
        <v>68</v>
      </c>
      <c r="X2204" s="1">
        <v>45658</v>
      </c>
      <c r="Y2204" s="2">
        <v>465000</v>
      </c>
      <c r="Z2204" s="2">
        <v>0</v>
      </c>
      <c r="AA2204" s="2">
        <v>465000</v>
      </c>
    </row>
    <row r="2205" spans="1:27" x14ac:dyDescent="0.3">
      <c r="A2205" s="3">
        <v>34</v>
      </c>
      <c r="B2205" s="2" t="str">
        <f>"14300002200"</f>
        <v>14300002200</v>
      </c>
      <c r="C2205" s="2" t="s">
        <v>6163</v>
      </c>
      <c r="D2205" t="s">
        <v>29</v>
      </c>
      <c r="E2205" s="2" t="s">
        <v>30</v>
      </c>
      <c r="F2205" s="2">
        <v>37221</v>
      </c>
      <c r="G2205" s="2" t="s">
        <v>64</v>
      </c>
      <c r="H2205" t="s">
        <v>6164</v>
      </c>
      <c r="I2205" s="6">
        <v>40009</v>
      </c>
      <c r="J2205" s="2" t="s">
        <v>8103</v>
      </c>
      <c r="K2205" s="2">
        <v>0</v>
      </c>
      <c r="L2205" t="s">
        <v>35</v>
      </c>
      <c r="M2205" t="s">
        <v>29</v>
      </c>
      <c r="N2205" t="s">
        <v>30</v>
      </c>
      <c r="O2205">
        <v>37219</v>
      </c>
      <c r="P2205" t="s">
        <v>8104</v>
      </c>
      <c r="Q2205" s="2">
        <v>58.58</v>
      </c>
      <c r="R2205" s="2">
        <v>0</v>
      </c>
      <c r="S2205" s="2">
        <v>0</v>
      </c>
      <c r="T2205" t="s">
        <v>8105</v>
      </c>
      <c r="U2205" s="6">
        <v>22396</v>
      </c>
      <c r="V2205" s="2">
        <v>47037018404</v>
      </c>
      <c r="W2205" s="2" t="s">
        <v>38</v>
      </c>
      <c r="X2205" s="1">
        <v>45658</v>
      </c>
      <c r="Y2205" s="2">
        <v>699200</v>
      </c>
      <c r="Z2205" s="2">
        <v>0</v>
      </c>
      <c r="AA2205" s="2">
        <v>699200</v>
      </c>
    </row>
    <row r="2206" spans="1:27" x14ac:dyDescent="0.3">
      <c r="A2206" s="3">
        <v>34</v>
      </c>
      <c r="B2206" s="2" t="str">
        <f>"14300002300"</f>
        <v>14300002300</v>
      </c>
      <c r="C2206" s="2" t="s">
        <v>8106</v>
      </c>
      <c r="D2206" t="s">
        <v>29</v>
      </c>
      <c r="E2206" s="2" t="s">
        <v>30</v>
      </c>
      <c r="F2206" s="2">
        <v>37221</v>
      </c>
      <c r="G2206" s="2" t="s">
        <v>64</v>
      </c>
      <c r="H2206" t="s">
        <v>6164</v>
      </c>
      <c r="I2206" s="6">
        <v>40009</v>
      </c>
      <c r="J2206" s="2" t="s">
        <v>8103</v>
      </c>
      <c r="K2206" s="2">
        <v>0</v>
      </c>
      <c r="L2206" t="s">
        <v>35</v>
      </c>
      <c r="M2206" t="s">
        <v>29</v>
      </c>
      <c r="N2206" t="s">
        <v>30</v>
      </c>
      <c r="O2206">
        <v>37219</v>
      </c>
      <c r="P2206" t="s">
        <v>8104</v>
      </c>
      <c r="Q2206" s="2">
        <v>21</v>
      </c>
      <c r="R2206" s="2">
        <v>0</v>
      </c>
      <c r="S2206" s="2">
        <v>0</v>
      </c>
      <c r="T2206" t="s">
        <v>8107</v>
      </c>
      <c r="U2206" s="6">
        <v>22410</v>
      </c>
      <c r="V2206" s="2">
        <v>47037018404</v>
      </c>
      <c r="W2206" s="2" t="s">
        <v>38</v>
      </c>
      <c r="X2206" s="1">
        <v>45658</v>
      </c>
      <c r="Y2206" s="2">
        <v>387800</v>
      </c>
      <c r="Z2206" s="2">
        <v>0</v>
      </c>
      <c r="AA2206" s="2">
        <v>387800</v>
      </c>
    </row>
    <row r="2207" spans="1:27" x14ac:dyDescent="0.3">
      <c r="A2207" s="3">
        <v>34</v>
      </c>
      <c r="B2207" s="2" t="str">
        <f>"15700001500"</f>
        <v>15700001500</v>
      </c>
      <c r="C2207" s="2" t="s">
        <v>8108</v>
      </c>
      <c r="D2207" t="s">
        <v>29</v>
      </c>
      <c r="E2207" s="2" t="s">
        <v>30</v>
      </c>
      <c r="F2207" s="2">
        <v>37221</v>
      </c>
      <c r="G2207" s="2" t="s">
        <v>31</v>
      </c>
      <c r="H2207" t="s">
        <v>6164</v>
      </c>
      <c r="I2207" s="6">
        <v>31778</v>
      </c>
      <c r="J2207" s="2" t="s">
        <v>8109</v>
      </c>
      <c r="K2207" s="2" t="s">
        <v>34</v>
      </c>
      <c r="L2207" t="s">
        <v>35</v>
      </c>
      <c r="M2207" t="s">
        <v>29</v>
      </c>
      <c r="N2207" t="s">
        <v>30</v>
      </c>
      <c r="O2207">
        <v>37219</v>
      </c>
      <c r="P2207" t="s">
        <v>8110</v>
      </c>
      <c r="Q2207" s="2">
        <v>4.95</v>
      </c>
      <c r="R2207" s="2">
        <v>0</v>
      </c>
      <c r="S2207" s="2">
        <v>0</v>
      </c>
      <c r="T2207" t="s">
        <v>8111</v>
      </c>
      <c r="U2207" s="6">
        <v>19898</v>
      </c>
      <c r="V2207" s="2">
        <v>47037018404</v>
      </c>
      <c r="W2207" s="2" t="s">
        <v>38</v>
      </c>
      <c r="X2207" s="1">
        <v>45658</v>
      </c>
      <c r="Y2207" s="2">
        <v>286900</v>
      </c>
      <c r="Z2207" s="2">
        <v>0</v>
      </c>
      <c r="AA2207" s="2">
        <v>286900</v>
      </c>
    </row>
    <row r="2208" spans="1:27" x14ac:dyDescent="0.3">
      <c r="A2208" s="3">
        <v>34</v>
      </c>
      <c r="B2208" s="2" t="str">
        <f>"15700000100"</f>
        <v>15700000100</v>
      </c>
      <c r="C2208" s="2" t="s">
        <v>8112</v>
      </c>
      <c r="D2208" t="s">
        <v>29</v>
      </c>
      <c r="E2208" s="2" t="s">
        <v>30</v>
      </c>
      <c r="F2208" s="2">
        <v>37221</v>
      </c>
      <c r="G2208" s="2" t="s">
        <v>200</v>
      </c>
      <c r="H2208" t="s">
        <v>6164</v>
      </c>
      <c r="I2208" s="6">
        <v>27395</v>
      </c>
      <c r="J2208" s="2" t="s">
        <v>8113</v>
      </c>
      <c r="K2208" s="2" t="s">
        <v>34</v>
      </c>
      <c r="L2208" t="s">
        <v>35</v>
      </c>
      <c r="M2208" t="s">
        <v>29</v>
      </c>
      <c r="N2208" t="s">
        <v>30</v>
      </c>
      <c r="O2208">
        <v>37219</v>
      </c>
      <c r="P2208" t="s">
        <v>8114</v>
      </c>
      <c r="Q2208" s="2">
        <v>461.68</v>
      </c>
      <c r="R2208" s="2">
        <v>0</v>
      </c>
      <c r="S2208" s="2">
        <v>0</v>
      </c>
      <c r="T2208" t="s">
        <v>8111</v>
      </c>
      <c r="U2208" s="6">
        <v>19898</v>
      </c>
      <c r="V2208" s="2">
        <v>47037018404</v>
      </c>
      <c r="W2208" s="2" t="s">
        <v>38</v>
      </c>
      <c r="X2208" s="1">
        <v>45658</v>
      </c>
      <c r="Y2208" s="2">
        <v>4723300</v>
      </c>
      <c r="Z2208" s="2">
        <v>0</v>
      </c>
      <c r="AA2208" s="2">
        <v>4723300</v>
      </c>
    </row>
    <row r="2209" spans="1:27" x14ac:dyDescent="0.3">
      <c r="A2209" s="3">
        <v>34</v>
      </c>
      <c r="B2209" s="2" t="str">
        <f>"14300001400"</f>
        <v>14300001400</v>
      </c>
      <c r="C2209" s="2" t="s">
        <v>6163</v>
      </c>
      <c r="D2209" t="s">
        <v>29</v>
      </c>
      <c r="E2209" s="2" t="s">
        <v>30</v>
      </c>
      <c r="F2209" s="2">
        <v>37221</v>
      </c>
      <c r="G2209" s="2" t="s">
        <v>64</v>
      </c>
      <c r="H2209" t="s">
        <v>6164</v>
      </c>
      <c r="I2209" s="6">
        <v>40009</v>
      </c>
      <c r="J2209" s="2" t="s">
        <v>8103</v>
      </c>
      <c r="K2209" s="2">
        <v>0</v>
      </c>
      <c r="L2209" t="s">
        <v>35</v>
      </c>
      <c r="M2209" t="s">
        <v>29</v>
      </c>
      <c r="N2209" t="s">
        <v>30</v>
      </c>
      <c r="O2209">
        <v>37219</v>
      </c>
      <c r="P2209" t="s">
        <v>8055</v>
      </c>
      <c r="Q2209" s="2">
        <v>2.1</v>
      </c>
      <c r="R2209" s="2">
        <v>0</v>
      </c>
      <c r="S2209" s="2">
        <v>0</v>
      </c>
      <c r="T2209" t="s">
        <v>8115</v>
      </c>
      <c r="U2209" s="6">
        <v>27156</v>
      </c>
      <c r="V2209" s="2">
        <v>47037018404</v>
      </c>
      <c r="W2209" s="2" t="s">
        <v>38</v>
      </c>
      <c r="X2209" s="1">
        <v>45658</v>
      </c>
      <c r="Y2209" s="2">
        <v>215600</v>
      </c>
      <c r="Z2209" s="2">
        <v>0</v>
      </c>
      <c r="AA2209" s="2">
        <v>215600</v>
      </c>
    </row>
    <row r="2210" spans="1:27" x14ac:dyDescent="0.3">
      <c r="A2210" s="3">
        <v>34</v>
      </c>
      <c r="B2210" s="2" t="str">
        <f>"14300002000"</f>
        <v>14300002000</v>
      </c>
      <c r="C2210" s="2" t="s">
        <v>6163</v>
      </c>
      <c r="D2210" t="s">
        <v>29</v>
      </c>
      <c r="E2210" s="2" t="s">
        <v>30</v>
      </c>
      <c r="F2210" s="2">
        <v>37221</v>
      </c>
      <c r="G2210" s="2" t="s">
        <v>64</v>
      </c>
      <c r="H2210" t="s">
        <v>6164</v>
      </c>
      <c r="I2210" s="6">
        <v>40009</v>
      </c>
      <c r="J2210" s="2" t="s">
        <v>8103</v>
      </c>
      <c r="K2210" s="2">
        <v>0</v>
      </c>
      <c r="L2210" t="s">
        <v>35</v>
      </c>
      <c r="M2210" t="s">
        <v>29</v>
      </c>
      <c r="N2210" t="s">
        <v>30</v>
      </c>
      <c r="O2210">
        <v>37219</v>
      </c>
      <c r="P2210" t="s">
        <v>8116</v>
      </c>
      <c r="Q2210" s="2">
        <v>5.2</v>
      </c>
      <c r="R2210" s="2">
        <v>0</v>
      </c>
      <c r="S2210" s="2">
        <v>0</v>
      </c>
      <c r="T2210" t="s">
        <v>8117</v>
      </c>
      <c r="U2210" s="6">
        <v>38125</v>
      </c>
      <c r="V2210" s="2">
        <v>47037018404</v>
      </c>
      <c r="W2210" s="2" t="s">
        <v>38</v>
      </c>
      <c r="X2210" s="1">
        <v>45658</v>
      </c>
      <c r="Y2210" s="2">
        <v>229500</v>
      </c>
      <c r="Z2210" s="2">
        <v>0</v>
      </c>
      <c r="AA2210" s="2">
        <v>229500</v>
      </c>
    </row>
    <row r="2211" spans="1:27" x14ac:dyDescent="0.3">
      <c r="A2211" s="3">
        <v>34</v>
      </c>
      <c r="B2211" s="2" t="str">
        <f>"14300005200"</f>
        <v>14300005200</v>
      </c>
      <c r="C2211" s="2" t="s">
        <v>8118</v>
      </c>
      <c r="D2211" t="s">
        <v>29</v>
      </c>
      <c r="E2211" s="2" t="s">
        <v>30</v>
      </c>
      <c r="F2211" s="2">
        <v>37221</v>
      </c>
      <c r="G2211" s="2" t="s">
        <v>194</v>
      </c>
      <c r="H2211" t="s">
        <v>6164</v>
      </c>
      <c r="I2211" s="6">
        <v>40009</v>
      </c>
      <c r="J2211" s="2" t="s">
        <v>8103</v>
      </c>
      <c r="K2211" s="2">
        <v>0</v>
      </c>
      <c r="L2211" t="s">
        <v>35</v>
      </c>
      <c r="M2211" t="s">
        <v>29</v>
      </c>
      <c r="N2211" t="s">
        <v>30</v>
      </c>
      <c r="O2211">
        <v>37219</v>
      </c>
      <c r="P2211" t="s">
        <v>8055</v>
      </c>
      <c r="Q2211" s="2">
        <v>21.08</v>
      </c>
      <c r="R2211" s="2">
        <v>0</v>
      </c>
      <c r="S2211" s="2">
        <v>0</v>
      </c>
      <c r="T2211" t="s">
        <v>8117</v>
      </c>
      <c r="U2211" s="6">
        <v>38125</v>
      </c>
      <c r="V2211" s="2">
        <v>47037018404</v>
      </c>
      <c r="W2211" s="2" t="s">
        <v>38</v>
      </c>
      <c r="X2211" s="1">
        <v>45658</v>
      </c>
      <c r="Y2211" s="2">
        <v>457600</v>
      </c>
      <c r="Z2211" s="2">
        <v>0</v>
      </c>
      <c r="AA2211" s="2">
        <v>457600</v>
      </c>
    </row>
    <row r="2212" spans="1:27" x14ac:dyDescent="0.3">
      <c r="A2212" s="3">
        <v>34</v>
      </c>
      <c r="B2212" s="2" t="str">
        <f>"14300005300"</f>
        <v>14300005300</v>
      </c>
      <c r="C2212" s="2" t="s">
        <v>6163</v>
      </c>
      <c r="D2212" t="s">
        <v>29</v>
      </c>
      <c r="E2212" s="2" t="s">
        <v>30</v>
      </c>
      <c r="F2212" s="2">
        <v>37221</v>
      </c>
      <c r="G2212" s="2" t="s">
        <v>64</v>
      </c>
      <c r="H2212" t="s">
        <v>6164</v>
      </c>
      <c r="I2212" s="6">
        <v>40009</v>
      </c>
      <c r="J2212" s="2" t="s">
        <v>8103</v>
      </c>
      <c r="K2212" s="2">
        <v>0</v>
      </c>
      <c r="L2212" t="s">
        <v>35</v>
      </c>
      <c r="M2212" t="s">
        <v>29</v>
      </c>
      <c r="N2212" t="s">
        <v>30</v>
      </c>
      <c r="O2212">
        <v>37219</v>
      </c>
      <c r="P2212" t="s">
        <v>8116</v>
      </c>
      <c r="Q2212" s="2">
        <v>4.83</v>
      </c>
      <c r="R2212" s="2">
        <v>0</v>
      </c>
      <c r="S2212" s="2">
        <v>0</v>
      </c>
      <c r="T2212" t="s">
        <v>8117</v>
      </c>
      <c r="U2212" s="6">
        <v>38125</v>
      </c>
      <c r="V2212" s="2">
        <v>47037018404</v>
      </c>
      <c r="W2212" s="2" t="s">
        <v>38</v>
      </c>
      <c r="X2212" s="1">
        <v>45658</v>
      </c>
      <c r="Y2212" s="2">
        <v>243100</v>
      </c>
      <c r="Z2212" s="2">
        <v>0</v>
      </c>
      <c r="AA2212" s="2">
        <v>243100</v>
      </c>
    </row>
    <row r="2213" spans="1:27" x14ac:dyDescent="0.3">
      <c r="A2213" s="3">
        <v>34</v>
      </c>
      <c r="B2213" s="2" t="str">
        <f>"14300005400"</f>
        <v>14300005400</v>
      </c>
      <c r="C2213" s="2" t="s">
        <v>6163</v>
      </c>
      <c r="D2213" t="s">
        <v>29</v>
      </c>
      <c r="E2213" s="2" t="s">
        <v>30</v>
      </c>
      <c r="F2213" s="2">
        <v>37221</v>
      </c>
      <c r="G2213" s="2" t="s">
        <v>64</v>
      </c>
      <c r="H2213" t="s">
        <v>6164</v>
      </c>
      <c r="I2213" s="6">
        <v>40009</v>
      </c>
      <c r="J2213" s="2" t="s">
        <v>8103</v>
      </c>
      <c r="K2213" s="2">
        <v>0</v>
      </c>
      <c r="L2213" t="s">
        <v>35</v>
      </c>
      <c r="M2213" t="s">
        <v>29</v>
      </c>
      <c r="N2213" t="s">
        <v>30</v>
      </c>
      <c r="O2213">
        <v>37219</v>
      </c>
      <c r="P2213" t="s">
        <v>8119</v>
      </c>
      <c r="Q2213" s="2">
        <v>10</v>
      </c>
      <c r="R2213" s="2">
        <v>0</v>
      </c>
      <c r="S2213" s="2">
        <v>0</v>
      </c>
      <c r="T2213" t="s">
        <v>8120</v>
      </c>
      <c r="U2213" s="6">
        <v>38498</v>
      </c>
      <c r="V2213" s="2">
        <v>47037018404</v>
      </c>
      <c r="W2213" s="2" t="s">
        <v>38</v>
      </c>
      <c r="X2213" s="1">
        <v>45658</v>
      </c>
      <c r="Y2213" s="2">
        <v>88000</v>
      </c>
      <c r="Z2213" s="2">
        <v>0</v>
      </c>
      <c r="AA2213" s="2">
        <v>88000</v>
      </c>
    </row>
    <row r="2214" spans="1:27" x14ac:dyDescent="0.3">
      <c r="A2214" s="3">
        <v>34</v>
      </c>
      <c r="B2214" s="2" t="str">
        <f>"14300005500"</f>
        <v>14300005500</v>
      </c>
      <c r="C2214" s="2" t="s">
        <v>6163</v>
      </c>
      <c r="D2214" t="s">
        <v>29</v>
      </c>
      <c r="E2214" s="2" t="s">
        <v>30</v>
      </c>
      <c r="F2214" s="2">
        <v>37221</v>
      </c>
      <c r="G2214" s="2" t="s">
        <v>64</v>
      </c>
      <c r="H2214" t="s">
        <v>6164</v>
      </c>
      <c r="I2214" s="6">
        <v>40009</v>
      </c>
      <c r="J2214" s="2" t="s">
        <v>8103</v>
      </c>
      <c r="K2214" s="2">
        <v>0</v>
      </c>
      <c r="L2214" t="s">
        <v>35</v>
      </c>
      <c r="M2214" t="s">
        <v>29</v>
      </c>
      <c r="N2214" t="s">
        <v>30</v>
      </c>
      <c r="O2214">
        <v>37219</v>
      </c>
      <c r="P2214" t="s">
        <v>8119</v>
      </c>
      <c r="Q2214" s="2">
        <v>1.64</v>
      </c>
      <c r="R2214" s="2">
        <v>0</v>
      </c>
      <c r="S2214" s="2">
        <v>0</v>
      </c>
      <c r="T2214" t="s">
        <v>8120</v>
      </c>
      <c r="U2214" s="6">
        <v>38498</v>
      </c>
      <c r="V2214" s="2">
        <v>47037018404</v>
      </c>
      <c r="W2214" s="2" t="s">
        <v>38</v>
      </c>
      <c r="X2214" s="1">
        <v>45658</v>
      </c>
      <c r="Y2214" s="2">
        <v>14400</v>
      </c>
      <c r="Z2214" s="2">
        <v>0</v>
      </c>
      <c r="AA2214" s="2">
        <v>14400</v>
      </c>
    </row>
    <row r="2215" spans="1:27" x14ac:dyDescent="0.3">
      <c r="A2215" s="3">
        <v>34</v>
      </c>
      <c r="B2215" s="2" t="str">
        <f>"14300002500"</f>
        <v>14300002500</v>
      </c>
      <c r="C2215" s="2" t="s">
        <v>8121</v>
      </c>
      <c r="D2215" t="s">
        <v>29</v>
      </c>
      <c r="E2215" s="2" t="s">
        <v>30</v>
      </c>
      <c r="F2215" s="2">
        <v>37221</v>
      </c>
      <c r="G2215" s="2" t="s">
        <v>200</v>
      </c>
      <c r="H2215" t="s">
        <v>8122</v>
      </c>
      <c r="I2215" s="6">
        <v>27395</v>
      </c>
      <c r="J2215" s="2" t="s">
        <v>8123</v>
      </c>
      <c r="K2215" s="2" t="s">
        <v>34</v>
      </c>
      <c r="L2215" t="s">
        <v>35</v>
      </c>
      <c r="M2215" t="s">
        <v>29</v>
      </c>
      <c r="N2215" t="s">
        <v>30</v>
      </c>
      <c r="O2215">
        <v>37219</v>
      </c>
      <c r="P2215" t="s">
        <v>8124</v>
      </c>
      <c r="Q2215" s="2">
        <v>1986.6</v>
      </c>
      <c r="R2215" s="2">
        <v>0</v>
      </c>
      <c r="S2215" s="2">
        <v>0</v>
      </c>
      <c r="T2215" t="s">
        <v>8125</v>
      </c>
      <c r="U2215" s="6">
        <v>5075</v>
      </c>
      <c r="V2215" s="2">
        <v>47037018404</v>
      </c>
      <c r="W2215" s="2" t="s">
        <v>68</v>
      </c>
      <c r="X2215" s="1">
        <v>45658</v>
      </c>
      <c r="Y2215" s="2">
        <v>12873200</v>
      </c>
      <c r="Z2215" s="2">
        <v>0</v>
      </c>
      <c r="AA2215" s="2">
        <v>12873200</v>
      </c>
    </row>
    <row r="2216" spans="1:27" x14ac:dyDescent="0.3">
      <c r="A2216" s="3">
        <v>34</v>
      </c>
      <c r="B2216" s="2" t="str">
        <f>"14405000100"</f>
        <v>14405000100</v>
      </c>
      <c r="C2216" s="2" t="s">
        <v>8126</v>
      </c>
      <c r="D2216" t="s">
        <v>29</v>
      </c>
      <c r="E2216" s="2" t="s">
        <v>30</v>
      </c>
      <c r="F2216" s="2">
        <v>37215</v>
      </c>
      <c r="G2216" s="2" t="s">
        <v>200</v>
      </c>
      <c r="H2216" t="s">
        <v>8122</v>
      </c>
      <c r="I2216" s="6">
        <v>19898</v>
      </c>
      <c r="J2216" s="2" t="s">
        <v>8111</v>
      </c>
      <c r="K2216" s="2" t="s">
        <v>34</v>
      </c>
      <c r="L2216" t="s">
        <v>35</v>
      </c>
      <c r="M2216" t="s">
        <v>29</v>
      </c>
      <c r="N2216" t="s">
        <v>30</v>
      </c>
      <c r="O2216">
        <v>37219</v>
      </c>
      <c r="P2216" t="s">
        <v>8127</v>
      </c>
      <c r="Q2216" s="2">
        <v>2.4</v>
      </c>
      <c r="R2216" s="2">
        <v>0</v>
      </c>
      <c r="S2216" s="2">
        <v>0</v>
      </c>
      <c r="T2216" t="s">
        <v>8111</v>
      </c>
      <c r="U2216" s="6">
        <v>19898</v>
      </c>
      <c r="V2216" s="2">
        <v>47037018601</v>
      </c>
      <c r="W2216" s="2" t="s">
        <v>8070</v>
      </c>
      <c r="X2216" s="1">
        <v>45658</v>
      </c>
      <c r="Y2216" s="2">
        <v>1179000</v>
      </c>
      <c r="Z2216" s="2">
        <v>0</v>
      </c>
      <c r="AA2216" s="2">
        <v>1179000</v>
      </c>
    </row>
    <row r="2217" spans="1:27" x14ac:dyDescent="0.3">
      <c r="A2217" s="3">
        <v>34</v>
      </c>
      <c r="B2217" s="2" t="str">
        <f>"14300002400"</f>
        <v>14300002400</v>
      </c>
      <c r="C2217" s="2" t="s">
        <v>8128</v>
      </c>
      <c r="D2217" t="s">
        <v>29</v>
      </c>
      <c r="E2217" s="2" t="s">
        <v>30</v>
      </c>
      <c r="F2217" s="2">
        <v>37221</v>
      </c>
      <c r="G2217" s="2" t="s">
        <v>200</v>
      </c>
      <c r="H2217" t="s">
        <v>8122</v>
      </c>
      <c r="I2217" s="6">
        <v>17598</v>
      </c>
      <c r="J2217" s="2" t="s">
        <v>8129</v>
      </c>
      <c r="K2217" s="2" t="s">
        <v>34</v>
      </c>
      <c r="L2217" t="s">
        <v>35</v>
      </c>
      <c r="M2217" t="s">
        <v>29</v>
      </c>
      <c r="N2217" t="s">
        <v>30</v>
      </c>
      <c r="O2217">
        <v>37219</v>
      </c>
      <c r="P2217" t="s">
        <v>8130</v>
      </c>
      <c r="Q2217" s="2">
        <v>16.52</v>
      </c>
      <c r="R2217" s="2">
        <v>0</v>
      </c>
      <c r="S2217" s="2">
        <v>0</v>
      </c>
      <c r="T2217" t="s">
        <v>8129</v>
      </c>
      <c r="U2217" s="6">
        <v>17598</v>
      </c>
      <c r="V2217" s="2">
        <v>47037018404</v>
      </c>
      <c r="W2217" s="2" t="s">
        <v>38</v>
      </c>
      <c r="X2217" s="1">
        <v>45658</v>
      </c>
      <c r="Y2217" s="2">
        <v>348400</v>
      </c>
      <c r="Z2217" s="2">
        <v>0</v>
      </c>
      <c r="AA2217" s="2">
        <v>348400</v>
      </c>
    </row>
    <row r="2218" spans="1:27" x14ac:dyDescent="0.3">
      <c r="A2218" s="3">
        <v>34</v>
      </c>
      <c r="B2218" s="2" t="str">
        <f>"15700000900"</f>
        <v>15700000900</v>
      </c>
      <c r="C2218" s="2" t="s">
        <v>8131</v>
      </c>
      <c r="D2218" t="s">
        <v>29</v>
      </c>
      <c r="E2218" s="2" t="s">
        <v>30</v>
      </c>
      <c r="F2218" s="2">
        <v>37221</v>
      </c>
      <c r="G2218" s="2" t="s">
        <v>200</v>
      </c>
      <c r="H2218" t="s">
        <v>8122</v>
      </c>
      <c r="I2218" s="6">
        <v>16348</v>
      </c>
      <c r="J2218" s="2" t="s">
        <v>6233</v>
      </c>
      <c r="K2218" s="2" t="s">
        <v>34</v>
      </c>
      <c r="L2218" t="s">
        <v>35</v>
      </c>
      <c r="M2218" t="s">
        <v>29</v>
      </c>
      <c r="N2218" t="s">
        <v>30</v>
      </c>
      <c r="O2218">
        <v>37219</v>
      </c>
      <c r="P2218" t="s">
        <v>8132</v>
      </c>
      <c r="Q2218" s="2">
        <v>116.1</v>
      </c>
      <c r="R2218" s="2">
        <v>0</v>
      </c>
      <c r="S2218" s="2">
        <v>0</v>
      </c>
      <c r="T2218" t="s">
        <v>6233</v>
      </c>
      <c r="U2218" s="6">
        <v>16348</v>
      </c>
      <c r="V2218" s="2">
        <v>47037018404</v>
      </c>
      <c r="W2218" s="2" t="s">
        <v>38</v>
      </c>
      <c r="X2218" s="1">
        <v>45658</v>
      </c>
      <c r="Y2218" s="2">
        <v>1879500</v>
      </c>
      <c r="Z2218" s="2">
        <v>0</v>
      </c>
      <c r="AA2218" s="2">
        <v>1879500</v>
      </c>
    </row>
    <row r="2219" spans="1:27" x14ac:dyDescent="0.3">
      <c r="A2219" s="3">
        <v>34</v>
      </c>
      <c r="B2219" s="2" t="str">
        <f>"13004006500"</f>
        <v>13004006500</v>
      </c>
      <c r="C2219" s="2" t="s">
        <v>8133</v>
      </c>
      <c r="D2219" t="s">
        <v>29</v>
      </c>
      <c r="E2219" s="2" t="s">
        <v>30</v>
      </c>
      <c r="F2219" s="2">
        <v>37215</v>
      </c>
      <c r="G2219" s="2" t="s">
        <v>253</v>
      </c>
      <c r="H2219" t="s">
        <v>8134</v>
      </c>
      <c r="I2219" s="6">
        <v>17651</v>
      </c>
      <c r="J2219" s="2" t="s">
        <v>8135</v>
      </c>
      <c r="K2219" s="2" t="s">
        <v>34</v>
      </c>
      <c r="L2219" t="s">
        <v>35</v>
      </c>
      <c r="M2219" t="s">
        <v>29</v>
      </c>
      <c r="N2219" t="s">
        <v>30</v>
      </c>
      <c r="O2219">
        <v>37219</v>
      </c>
      <c r="P2219" t="s">
        <v>8136</v>
      </c>
      <c r="Q2219" s="2">
        <v>7.29</v>
      </c>
      <c r="R2219" s="2">
        <v>0</v>
      </c>
      <c r="S2219" s="2">
        <v>0</v>
      </c>
      <c r="T2219" t="s">
        <v>8137</v>
      </c>
      <c r="U2219" s="6">
        <v>36168</v>
      </c>
      <c r="V2219" s="2">
        <v>47037017901</v>
      </c>
      <c r="W2219" s="2" t="s">
        <v>68</v>
      </c>
      <c r="X2219" s="1">
        <v>45658</v>
      </c>
      <c r="Y2219" s="2">
        <v>5423800</v>
      </c>
      <c r="Z2219" s="2">
        <v>0</v>
      </c>
      <c r="AA2219" s="2">
        <v>5423800</v>
      </c>
    </row>
    <row r="2220" spans="1:27" x14ac:dyDescent="0.3">
      <c r="A2220" s="3">
        <v>34</v>
      </c>
      <c r="B2220" s="2" t="str">
        <f>"14416002600"</f>
        <v>14416002600</v>
      </c>
      <c r="C2220" s="2" t="s">
        <v>8138</v>
      </c>
      <c r="D2220" t="s">
        <v>29</v>
      </c>
      <c r="E2220" s="2" t="s">
        <v>30</v>
      </c>
      <c r="F2220" s="2">
        <v>37215</v>
      </c>
      <c r="G2220" s="2" t="s">
        <v>253</v>
      </c>
      <c r="H2220" t="s">
        <v>8139</v>
      </c>
      <c r="I2220" s="6">
        <v>20782</v>
      </c>
      <c r="J2220" s="2" t="s">
        <v>8140</v>
      </c>
      <c r="K2220" s="2" t="s">
        <v>34</v>
      </c>
      <c r="L2220" t="s">
        <v>35</v>
      </c>
      <c r="M2220" t="s">
        <v>29</v>
      </c>
      <c r="N2220" t="s">
        <v>30</v>
      </c>
      <c r="O2220">
        <v>37219</v>
      </c>
      <c r="P2220" t="s">
        <v>8141</v>
      </c>
      <c r="Q2220" s="2">
        <v>9.9</v>
      </c>
      <c r="R2220" s="2">
        <v>0</v>
      </c>
      <c r="S2220" s="2">
        <v>0</v>
      </c>
      <c r="T2220" t="s">
        <v>8140</v>
      </c>
      <c r="U2220" s="6">
        <v>20782</v>
      </c>
      <c r="V2220" s="2">
        <v>47037018602</v>
      </c>
      <c r="W2220" s="2" t="s">
        <v>8070</v>
      </c>
      <c r="X2220" s="1">
        <v>45658</v>
      </c>
      <c r="Y2220" s="2">
        <v>2142100</v>
      </c>
      <c r="Z2220" s="2">
        <v>0</v>
      </c>
      <c r="AA2220" s="2">
        <v>2142100</v>
      </c>
    </row>
    <row r="2221" spans="1:27" x14ac:dyDescent="0.3">
      <c r="A2221" s="3">
        <v>34</v>
      </c>
      <c r="B2221" s="2" t="str">
        <f>"13101000600"</f>
        <v>13101000600</v>
      </c>
      <c r="C2221" s="2" t="s">
        <v>8142</v>
      </c>
      <c r="D2221" t="s">
        <v>29</v>
      </c>
      <c r="E2221" s="2" t="s">
        <v>30</v>
      </c>
      <c r="F2221" s="2">
        <v>37215</v>
      </c>
      <c r="G2221" s="2" t="s">
        <v>64</v>
      </c>
      <c r="H2221" t="s">
        <v>996</v>
      </c>
      <c r="I2221" s="6">
        <v>41290</v>
      </c>
      <c r="J2221" s="2" t="s">
        <v>8143</v>
      </c>
      <c r="K2221" s="2">
        <v>469000</v>
      </c>
      <c r="L2221" t="s">
        <v>35</v>
      </c>
      <c r="M2221" t="s">
        <v>29</v>
      </c>
      <c r="N2221" t="s">
        <v>30</v>
      </c>
      <c r="O2221">
        <v>37219</v>
      </c>
      <c r="P2221" t="s">
        <v>8144</v>
      </c>
      <c r="Q2221" s="2">
        <v>0.52</v>
      </c>
      <c r="R2221" s="2">
        <v>100</v>
      </c>
      <c r="S2221" s="2">
        <v>230</v>
      </c>
      <c r="T2221" t="s">
        <v>8145</v>
      </c>
      <c r="U2221" s="6">
        <v>26103</v>
      </c>
      <c r="V2221" s="2">
        <v>47037017901</v>
      </c>
      <c r="W2221" s="2" t="s">
        <v>68</v>
      </c>
      <c r="X2221" s="1">
        <v>45658</v>
      </c>
      <c r="Y2221" s="2">
        <v>620000</v>
      </c>
      <c r="Z2221" s="2">
        <v>0</v>
      </c>
      <c r="AA2221" s="2">
        <v>620000</v>
      </c>
    </row>
    <row r="2222" spans="1:27" x14ac:dyDescent="0.3">
      <c r="A2222" s="3">
        <v>34</v>
      </c>
      <c r="B2222" s="2" t="str">
        <f>"13101000500"</f>
        <v>13101000500</v>
      </c>
      <c r="C2222" s="2" t="s">
        <v>8146</v>
      </c>
      <c r="D2222" t="s">
        <v>29</v>
      </c>
      <c r="E2222" s="2" t="s">
        <v>30</v>
      </c>
      <c r="F2222" s="2">
        <v>37215</v>
      </c>
      <c r="G2222" s="2" t="s">
        <v>64</v>
      </c>
      <c r="H2222" t="s">
        <v>996</v>
      </c>
      <c r="I2222" s="6">
        <v>41246</v>
      </c>
      <c r="J2222" s="2" t="s">
        <v>8147</v>
      </c>
      <c r="K2222" s="2">
        <v>0</v>
      </c>
      <c r="L2222" t="s">
        <v>35</v>
      </c>
      <c r="M2222" t="s">
        <v>29</v>
      </c>
      <c r="N2222" t="s">
        <v>30</v>
      </c>
      <c r="O2222">
        <v>37219</v>
      </c>
      <c r="P2222" t="s">
        <v>8148</v>
      </c>
      <c r="Q2222" s="2">
        <v>0.61</v>
      </c>
      <c r="R2222" s="2">
        <v>92</v>
      </c>
      <c r="S2222" s="2">
        <v>230</v>
      </c>
      <c r="T2222" t="s">
        <v>8149</v>
      </c>
      <c r="U2222" s="6">
        <v>23986</v>
      </c>
      <c r="V2222" s="2">
        <v>47037017901</v>
      </c>
      <c r="W2222" s="2" t="s">
        <v>68</v>
      </c>
      <c r="X2222" s="1">
        <v>45658</v>
      </c>
      <c r="Y2222" s="2">
        <v>620000</v>
      </c>
      <c r="Z2222" s="2">
        <v>0</v>
      </c>
      <c r="AA2222" s="2">
        <v>620000</v>
      </c>
    </row>
    <row r="2223" spans="1:27" x14ac:dyDescent="0.3">
      <c r="A2223" s="3">
        <v>34</v>
      </c>
      <c r="B2223" s="2" t="str">
        <f>"13016006000"</f>
        <v>13016006000</v>
      </c>
      <c r="C2223" s="2" t="s">
        <v>8150</v>
      </c>
      <c r="D2223" t="s">
        <v>29</v>
      </c>
      <c r="E2223" s="2" t="s">
        <v>30</v>
      </c>
      <c r="F2223" s="2">
        <v>37215</v>
      </c>
      <c r="G2223" s="2" t="s">
        <v>152</v>
      </c>
      <c r="H2223" t="s">
        <v>280</v>
      </c>
      <c r="I2223" s="6">
        <v>13746</v>
      </c>
      <c r="J2223" s="2" t="s">
        <v>8151</v>
      </c>
      <c r="K2223" s="2" t="s">
        <v>34</v>
      </c>
      <c r="L2223" t="s">
        <v>35</v>
      </c>
      <c r="M2223" t="s">
        <v>29</v>
      </c>
      <c r="N2223" t="s">
        <v>30</v>
      </c>
      <c r="O2223">
        <v>37219</v>
      </c>
      <c r="P2223" t="s">
        <v>8152</v>
      </c>
      <c r="Q2223" s="2">
        <v>0.01</v>
      </c>
      <c r="R2223" s="2">
        <v>16</v>
      </c>
      <c r="S2223" s="2">
        <v>22</v>
      </c>
      <c r="T2223" t="s">
        <v>8153</v>
      </c>
      <c r="U2223" s="6">
        <v>13745</v>
      </c>
      <c r="V2223" s="2">
        <v>47037018602</v>
      </c>
      <c r="W2223" s="2" t="s">
        <v>8070</v>
      </c>
      <c r="X2223" s="1">
        <v>45658</v>
      </c>
      <c r="Y2223" s="2">
        <v>6500</v>
      </c>
      <c r="Z2223" s="2">
        <v>0</v>
      </c>
      <c r="AA2223" s="2">
        <v>6500</v>
      </c>
    </row>
    <row r="2224" spans="1:27" x14ac:dyDescent="0.3">
      <c r="A2224" s="3">
        <v>34</v>
      </c>
      <c r="B2224" s="2" t="str">
        <f>"15807000401"</f>
        <v>15807000401</v>
      </c>
      <c r="C2224" s="2" t="s">
        <v>8154</v>
      </c>
      <c r="D2224" t="s">
        <v>29</v>
      </c>
      <c r="E2224" s="2" t="s">
        <v>30</v>
      </c>
      <c r="F2224" s="2">
        <v>37215</v>
      </c>
      <c r="G2224" s="2" t="s">
        <v>152</v>
      </c>
      <c r="H2224" t="s">
        <v>280</v>
      </c>
      <c r="I2224" s="6">
        <v>23545</v>
      </c>
      <c r="J2224" s="2" t="s">
        <v>8155</v>
      </c>
      <c r="K2224" s="2" t="s">
        <v>34</v>
      </c>
      <c r="L2224" t="s">
        <v>35</v>
      </c>
      <c r="M2224" t="s">
        <v>29</v>
      </c>
      <c r="N2224" t="s">
        <v>30</v>
      </c>
      <c r="O2224">
        <v>37219</v>
      </c>
      <c r="P2224" t="s">
        <v>8156</v>
      </c>
      <c r="Q2224" s="2">
        <v>0.18</v>
      </c>
      <c r="R2224" s="2">
        <v>100</v>
      </c>
      <c r="S2224" s="2">
        <v>80</v>
      </c>
      <c r="T2224" t="s">
        <v>8155</v>
      </c>
      <c r="U2224" s="6">
        <v>23545</v>
      </c>
      <c r="V2224" s="2">
        <v>47037018602</v>
      </c>
      <c r="W2224" s="2" t="s">
        <v>8070</v>
      </c>
      <c r="X2224" s="1">
        <v>45658</v>
      </c>
      <c r="Y2224" s="2">
        <v>45000</v>
      </c>
      <c r="Z2224" s="2">
        <v>0</v>
      </c>
      <c r="AA2224" s="2">
        <v>45000</v>
      </c>
    </row>
    <row r="2225" spans="1:27" x14ac:dyDescent="0.3">
      <c r="A2225" s="3">
        <v>34</v>
      </c>
      <c r="B2225" s="2" t="str">
        <f>"15900023300"</f>
        <v>15900023300</v>
      </c>
      <c r="C2225" s="2" t="s">
        <v>8157</v>
      </c>
      <c r="D2225" t="s">
        <v>1117</v>
      </c>
      <c r="E2225" s="2" t="s">
        <v>30</v>
      </c>
      <c r="F2225" s="2">
        <v>37027</v>
      </c>
      <c r="G2225" s="2" t="s">
        <v>64</v>
      </c>
      <c r="H2225" t="s">
        <v>280</v>
      </c>
      <c r="I2225" s="6">
        <v>32707</v>
      </c>
      <c r="J2225" s="2" t="s">
        <v>8158</v>
      </c>
      <c r="K2225" s="2">
        <v>0</v>
      </c>
      <c r="L2225" t="s">
        <v>35</v>
      </c>
      <c r="M2225" t="s">
        <v>29</v>
      </c>
      <c r="N2225" t="s">
        <v>30</v>
      </c>
      <c r="O2225">
        <v>37219</v>
      </c>
      <c r="P2225" t="s">
        <v>8159</v>
      </c>
      <c r="Q2225" s="2">
        <v>0.7</v>
      </c>
      <c r="R2225" s="2">
        <v>259</v>
      </c>
      <c r="S2225" s="2">
        <v>145</v>
      </c>
      <c r="T2225" t="s">
        <v>8158</v>
      </c>
      <c r="U2225" s="6">
        <v>32707</v>
      </c>
      <c r="V2225" s="2">
        <v>47037018700</v>
      </c>
      <c r="W2225" s="2" t="s">
        <v>38</v>
      </c>
      <c r="X2225" s="1">
        <v>45658</v>
      </c>
      <c r="Y2225" s="2">
        <v>693000</v>
      </c>
      <c r="Z2225" s="2">
        <v>0</v>
      </c>
      <c r="AA2225" s="2">
        <v>693000</v>
      </c>
    </row>
    <row r="2226" spans="1:27" x14ac:dyDescent="0.3">
      <c r="A2226" s="3">
        <v>34</v>
      </c>
      <c r="B2226" s="2" t="str">
        <f>"13109001100"</f>
        <v>13109001100</v>
      </c>
      <c r="C2226" s="2" t="s">
        <v>8160</v>
      </c>
      <c r="D2226" t="s">
        <v>29</v>
      </c>
      <c r="E2226" s="2" t="s">
        <v>30</v>
      </c>
      <c r="F2226" s="2">
        <v>37215</v>
      </c>
      <c r="G2226" s="2" t="s">
        <v>152</v>
      </c>
      <c r="H2226" t="s">
        <v>280</v>
      </c>
      <c r="I2226" s="6">
        <v>23545</v>
      </c>
      <c r="J2226" s="2" t="s">
        <v>8161</v>
      </c>
      <c r="K2226" s="2" t="s">
        <v>34</v>
      </c>
      <c r="L2226" t="s">
        <v>35</v>
      </c>
      <c r="M2226" t="s">
        <v>29</v>
      </c>
      <c r="N2226" t="s">
        <v>30</v>
      </c>
      <c r="O2226">
        <v>37219</v>
      </c>
      <c r="P2226" t="s">
        <v>8162</v>
      </c>
      <c r="Q2226" s="2">
        <v>2.4500000000000002</v>
      </c>
      <c r="R2226" s="2">
        <v>280</v>
      </c>
      <c r="S2226" s="2">
        <v>380</v>
      </c>
      <c r="T2226" t="s">
        <v>8161</v>
      </c>
      <c r="U2226" s="6">
        <v>23545</v>
      </c>
      <c r="V2226" s="2">
        <v>47037017902</v>
      </c>
      <c r="W2226" s="2" t="s">
        <v>68</v>
      </c>
      <c r="X2226" s="1">
        <v>45658</v>
      </c>
      <c r="Y2226" s="2">
        <v>766000</v>
      </c>
      <c r="Z2226" s="2">
        <v>0</v>
      </c>
      <c r="AA2226" s="2">
        <v>766000</v>
      </c>
    </row>
    <row r="2227" spans="1:27" x14ac:dyDescent="0.3">
      <c r="A2227" s="3">
        <v>34</v>
      </c>
      <c r="B2227" s="2" t="str">
        <f>"13012003501"</f>
        <v>13012003501</v>
      </c>
      <c r="C2227" s="2" t="s">
        <v>8163</v>
      </c>
      <c r="D2227" t="s">
        <v>29</v>
      </c>
      <c r="E2227" s="2" t="s">
        <v>30</v>
      </c>
      <c r="F2227" s="2">
        <v>37215</v>
      </c>
      <c r="G2227" s="2" t="s">
        <v>152</v>
      </c>
      <c r="H2227" t="s">
        <v>280</v>
      </c>
      <c r="I2227" s="6">
        <v>23545</v>
      </c>
      <c r="J2227" s="2" t="s">
        <v>8164</v>
      </c>
      <c r="K2227" s="2" t="s">
        <v>34</v>
      </c>
      <c r="L2227" t="s">
        <v>35</v>
      </c>
      <c r="M2227" t="s">
        <v>29</v>
      </c>
      <c r="N2227" t="s">
        <v>30</v>
      </c>
      <c r="O2227">
        <v>37219</v>
      </c>
      <c r="P2227" t="s">
        <v>8165</v>
      </c>
      <c r="Q2227" s="2">
        <v>3.71</v>
      </c>
      <c r="R2227" s="2">
        <v>0</v>
      </c>
      <c r="S2227" s="2">
        <v>0</v>
      </c>
      <c r="T2227" t="s">
        <v>8164</v>
      </c>
      <c r="U2227" s="6">
        <v>23545</v>
      </c>
      <c r="V2227" s="2">
        <v>47037018601</v>
      </c>
      <c r="W2227" s="2" t="s">
        <v>8070</v>
      </c>
      <c r="X2227" s="1">
        <v>45658</v>
      </c>
      <c r="Y2227" s="2">
        <v>1164400</v>
      </c>
      <c r="Z2227" s="2">
        <v>0</v>
      </c>
      <c r="AA2227" s="2">
        <v>1164400</v>
      </c>
    </row>
    <row r="2228" spans="1:27" x14ac:dyDescent="0.3">
      <c r="A2228" s="3">
        <v>34</v>
      </c>
      <c r="B2228" s="2" t="str">
        <f>"13109001301"</f>
        <v>13109001301</v>
      </c>
      <c r="C2228" s="2" t="s">
        <v>8150</v>
      </c>
      <c r="D2228" t="s">
        <v>29</v>
      </c>
      <c r="E2228" s="2" t="s">
        <v>30</v>
      </c>
      <c r="F2228" s="2">
        <v>37215</v>
      </c>
      <c r="G2228" s="2" t="s">
        <v>64</v>
      </c>
      <c r="H2228" t="s">
        <v>280</v>
      </c>
      <c r="I2228" s="6">
        <v>23545</v>
      </c>
      <c r="J2228" s="2" t="s">
        <v>8166</v>
      </c>
      <c r="K2228" s="2" t="s">
        <v>34</v>
      </c>
      <c r="L2228" t="s">
        <v>35</v>
      </c>
      <c r="M2228" t="s">
        <v>29</v>
      </c>
      <c r="N2228" t="s">
        <v>30</v>
      </c>
      <c r="O2228">
        <v>37219</v>
      </c>
      <c r="P2228" t="s">
        <v>8167</v>
      </c>
      <c r="Q2228" s="2">
        <v>0.01</v>
      </c>
      <c r="R2228" s="2">
        <v>15</v>
      </c>
      <c r="S2228" s="2">
        <v>22</v>
      </c>
      <c r="T2228" t="s">
        <v>8166</v>
      </c>
      <c r="U2228" s="6">
        <v>23545</v>
      </c>
      <c r="V2228" s="2">
        <v>47037018602</v>
      </c>
      <c r="W2228" s="2" t="s">
        <v>8070</v>
      </c>
      <c r="X2228" s="1">
        <v>45658</v>
      </c>
      <c r="Y2228" s="2">
        <v>100</v>
      </c>
      <c r="Z2228" s="2">
        <v>0</v>
      </c>
      <c r="AA2228" s="2">
        <v>100</v>
      </c>
    </row>
    <row r="2229" spans="1:27" x14ac:dyDescent="0.3">
      <c r="A2229" s="3">
        <v>34</v>
      </c>
      <c r="B2229" s="2" t="str">
        <f>"15800003300"</f>
        <v>15800003300</v>
      </c>
      <c r="C2229" s="2" t="s">
        <v>8168</v>
      </c>
      <c r="D2229" t="s">
        <v>1117</v>
      </c>
      <c r="E2229" s="2" t="s">
        <v>30</v>
      </c>
      <c r="F2229" s="2">
        <v>37027</v>
      </c>
      <c r="G2229" s="2" t="s">
        <v>64</v>
      </c>
      <c r="H2229" t="s">
        <v>6125</v>
      </c>
      <c r="I2229" s="6">
        <v>38574</v>
      </c>
      <c r="J2229" s="2" t="s">
        <v>8169</v>
      </c>
      <c r="K2229" s="2">
        <v>1375000</v>
      </c>
      <c r="L2229" t="s">
        <v>8170</v>
      </c>
      <c r="M2229" t="s">
        <v>29</v>
      </c>
      <c r="N2229" t="s">
        <v>30</v>
      </c>
      <c r="O2229">
        <v>37203</v>
      </c>
      <c r="P2229" t="s">
        <v>8171</v>
      </c>
      <c r="Q2229" s="2">
        <v>20.16</v>
      </c>
      <c r="R2229" s="2">
        <v>1010</v>
      </c>
      <c r="S2229" s="2">
        <v>0</v>
      </c>
      <c r="T2229" t="s">
        <v>8172</v>
      </c>
      <c r="U2229" s="6">
        <v>40024</v>
      </c>
      <c r="V2229" s="2">
        <v>47037018602</v>
      </c>
      <c r="W2229" s="2" t="s">
        <v>8070</v>
      </c>
      <c r="X2229" s="1">
        <v>45658</v>
      </c>
      <c r="Y2229" s="2">
        <v>2316900</v>
      </c>
      <c r="Z2229" s="2">
        <v>0</v>
      </c>
      <c r="AA2229" s="2">
        <v>2316900</v>
      </c>
    </row>
    <row r="2230" spans="1:27" x14ac:dyDescent="0.3">
      <c r="A2230" s="3">
        <v>34</v>
      </c>
      <c r="B2230" s="2" t="str">
        <f>"11608011300"</f>
        <v>11608011300</v>
      </c>
      <c r="C2230" s="2" t="s">
        <v>8173</v>
      </c>
      <c r="D2230" t="s">
        <v>29</v>
      </c>
      <c r="E2230" s="2" t="s">
        <v>30</v>
      </c>
      <c r="F2230" s="2">
        <v>37215</v>
      </c>
      <c r="G2230" s="2" t="s">
        <v>64</v>
      </c>
      <c r="H2230" t="s">
        <v>379</v>
      </c>
      <c r="I2230" s="6">
        <v>43320</v>
      </c>
      <c r="J2230" s="2" t="s">
        <v>8174</v>
      </c>
      <c r="K2230" s="2">
        <v>0</v>
      </c>
      <c r="L2230" t="s">
        <v>343</v>
      </c>
      <c r="M2230" t="s">
        <v>29</v>
      </c>
      <c r="N2230" t="s">
        <v>30</v>
      </c>
      <c r="O2230">
        <v>37201</v>
      </c>
      <c r="P2230" t="s">
        <v>8175</v>
      </c>
      <c r="Q2230" s="2">
        <v>0.39</v>
      </c>
      <c r="R2230" s="2">
        <v>75</v>
      </c>
      <c r="S2230" s="2">
        <v>221</v>
      </c>
      <c r="T2230" t="s">
        <v>8176</v>
      </c>
      <c r="U2230" s="6">
        <v>27137</v>
      </c>
      <c r="V2230" s="2">
        <v>47037017901</v>
      </c>
      <c r="W2230" s="2" t="s">
        <v>68</v>
      </c>
      <c r="X2230" s="1">
        <v>45658</v>
      </c>
      <c r="Y2230" s="2">
        <v>340000</v>
      </c>
      <c r="Z2230" s="2">
        <v>0</v>
      </c>
      <c r="AA2230" s="2">
        <v>340000</v>
      </c>
    </row>
    <row r="2231" spans="1:27" x14ac:dyDescent="0.3">
      <c r="A2231" s="3">
        <v>35</v>
      </c>
      <c r="B2231" s="2" t="str">
        <f>"07700007500"</f>
        <v>07700007500</v>
      </c>
      <c r="C2231" s="2" t="s">
        <v>8177</v>
      </c>
      <c r="D2231" t="s">
        <v>8178</v>
      </c>
      <c r="E2231" s="2" t="s">
        <v>30</v>
      </c>
      <c r="F2231" s="2">
        <v>37143</v>
      </c>
      <c r="G2231" s="2" t="s">
        <v>31</v>
      </c>
      <c r="H2231" t="s">
        <v>32</v>
      </c>
      <c r="I2231" s="6">
        <v>38422</v>
      </c>
      <c r="J2231" s="2" t="s">
        <v>8179</v>
      </c>
      <c r="K2231" s="2">
        <v>1139</v>
      </c>
      <c r="L2231" t="s">
        <v>35</v>
      </c>
      <c r="M2231" t="s">
        <v>29</v>
      </c>
      <c r="N2231" t="s">
        <v>30</v>
      </c>
      <c r="O2231">
        <v>37219</v>
      </c>
      <c r="P2231" t="s">
        <v>8180</v>
      </c>
      <c r="Q2231" s="2">
        <v>0.41</v>
      </c>
      <c r="R2231" s="2">
        <v>0</v>
      </c>
      <c r="S2231" s="2">
        <v>0</v>
      </c>
      <c r="T2231" t="s">
        <v>8181</v>
      </c>
      <c r="U2231" s="6">
        <v>23281</v>
      </c>
      <c r="V2231" s="2">
        <v>47037018301</v>
      </c>
      <c r="W2231" s="2" t="s">
        <v>38</v>
      </c>
      <c r="X2231" s="1">
        <v>45658</v>
      </c>
      <c r="Y2231" s="2">
        <v>2400</v>
      </c>
      <c r="Z2231" s="2">
        <v>0</v>
      </c>
      <c r="AA2231" s="2">
        <v>2400</v>
      </c>
    </row>
    <row r="2232" spans="1:27" x14ac:dyDescent="0.3">
      <c r="A2232" s="3">
        <v>35</v>
      </c>
      <c r="B2232" s="2" t="str">
        <f>"14100001600"</f>
        <v>14100001600</v>
      </c>
      <c r="C2232" s="2" t="s">
        <v>8182</v>
      </c>
      <c r="D2232" t="s">
        <v>29</v>
      </c>
      <c r="E2232" s="2" t="s">
        <v>30</v>
      </c>
      <c r="F2232" s="2">
        <v>37221</v>
      </c>
      <c r="G2232" s="2" t="s">
        <v>31</v>
      </c>
      <c r="H2232" t="s">
        <v>32</v>
      </c>
      <c r="I2232" s="6">
        <v>43791</v>
      </c>
      <c r="J2232" s="2" t="s">
        <v>8183</v>
      </c>
      <c r="K2232" s="2" t="s">
        <v>34</v>
      </c>
      <c r="L2232" t="s">
        <v>35</v>
      </c>
      <c r="M2232" t="s">
        <v>29</v>
      </c>
      <c r="N2232" t="s">
        <v>30</v>
      </c>
      <c r="O2232">
        <v>37219</v>
      </c>
      <c r="P2232" t="s">
        <v>8184</v>
      </c>
      <c r="Q2232" s="2">
        <v>51</v>
      </c>
      <c r="R2232" s="2">
        <v>0</v>
      </c>
      <c r="S2232" s="2">
        <v>0</v>
      </c>
      <c r="T2232" t="s">
        <v>8185</v>
      </c>
      <c r="U2232" s="6">
        <v>31272</v>
      </c>
      <c r="V2232" s="2">
        <v>47037018409</v>
      </c>
      <c r="W2232" s="2" t="s">
        <v>38</v>
      </c>
      <c r="X2232" s="1">
        <v>45658</v>
      </c>
      <c r="Y2232" s="2">
        <v>361400</v>
      </c>
      <c r="Z2232" s="2">
        <v>0</v>
      </c>
      <c r="AA2232" s="2">
        <v>361400</v>
      </c>
    </row>
    <row r="2233" spans="1:27" x14ac:dyDescent="0.3">
      <c r="A2233" s="3">
        <v>35</v>
      </c>
      <c r="B2233" s="2" t="str">
        <f>"10100015800"</f>
        <v>10100015800</v>
      </c>
      <c r="C2233" s="2" t="s">
        <v>8186</v>
      </c>
      <c r="D2233" t="s">
        <v>29</v>
      </c>
      <c r="E2233" s="2" t="s">
        <v>30</v>
      </c>
      <c r="F2233" s="2">
        <v>37209</v>
      </c>
      <c r="G2233" s="2" t="s">
        <v>31</v>
      </c>
      <c r="H2233" t="s">
        <v>99</v>
      </c>
      <c r="I2233" s="6">
        <v>42958</v>
      </c>
      <c r="J2233" s="2" t="s">
        <v>8187</v>
      </c>
      <c r="K2233" s="2">
        <v>17218</v>
      </c>
      <c r="L2233" t="s">
        <v>893</v>
      </c>
      <c r="M2233" t="s">
        <v>29</v>
      </c>
      <c r="N2233" t="s">
        <v>30</v>
      </c>
      <c r="O2233">
        <v>37219</v>
      </c>
      <c r="P2233" t="s">
        <v>8188</v>
      </c>
      <c r="Q2233" s="2">
        <v>0.5</v>
      </c>
      <c r="R2233" s="2">
        <v>300</v>
      </c>
      <c r="S2233" s="2">
        <v>95</v>
      </c>
      <c r="T2233" t="s">
        <v>8189</v>
      </c>
      <c r="U2233" s="6">
        <v>173</v>
      </c>
      <c r="V2233" s="2">
        <v>47037018301</v>
      </c>
      <c r="W2233" s="2" t="s">
        <v>38</v>
      </c>
      <c r="X2233" s="1">
        <v>45658</v>
      </c>
      <c r="Y2233" s="2">
        <v>50100</v>
      </c>
      <c r="Z2233" s="2">
        <v>0</v>
      </c>
      <c r="AA2233" s="2">
        <v>50100</v>
      </c>
    </row>
    <row r="2234" spans="1:27" x14ac:dyDescent="0.3">
      <c r="A2234" s="3">
        <v>35</v>
      </c>
      <c r="B2234" s="2" t="str">
        <f>"10200003500"</f>
        <v>10200003500</v>
      </c>
      <c r="C2234" s="2" t="s">
        <v>8190</v>
      </c>
      <c r="D2234" t="s">
        <v>29</v>
      </c>
      <c r="E2234" s="2" t="s">
        <v>30</v>
      </c>
      <c r="F2234" s="2">
        <v>37209</v>
      </c>
      <c r="G2234" s="2" t="s">
        <v>31</v>
      </c>
      <c r="H2234" t="s">
        <v>99</v>
      </c>
      <c r="I2234" s="6">
        <v>37970</v>
      </c>
      <c r="J2234" s="2" t="s">
        <v>8191</v>
      </c>
      <c r="K2234" s="2">
        <v>0</v>
      </c>
      <c r="L2234" t="s">
        <v>35</v>
      </c>
      <c r="M2234" t="s">
        <v>29</v>
      </c>
      <c r="N2234" t="s">
        <v>30</v>
      </c>
      <c r="O2234">
        <v>37219</v>
      </c>
      <c r="P2234" t="s">
        <v>8192</v>
      </c>
      <c r="Q2234" s="2">
        <v>0.5</v>
      </c>
      <c r="R2234" s="2">
        <v>105</v>
      </c>
      <c r="S2234" s="2">
        <v>210</v>
      </c>
      <c r="T2234" t="s">
        <v>8193</v>
      </c>
      <c r="U2234" s="6">
        <v>24939</v>
      </c>
      <c r="V2234" s="2">
        <v>47037018301</v>
      </c>
      <c r="W2234" s="2" t="s">
        <v>38</v>
      </c>
      <c r="X2234" s="1">
        <v>45658</v>
      </c>
      <c r="Y2234" s="2">
        <v>5300</v>
      </c>
      <c r="Z2234" s="2">
        <v>0</v>
      </c>
      <c r="AA2234" s="2">
        <v>5300</v>
      </c>
    </row>
    <row r="2235" spans="1:27" x14ac:dyDescent="0.3">
      <c r="A2235" s="3">
        <v>35</v>
      </c>
      <c r="B2235" s="2" t="str">
        <f>"12700014200"</f>
        <v>12700014200</v>
      </c>
      <c r="C2235" s="2" t="s">
        <v>8194</v>
      </c>
      <c r="D2235" t="s">
        <v>29</v>
      </c>
      <c r="E2235" s="2" t="s">
        <v>30</v>
      </c>
      <c r="F2235" s="2">
        <v>37221</v>
      </c>
      <c r="G2235" s="2" t="s">
        <v>147</v>
      </c>
      <c r="H2235" t="s">
        <v>1131</v>
      </c>
      <c r="I2235" s="6">
        <v>28685</v>
      </c>
      <c r="J2235" s="2" t="s">
        <v>8195</v>
      </c>
      <c r="K2235" s="2" t="s">
        <v>34</v>
      </c>
      <c r="L2235" t="s">
        <v>35</v>
      </c>
      <c r="M2235" t="s">
        <v>29</v>
      </c>
      <c r="N2235" t="s">
        <v>30</v>
      </c>
      <c r="O2235">
        <v>37219</v>
      </c>
      <c r="P2235" t="s">
        <v>8196</v>
      </c>
      <c r="Q2235" s="2">
        <v>1.48</v>
      </c>
      <c r="R2235" s="2">
        <v>253</v>
      </c>
      <c r="S2235" s="2">
        <v>255</v>
      </c>
      <c r="T2235" t="s">
        <v>8195</v>
      </c>
      <c r="U2235" s="6">
        <v>28685</v>
      </c>
      <c r="V2235" s="2">
        <v>47037018301</v>
      </c>
      <c r="W2235" s="2" t="s">
        <v>38</v>
      </c>
      <c r="X2235" s="1">
        <v>45658</v>
      </c>
      <c r="Y2235" s="2">
        <v>271900</v>
      </c>
      <c r="Z2235" s="2">
        <v>0</v>
      </c>
      <c r="AA2235" s="2">
        <v>271900</v>
      </c>
    </row>
    <row r="2236" spans="1:27" x14ac:dyDescent="0.3">
      <c r="A2236" s="3">
        <v>35</v>
      </c>
      <c r="B2236" s="2" t="str">
        <f>"14200012300"</f>
        <v>14200012300</v>
      </c>
      <c r="C2236" s="2" t="s">
        <v>8197</v>
      </c>
      <c r="D2236" t="s">
        <v>29</v>
      </c>
      <c r="E2236" s="2" t="s">
        <v>30</v>
      </c>
      <c r="F2236" s="2">
        <v>37221</v>
      </c>
      <c r="G2236" s="2" t="s">
        <v>64</v>
      </c>
      <c r="H2236" t="s">
        <v>171</v>
      </c>
      <c r="I2236" s="6">
        <v>33750</v>
      </c>
      <c r="J2236" s="2" t="s">
        <v>8198</v>
      </c>
      <c r="K2236" s="2">
        <v>0</v>
      </c>
      <c r="L2236" t="s">
        <v>35</v>
      </c>
      <c r="M2236" t="s">
        <v>29</v>
      </c>
      <c r="N2236" t="s">
        <v>30</v>
      </c>
      <c r="O2236">
        <v>37219</v>
      </c>
      <c r="P2236" t="s">
        <v>8199</v>
      </c>
      <c r="Q2236" s="2">
        <v>7.71</v>
      </c>
      <c r="R2236" s="2">
        <v>0</v>
      </c>
      <c r="S2236" s="2">
        <v>0</v>
      </c>
      <c r="T2236" t="s">
        <v>8200</v>
      </c>
      <c r="U2236" s="6">
        <v>26778</v>
      </c>
      <c r="V2236" s="2">
        <v>47037018407</v>
      </c>
      <c r="W2236" s="2" t="s">
        <v>38</v>
      </c>
      <c r="X2236" s="1">
        <v>45658</v>
      </c>
      <c r="Y2236" s="2">
        <v>64000</v>
      </c>
      <c r="Z2236" s="2">
        <v>0</v>
      </c>
      <c r="AA2236" s="2">
        <v>64000</v>
      </c>
    </row>
    <row r="2237" spans="1:27" x14ac:dyDescent="0.3">
      <c r="A2237" s="3">
        <v>35</v>
      </c>
      <c r="B2237" s="2" t="str">
        <f>"10200008500"</f>
        <v>10200008500</v>
      </c>
      <c r="C2237" s="2" t="s">
        <v>8201</v>
      </c>
      <c r="D2237" t="s">
        <v>29</v>
      </c>
      <c r="E2237" s="2" t="s">
        <v>30</v>
      </c>
      <c r="F2237" s="2">
        <v>37209</v>
      </c>
      <c r="G2237" s="2" t="s">
        <v>41</v>
      </c>
      <c r="H2237" t="s">
        <v>8202</v>
      </c>
      <c r="I2237" s="6">
        <v>37026</v>
      </c>
      <c r="J2237" s="2" t="s">
        <v>8203</v>
      </c>
      <c r="K2237" s="2" t="s">
        <v>34</v>
      </c>
      <c r="L2237" t="s">
        <v>35</v>
      </c>
      <c r="M2237" t="s">
        <v>29</v>
      </c>
      <c r="N2237" t="s">
        <v>30</v>
      </c>
      <c r="O2237">
        <v>37219</v>
      </c>
      <c r="P2237" t="s">
        <v>8204</v>
      </c>
      <c r="Q2237" s="2">
        <v>14.02</v>
      </c>
      <c r="R2237" s="2">
        <v>0</v>
      </c>
      <c r="S2237" s="2">
        <v>0</v>
      </c>
      <c r="T2237" t="s">
        <v>8205</v>
      </c>
      <c r="U2237" s="6">
        <v>37026</v>
      </c>
      <c r="V2237" s="2">
        <v>47037018301</v>
      </c>
      <c r="W2237" s="2" t="s">
        <v>38</v>
      </c>
      <c r="X2237" s="1">
        <v>45658</v>
      </c>
      <c r="Y2237" s="2">
        <v>168200</v>
      </c>
      <c r="Z2237" s="2">
        <v>0</v>
      </c>
      <c r="AA2237" s="2">
        <v>168200</v>
      </c>
    </row>
    <row r="2238" spans="1:27" x14ac:dyDescent="0.3">
      <c r="A2238" s="3">
        <v>35</v>
      </c>
      <c r="B2238" s="2" t="str">
        <f>"16800015300"</f>
        <v>16800015300</v>
      </c>
      <c r="C2238" s="2" t="s">
        <v>6163</v>
      </c>
      <c r="D2238" t="s">
        <v>29</v>
      </c>
      <c r="E2238" s="2" t="s">
        <v>30</v>
      </c>
      <c r="F2238" s="2">
        <v>37221</v>
      </c>
      <c r="G2238" s="2" t="s">
        <v>31</v>
      </c>
      <c r="H2238" t="s">
        <v>211</v>
      </c>
      <c r="I2238" s="6">
        <v>28880</v>
      </c>
      <c r="J2238" s="2" t="s">
        <v>8206</v>
      </c>
      <c r="K2238" s="2">
        <v>164</v>
      </c>
      <c r="L2238" t="s">
        <v>35</v>
      </c>
      <c r="M2238" t="s">
        <v>29</v>
      </c>
      <c r="N2238" t="s">
        <v>30</v>
      </c>
      <c r="O2238">
        <v>37219</v>
      </c>
      <c r="P2238" t="s">
        <v>8207</v>
      </c>
      <c r="Q2238" s="2">
        <v>0.11</v>
      </c>
      <c r="R2238" s="2">
        <v>105</v>
      </c>
      <c r="S2238" s="2">
        <v>40</v>
      </c>
      <c r="T2238" t="s">
        <v>8208</v>
      </c>
      <c r="U2238" s="6">
        <v>20215</v>
      </c>
      <c r="V2238" s="2">
        <v>47037018302</v>
      </c>
      <c r="W2238" s="2" t="s">
        <v>38</v>
      </c>
      <c r="X2238" s="1">
        <v>45658</v>
      </c>
      <c r="Y2238" s="2">
        <v>36400</v>
      </c>
      <c r="Z2238" s="2">
        <v>0</v>
      </c>
      <c r="AA2238" s="2">
        <v>36400</v>
      </c>
    </row>
    <row r="2239" spans="1:27" x14ac:dyDescent="0.3">
      <c r="A2239" s="3">
        <v>35</v>
      </c>
      <c r="B2239" s="2" t="str">
        <f>"15600008200"</f>
        <v>15600008200</v>
      </c>
      <c r="C2239" s="2" t="s">
        <v>8209</v>
      </c>
      <c r="D2239" t="s">
        <v>29</v>
      </c>
      <c r="E2239" s="2" t="s">
        <v>30</v>
      </c>
      <c r="F2239" s="2">
        <v>37221</v>
      </c>
      <c r="G2239" s="2" t="s">
        <v>64</v>
      </c>
      <c r="H2239" t="s">
        <v>211</v>
      </c>
      <c r="I2239" s="6">
        <v>29062</v>
      </c>
      <c r="J2239" s="2" t="s">
        <v>8210</v>
      </c>
      <c r="K2239" s="2">
        <v>186</v>
      </c>
      <c r="L2239" t="s">
        <v>35</v>
      </c>
      <c r="M2239" t="s">
        <v>29</v>
      </c>
      <c r="N2239" t="s">
        <v>30</v>
      </c>
      <c r="O2239">
        <v>37219</v>
      </c>
      <c r="P2239" t="s">
        <v>8211</v>
      </c>
      <c r="Q2239" s="2">
        <v>0.27</v>
      </c>
      <c r="R2239" s="2">
        <v>50</v>
      </c>
      <c r="S2239" s="2">
        <v>250</v>
      </c>
      <c r="T2239" t="s">
        <v>8212</v>
      </c>
      <c r="U2239" s="6">
        <v>26318</v>
      </c>
      <c r="V2239" s="2">
        <v>47037018405</v>
      </c>
      <c r="W2239" s="2" t="s">
        <v>38</v>
      </c>
      <c r="X2239" s="1">
        <v>45658</v>
      </c>
      <c r="Y2239" s="2">
        <v>90300</v>
      </c>
      <c r="Z2239" s="2">
        <v>0</v>
      </c>
      <c r="AA2239" s="2">
        <v>90300</v>
      </c>
    </row>
    <row r="2240" spans="1:27" x14ac:dyDescent="0.3">
      <c r="A2240" s="3">
        <v>35</v>
      </c>
      <c r="B2240" s="2" t="str">
        <f>"10214000900"</f>
        <v>10214000900</v>
      </c>
      <c r="C2240" s="2" t="s">
        <v>8213</v>
      </c>
      <c r="D2240" t="s">
        <v>29</v>
      </c>
      <c r="E2240" s="2" t="s">
        <v>30</v>
      </c>
      <c r="F2240" s="2">
        <v>37205</v>
      </c>
      <c r="G2240" s="2" t="s">
        <v>253</v>
      </c>
      <c r="H2240" t="s">
        <v>8214</v>
      </c>
      <c r="I2240" s="6">
        <v>20999</v>
      </c>
      <c r="J2240" s="2" t="s">
        <v>8215</v>
      </c>
      <c r="K2240" s="2" t="s">
        <v>34</v>
      </c>
      <c r="L2240" t="s">
        <v>35</v>
      </c>
      <c r="M2240" t="s">
        <v>29</v>
      </c>
      <c r="N2240" t="s">
        <v>30</v>
      </c>
      <c r="O2240">
        <v>37219</v>
      </c>
      <c r="P2240" t="s">
        <v>8216</v>
      </c>
      <c r="Q2240" s="2">
        <v>7.0000000000000007E-2</v>
      </c>
      <c r="R2240" s="2">
        <v>86</v>
      </c>
      <c r="S2240" s="2">
        <v>184</v>
      </c>
      <c r="T2240" t="s">
        <v>8215</v>
      </c>
      <c r="U2240" s="6">
        <v>20999</v>
      </c>
      <c r="V2240" s="2">
        <v>47037018301</v>
      </c>
      <c r="W2240" s="2" t="s">
        <v>68</v>
      </c>
      <c r="X2240" s="1">
        <v>45658</v>
      </c>
      <c r="Y2240" s="2">
        <v>800</v>
      </c>
      <c r="Z2240" s="2">
        <v>0</v>
      </c>
      <c r="AA2240" s="2">
        <v>800</v>
      </c>
    </row>
    <row r="2241" spans="1:27" x14ac:dyDescent="0.3">
      <c r="A2241" s="3">
        <v>35</v>
      </c>
      <c r="B2241" s="2" t="str">
        <f>"11400015400"</f>
        <v>11400015400</v>
      </c>
      <c r="C2241" s="2" t="s">
        <v>8217</v>
      </c>
      <c r="D2241" t="s">
        <v>29</v>
      </c>
      <c r="E2241" s="2" t="s">
        <v>30</v>
      </c>
      <c r="F2241" s="2">
        <v>37209</v>
      </c>
      <c r="G2241" s="2" t="s">
        <v>253</v>
      </c>
      <c r="H2241" t="s">
        <v>8218</v>
      </c>
      <c r="I2241" s="6">
        <v>31980</v>
      </c>
      <c r="J2241" s="2" t="s">
        <v>8219</v>
      </c>
      <c r="K2241" s="2">
        <v>67000</v>
      </c>
      <c r="L2241" t="s">
        <v>35</v>
      </c>
      <c r="M2241" t="s">
        <v>29</v>
      </c>
      <c r="N2241" t="s">
        <v>30</v>
      </c>
      <c r="O2241">
        <v>37219</v>
      </c>
      <c r="P2241" t="s">
        <v>8220</v>
      </c>
      <c r="Q2241" s="2">
        <v>12.22</v>
      </c>
      <c r="R2241" s="2">
        <v>0</v>
      </c>
      <c r="S2241" s="2">
        <v>0</v>
      </c>
      <c r="T2241" t="s">
        <v>278</v>
      </c>
      <c r="U2241" s="6">
        <v>36581</v>
      </c>
      <c r="V2241" s="2">
        <v>47037018301</v>
      </c>
      <c r="W2241" s="2" t="s">
        <v>68</v>
      </c>
      <c r="X2241" s="1">
        <v>45658</v>
      </c>
      <c r="Y2241" s="2">
        <v>801100</v>
      </c>
      <c r="Z2241" s="2">
        <v>0</v>
      </c>
      <c r="AA2241" s="2">
        <v>801100</v>
      </c>
    </row>
    <row r="2242" spans="1:27" x14ac:dyDescent="0.3">
      <c r="A2242" s="3">
        <v>35</v>
      </c>
      <c r="B2242" s="2" t="str">
        <f>"15500008900"</f>
        <v>15500008900</v>
      </c>
      <c r="C2242" s="2" t="s">
        <v>8221</v>
      </c>
      <c r="D2242" t="s">
        <v>29</v>
      </c>
      <c r="E2242" s="2" t="s">
        <v>30</v>
      </c>
      <c r="F2242" s="2">
        <v>37221</v>
      </c>
      <c r="G2242" s="2" t="s">
        <v>253</v>
      </c>
      <c r="H2242" t="s">
        <v>8222</v>
      </c>
      <c r="I2242" s="6">
        <v>18692</v>
      </c>
      <c r="J2242" s="2" t="s">
        <v>8223</v>
      </c>
      <c r="K2242" s="2" t="s">
        <v>34</v>
      </c>
      <c r="L2242" t="s">
        <v>35</v>
      </c>
      <c r="M2242" t="s">
        <v>29</v>
      </c>
      <c r="N2242" t="s">
        <v>30</v>
      </c>
      <c r="O2242">
        <v>37219</v>
      </c>
      <c r="P2242" t="s">
        <v>8224</v>
      </c>
      <c r="Q2242" s="2">
        <v>11.2</v>
      </c>
      <c r="R2242" s="2">
        <v>0</v>
      </c>
      <c r="S2242" s="2">
        <v>0</v>
      </c>
      <c r="T2242" t="s">
        <v>8223</v>
      </c>
      <c r="U2242" s="6">
        <v>18692</v>
      </c>
      <c r="V2242" s="2">
        <v>47037018408</v>
      </c>
      <c r="W2242" s="2" t="s">
        <v>38</v>
      </c>
      <c r="X2242" s="1">
        <v>45658</v>
      </c>
      <c r="Y2242" s="2">
        <v>927400</v>
      </c>
      <c r="Z2242" s="2">
        <v>0</v>
      </c>
      <c r="AA2242" s="2">
        <v>927400</v>
      </c>
    </row>
    <row r="2243" spans="1:27" x14ac:dyDescent="0.3">
      <c r="A2243" s="3">
        <v>35</v>
      </c>
      <c r="B2243" s="2" t="str">
        <f>"12700011800"</f>
        <v>12700011800</v>
      </c>
      <c r="C2243" s="2" t="s">
        <v>8225</v>
      </c>
      <c r="D2243" t="s">
        <v>29</v>
      </c>
      <c r="E2243" s="2" t="s">
        <v>30</v>
      </c>
      <c r="F2243" s="2">
        <v>37221</v>
      </c>
      <c r="G2243" s="2" t="s">
        <v>31</v>
      </c>
      <c r="H2243" t="s">
        <v>280</v>
      </c>
      <c r="I2243" s="6">
        <v>40924</v>
      </c>
      <c r="J2243" s="2" t="s">
        <v>8226</v>
      </c>
      <c r="K2243" s="2">
        <v>0</v>
      </c>
      <c r="L2243" t="s">
        <v>35</v>
      </c>
      <c r="M2243" t="s">
        <v>29</v>
      </c>
      <c r="N2243" t="s">
        <v>30</v>
      </c>
      <c r="O2243">
        <v>37219</v>
      </c>
      <c r="P2243" t="s">
        <v>8227</v>
      </c>
      <c r="Q2243" s="2">
        <v>1</v>
      </c>
      <c r="R2243" s="2">
        <v>374</v>
      </c>
      <c r="S2243" s="2">
        <v>323</v>
      </c>
      <c r="T2243" t="s">
        <v>8228</v>
      </c>
      <c r="U2243" s="6">
        <v>27092</v>
      </c>
      <c r="V2243" s="2">
        <v>47037018301</v>
      </c>
      <c r="W2243" s="2" t="s">
        <v>38</v>
      </c>
      <c r="X2243" s="1">
        <v>45658</v>
      </c>
      <c r="Y2243" s="2">
        <v>1700</v>
      </c>
      <c r="Z2243" s="2">
        <v>0</v>
      </c>
      <c r="AA2243" s="2">
        <v>1700</v>
      </c>
    </row>
    <row r="2244" spans="1:27" x14ac:dyDescent="0.3">
      <c r="A2244" s="3">
        <v>35</v>
      </c>
      <c r="B2244" s="2" t="str">
        <f>"12700011900"</f>
        <v>12700011900</v>
      </c>
      <c r="C2244" s="2" t="s">
        <v>8229</v>
      </c>
      <c r="D2244" t="s">
        <v>29</v>
      </c>
      <c r="E2244" s="2" t="s">
        <v>30</v>
      </c>
      <c r="F2244" s="2">
        <v>37221</v>
      </c>
      <c r="G2244" s="2" t="s">
        <v>31</v>
      </c>
      <c r="H2244" t="s">
        <v>280</v>
      </c>
      <c r="I2244" s="6">
        <v>40906</v>
      </c>
      <c r="J2244" s="2" t="s">
        <v>8230</v>
      </c>
      <c r="K2244" s="2">
        <v>0</v>
      </c>
      <c r="L2244" t="s">
        <v>35</v>
      </c>
      <c r="M2244" t="s">
        <v>29</v>
      </c>
      <c r="N2244" t="s">
        <v>30</v>
      </c>
      <c r="O2244">
        <v>37219</v>
      </c>
      <c r="P2244" t="s">
        <v>8231</v>
      </c>
      <c r="Q2244" s="2">
        <v>1.89</v>
      </c>
      <c r="R2244" s="2">
        <v>234</v>
      </c>
      <c r="S2244" s="2">
        <v>376</v>
      </c>
      <c r="T2244" t="s">
        <v>8232</v>
      </c>
      <c r="U2244" s="6">
        <v>26639</v>
      </c>
      <c r="V2244" s="2">
        <v>47037018301</v>
      </c>
      <c r="W2244" s="2" t="s">
        <v>38</v>
      </c>
      <c r="X2244" s="1">
        <v>45658</v>
      </c>
      <c r="Y2244" s="2">
        <v>3300</v>
      </c>
      <c r="Z2244" s="2">
        <v>0</v>
      </c>
      <c r="AA2244" s="2">
        <v>3300</v>
      </c>
    </row>
    <row r="2245" spans="1:27" x14ac:dyDescent="0.3">
      <c r="A2245" s="3">
        <v>35</v>
      </c>
      <c r="B2245" s="2" t="str">
        <f>"12700011000"</f>
        <v>12700011000</v>
      </c>
      <c r="C2245" s="2" t="s">
        <v>8233</v>
      </c>
      <c r="D2245" t="s">
        <v>29</v>
      </c>
      <c r="E2245" s="2" t="s">
        <v>30</v>
      </c>
      <c r="F2245" s="2">
        <v>37221</v>
      </c>
      <c r="G2245" s="2" t="s">
        <v>31</v>
      </c>
      <c r="H2245" t="s">
        <v>280</v>
      </c>
      <c r="I2245" s="6">
        <v>40899</v>
      </c>
      <c r="J2245" s="2" t="s">
        <v>8234</v>
      </c>
      <c r="K2245" s="2">
        <v>0</v>
      </c>
      <c r="L2245" t="s">
        <v>35</v>
      </c>
      <c r="M2245" t="s">
        <v>29</v>
      </c>
      <c r="N2245" t="s">
        <v>30</v>
      </c>
      <c r="O2245">
        <v>37219</v>
      </c>
      <c r="P2245" t="s">
        <v>8235</v>
      </c>
      <c r="Q2245" s="2">
        <v>3</v>
      </c>
      <c r="R2245" s="2">
        <v>0</v>
      </c>
      <c r="S2245" s="2">
        <v>0</v>
      </c>
      <c r="T2245" t="s">
        <v>8236</v>
      </c>
      <c r="U2245" s="6">
        <v>26070</v>
      </c>
      <c r="V2245" s="2">
        <v>47037018301</v>
      </c>
      <c r="W2245" s="2" t="s">
        <v>38</v>
      </c>
      <c r="X2245" s="1">
        <v>45658</v>
      </c>
      <c r="Y2245" s="2">
        <v>5200</v>
      </c>
      <c r="Z2245" s="2">
        <v>0</v>
      </c>
      <c r="AA2245" s="2">
        <v>5200</v>
      </c>
    </row>
    <row r="2246" spans="1:27" x14ac:dyDescent="0.3">
      <c r="A2246" s="3">
        <v>35</v>
      </c>
      <c r="B2246" s="2" t="str">
        <f>"10200001700"</f>
        <v>10200001700</v>
      </c>
      <c r="C2246" s="2" t="s">
        <v>8237</v>
      </c>
      <c r="D2246" t="s">
        <v>29</v>
      </c>
      <c r="E2246" s="2" t="s">
        <v>30</v>
      </c>
      <c r="F2246" s="2">
        <v>37209</v>
      </c>
      <c r="G2246" s="2" t="s">
        <v>41</v>
      </c>
      <c r="H2246" t="s">
        <v>280</v>
      </c>
      <c r="I2246" s="6">
        <v>41914</v>
      </c>
      <c r="J2246" s="2" t="s">
        <v>8238</v>
      </c>
      <c r="K2246" s="2">
        <v>0</v>
      </c>
      <c r="L2246" t="s">
        <v>35</v>
      </c>
      <c r="M2246" t="s">
        <v>29</v>
      </c>
      <c r="N2246" t="s">
        <v>30</v>
      </c>
      <c r="O2246">
        <v>37219</v>
      </c>
      <c r="P2246" t="s">
        <v>8239</v>
      </c>
      <c r="Q2246" s="2">
        <v>8.8800000000000008</v>
      </c>
      <c r="R2246" s="2">
        <v>0</v>
      </c>
      <c r="S2246" s="2">
        <v>0</v>
      </c>
      <c r="T2246" t="s">
        <v>8240</v>
      </c>
      <c r="U2246" s="6">
        <v>37610</v>
      </c>
      <c r="V2246" s="2">
        <v>47037018301</v>
      </c>
      <c r="W2246" s="2" t="s">
        <v>68</v>
      </c>
      <c r="X2246" s="1">
        <v>45658</v>
      </c>
      <c r="Y2246" s="2">
        <v>1054200</v>
      </c>
      <c r="Z2246" s="2">
        <v>0</v>
      </c>
      <c r="AA2246" s="2">
        <v>1054200</v>
      </c>
    </row>
    <row r="2247" spans="1:27" x14ac:dyDescent="0.3">
      <c r="A2247" s="3">
        <v>35</v>
      </c>
      <c r="B2247" s="2" t="str">
        <f>"10200008800"</f>
        <v>10200008800</v>
      </c>
      <c r="C2247" s="2" t="s">
        <v>8241</v>
      </c>
      <c r="D2247" t="s">
        <v>29</v>
      </c>
      <c r="E2247" s="2" t="s">
        <v>30</v>
      </c>
      <c r="F2247" s="2">
        <v>37209</v>
      </c>
      <c r="G2247" s="2" t="s">
        <v>41</v>
      </c>
      <c r="H2247" t="s">
        <v>280</v>
      </c>
      <c r="I2247" s="6">
        <v>41914</v>
      </c>
      <c r="J2247" s="2" t="s">
        <v>8238</v>
      </c>
      <c r="K2247" s="2">
        <v>0</v>
      </c>
      <c r="L2247" t="s">
        <v>35</v>
      </c>
      <c r="M2247" t="s">
        <v>29</v>
      </c>
      <c r="N2247" t="s">
        <v>30</v>
      </c>
      <c r="O2247">
        <v>37219</v>
      </c>
      <c r="P2247" t="s">
        <v>8239</v>
      </c>
      <c r="Q2247" s="2">
        <v>15.05</v>
      </c>
      <c r="R2247" s="2">
        <v>0</v>
      </c>
      <c r="S2247" s="2">
        <v>0</v>
      </c>
      <c r="T2247" t="s">
        <v>8240</v>
      </c>
      <c r="U2247" s="6">
        <v>37610</v>
      </c>
      <c r="V2247" s="2">
        <v>47037018301</v>
      </c>
      <c r="W2247" s="2" t="s">
        <v>68</v>
      </c>
      <c r="X2247" s="1">
        <v>45658</v>
      </c>
      <c r="Y2247" s="2">
        <v>1191600</v>
      </c>
      <c r="Z2247" s="2">
        <v>0</v>
      </c>
      <c r="AA2247" s="2">
        <v>1191600</v>
      </c>
    </row>
    <row r="2248" spans="1:27" x14ac:dyDescent="0.3">
      <c r="A2248" s="3">
        <v>35</v>
      </c>
      <c r="B2248" s="2" t="str">
        <f>"10100003300"</f>
        <v>10100003300</v>
      </c>
      <c r="C2248" s="2" t="s">
        <v>8242</v>
      </c>
      <c r="D2248" t="s">
        <v>29</v>
      </c>
      <c r="E2248" s="2" t="s">
        <v>30</v>
      </c>
      <c r="F2248" s="2">
        <v>37209</v>
      </c>
      <c r="G2248" s="2" t="s">
        <v>31</v>
      </c>
      <c r="H2248" t="s">
        <v>280</v>
      </c>
      <c r="I2248" s="6">
        <v>40898</v>
      </c>
      <c r="J2248" s="2" t="s">
        <v>8243</v>
      </c>
      <c r="K2248" s="2">
        <v>0</v>
      </c>
      <c r="L2248" t="s">
        <v>35</v>
      </c>
      <c r="M2248" t="s">
        <v>29</v>
      </c>
      <c r="N2248" t="s">
        <v>30</v>
      </c>
      <c r="O2248">
        <v>37219</v>
      </c>
      <c r="P2248" t="s">
        <v>8244</v>
      </c>
      <c r="Q2248" s="2">
        <v>0.96</v>
      </c>
      <c r="R2248" s="2">
        <v>260</v>
      </c>
      <c r="S2248" s="2">
        <v>210</v>
      </c>
      <c r="T2248" t="s">
        <v>8245</v>
      </c>
      <c r="U2248" s="6">
        <v>31337</v>
      </c>
      <c r="V2248" s="2">
        <v>47037018301</v>
      </c>
      <c r="W2248" s="2" t="s">
        <v>38</v>
      </c>
      <c r="X2248" s="1">
        <v>45658</v>
      </c>
      <c r="Y2248" s="2">
        <v>508200</v>
      </c>
      <c r="Z2248" s="2">
        <v>0</v>
      </c>
      <c r="AA2248" s="2">
        <v>508200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122F4-EE4E-4F38-9204-F963A7367539}">
  <sheetPr>
    <tabColor rgb="FF002060"/>
  </sheetPr>
  <dimension ref="A1:AA65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4" t="s">
        <v>1993</v>
      </c>
      <c r="B2" s="2" t="str">
        <f>"07400002600"</f>
        <v>07400002600</v>
      </c>
      <c r="C2" s="2" t="s">
        <v>1994</v>
      </c>
      <c r="D2" t="s">
        <v>866</v>
      </c>
      <c r="E2" s="2" t="s">
        <v>30</v>
      </c>
      <c r="F2" s="2">
        <v>37115</v>
      </c>
      <c r="G2" s="2" t="s">
        <v>31</v>
      </c>
      <c r="H2" t="s">
        <v>32</v>
      </c>
      <c r="I2" s="6">
        <v>41026</v>
      </c>
      <c r="J2" s="2" t="s">
        <v>1995</v>
      </c>
      <c r="K2" s="2">
        <v>198000</v>
      </c>
      <c r="L2" t="s">
        <v>35</v>
      </c>
      <c r="M2" t="s">
        <v>29</v>
      </c>
      <c r="N2" t="s">
        <v>30</v>
      </c>
      <c r="O2">
        <v>37219</v>
      </c>
      <c r="P2" t="s">
        <v>1996</v>
      </c>
      <c r="Q2" s="2">
        <v>1.1299999999999999</v>
      </c>
      <c r="R2" s="2">
        <v>0</v>
      </c>
      <c r="S2" s="2">
        <v>0</v>
      </c>
      <c r="T2" t="s">
        <v>1997</v>
      </c>
      <c r="U2" s="6">
        <v>33750</v>
      </c>
      <c r="V2" s="2">
        <v>47037010601</v>
      </c>
      <c r="W2" s="2" t="s">
        <v>38</v>
      </c>
      <c r="X2" s="1">
        <v>45658</v>
      </c>
      <c r="Y2" s="2">
        <v>92400</v>
      </c>
      <c r="Z2" s="2">
        <v>0</v>
      </c>
      <c r="AA2" s="2">
        <v>92400</v>
      </c>
    </row>
    <row r="3" spans="1:27" x14ac:dyDescent="0.3">
      <c r="A3" s="4" t="s">
        <v>1993</v>
      </c>
      <c r="B3" s="2" t="str">
        <f>"05201010700"</f>
        <v>05201010700</v>
      </c>
      <c r="C3" s="2" t="s">
        <v>1998</v>
      </c>
      <c r="D3" t="s">
        <v>866</v>
      </c>
      <c r="E3" s="2" t="s">
        <v>30</v>
      </c>
      <c r="F3" s="2">
        <v>37115</v>
      </c>
      <c r="G3" s="2" t="s">
        <v>64</v>
      </c>
      <c r="H3" t="s">
        <v>1999</v>
      </c>
      <c r="I3" s="6">
        <v>42530</v>
      </c>
      <c r="J3" s="2" t="s">
        <v>2000</v>
      </c>
      <c r="K3" s="2">
        <v>0</v>
      </c>
      <c r="L3" t="s">
        <v>343</v>
      </c>
      <c r="M3" t="s">
        <v>29</v>
      </c>
      <c r="N3" t="s">
        <v>30</v>
      </c>
      <c r="O3">
        <v>37201</v>
      </c>
      <c r="P3" t="s">
        <v>2001</v>
      </c>
      <c r="Q3" s="2">
        <v>0.35</v>
      </c>
      <c r="R3" s="2">
        <v>83</v>
      </c>
      <c r="S3" s="2">
        <v>165</v>
      </c>
      <c r="T3" t="s">
        <v>1997</v>
      </c>
      <c r="U3" s="6">
        <v>33750</v>
      </c>
      <c r="V3" s="2">
        <v>47037010701</v>
      </c>
      <c r="W3" s="2" t="s">
        <v>837</v>
      </c>
      <c r="X3" s="1">
        <v>45658</v>
      </c>
      <c r="Y3" s="2">
        <v>5200</v>
      </c>
      <c r="Z3" s="2">
        <v>0</v>
      </c>
      <c r="AA3" s="2">
        <v>5200</v>
      </c>
    </row>
    <row r="4" spans="1:27" x14ac:dyDescent="0.3">
      <c r="A4" s="4" t="s">
        <v>1993</v>
      </c>
      <c r="B4" s="2" t="str">
        <f>"04314015100"</f>
        <v>04314015100</v>
      </c>
      <c r="C4" s="2" t="s">
        <v>2002</v>
      </c>
      <c r="D4" t="s">
        <v>866</v>
      </c>
      <c r="E4" s="2" t="s">
        <v>30</v>
      </c>
      <c r="F4" s="2">
        <v>37115</v>
      </c>
      <c r="G4" s="2" t="s">
        <v>64</v>
      </c>
      <c r="H4" t="s">
        <v>99</v>
      </c>
      <c r="I4" s="6">
        <v>27417</v>
      </c>
      <c r="J4" s="2" t="s">
        <v>2003</v>
      </c>
      <c r="K4" s="2">
        <v>208</v>
      </c>
      <c r="L4" t="s">
        <v>35</v>
      </c>
      <c r="M4" t="s">
        <v>29</v>
      </c>
      <c r="N4" t="s">
        <v>30</v>
      </c>
      <c r="O4">
        <v>37219</v>
      </c>
      <c r="P4" t="s">
        <v>2004</v>
      </c>
      <c r="Q4" s="2">
        <v>0.04</v>
      </c>
      <c r="R4" s="2">
        <v>15</v>
      </c>
      <c r="S4" s="2">
        <v>145</v>
      </c>
      <c r="T4" t="s">
        <v>2003</v>
      </c>
      <c r="U4" s="6">
        <v>27417</v>
      </c>
      <c r="V4" s="2">
        <v>47037010701</v>
      </c>
      <c r="W4" s="2" t="s">
        <v>837</v>
      </c>
      <c r="X4" s="1">
        <v>45658</v>
      </c>
      <c r="Y4" s="2">
        <v>800</v>
      </c>
      <c r="Z4" s="2">
        <v>0</v>
      </c>
      <c r="AA4" s="2">
        <v>800</v>
      </c>
    </row>
    <row r="5" spans="1:27" x14ac:dyDescent="0.3">
      <c r="A5" s="4" t="s">
        <v>1993</v>
      </c>
      <c r="B5" s="2" t="str">
        <f>"05203003500"</f>
        <v>05203003500</v>
      </c>
      <c r="C5" s="2" t="s">
        <v>2005</v>
      </c>
      <c r="D5" t="s">
        <v>866</v>
      </c>
      <c r="E5" s="2" t="s">
        <v>30</v>
      </c>
      <c r="F5" s="2">
        <v>37115</v>
      </c>
      <c r="G5" s="2" t="s">
        <v>64</v>
      </c>
      <c r="H5" t="s">
        <v>99</v>
      </c>
      <c r="I5" s="6">
        <v>36972</v>
      </c>
      <c r="J5" s="2" t="s">
        <v>2006</v>
      </c>
      <c r="K5" s="2">
        <v>480</v>
      </c>
      <c r="L5" t="s">
        <v>35</v>
      </c>
      <c r="M5" t="s">
        <v>29</v>
      </c>
      <c r="N5" t="s">
        <v>30</v>
      </c>
      <c r="O5">
        <v>37219</v>
      </c>
      <c r="P5" t="s">
        <v>2007</v>
      </c>
      <c r="Q5" s="2">
        <v>0.02</v>
      </c>
      <c r="R5" s="2">
        <v>50</v>
      </c>
      <c r="S5" s="2">
        <v>50</v>
      </c>
      <c r="T5" t="s">
        <v>2008</v>
      </c>
      <c r="U5" s="6">
        <v>16614</v>
      </c>
      <c r="V5" s="2">
        <v>47037010602</v>
      </c>
      <c r="W5" s="2" t="s">
        <v>837</v>
      </c>
      <c r="X5" s="1">
        <v>45658</v>
      </c>
      <c r="Y5" s="2">
        <v>900</v>
      </c>
      <c r="Z5" s="2">
        <v>0</v>
      </c>
      <c r="AA5" s="2">
        <v>900</v>
      </c>
    </row>
    <row r="6" spans="1:27" x14ac:dyDescent="0.3">
      <c r="A6" s="4" t="s">
        <v>1993</v>
      </c>
      <c r="B6" s="2" t="str">
        <f>"05203006500"</f>
        <v>05203006500</v>
      </c>
      <c r="C6" s="2" t="s">
        <v>2009</v>
      </c>
      <c r="D6" t="s">
        <v>866</v>
      </c>
      <c r="E6" s="2" t="s">
        <v>30</v>
      </c>
      <c r="F6" s="2">
        <v>37115</v>
      </c>
      <c r="G6" s="2" t="s">
        <v>64</v>
      </c>
      <c r="H6" t="s">
        <v>99</v>
      </c>
      <c r="I6" s="6">
        <v>38082</v>
      </c>
      <c r="J6" s="2" t="s">
        <v>2010</v>
      </c>
      <c r="K6" s="2">
        <v>10652</v>
      </c>
      <c r="L6" t="s">
        <v>35</v>
      </c>
      <c r="M6" t="s">
        <v>29</v>
      </c>
      <c r="N6" t="s">
        <v>30</v>
      </c>
      <c r="O6">
        <v>37219</v>
      </c>
      <c r="P6" t="s">
        <v>2011</v>
      </c>
      <c r="Q6" s="2">
        <v>0.23</v>
      </c>
      <c r="R6" s="2">
        <v>200</v>
      </c>
      <c r="S6" s="2">
        <v>50</v>
      </c>
      <c r="T6" t="s">
        <v>2012</v>
      </c>
      <c r="U6" s="6">
        <v>16424</v>
      </c>
      <c r="V6" s="2">
        <v>47037010602</v>
      </c>
      <c r="W6" s="2" t="s">
        <v>837</v>
      </c>
      <c r="X6" s="1">
        <v>45658</v>
      </c>
      <c r="Y6" s="2">
        <v>78900</v>
      </c>
      <c r="Z6" s="2">
        <v>0</v>
      </c>
      <c r="AA6" s="2">
        <v>78900</v>
      </c>
    </row>
    <row r="7" spans="1:27" x14ac:dyDescent="0.3">
      <c r="A7" s="4" t="s">
        <v>1993</v>
      </c>
      <c r="B7" s="2" t="str">
        <f>"04216017600"</f>
        <v>04216017600</v>
      </c>
      <c r="C7" s="2" t="s">
        <v>2013</v>
      </c>
      <c r="D7" t="s">
        <v>866</v>
      </c>
      <c r="E7" s="2" t="s">
        <v>30</v>
      </c>
      <c r="F7" s="2">
        <v>37115</v>
      </c>
      <c r="G7" s="2" t="s">
        <v>147</v>
      </c>
      <c r="H7" t="s">
        <v>1131</v>
      </c>
      <c r="I7" s="6">
        <v>28535</v>
      </c>
      <c r="J7" s="2" t="s">
        <v>2014</v>
      </c>
      <c r="K7" s="2" t="s">
        <v>34</v>
      </c>
      <c r="L7" t="s">
        <v>35</v>
      </c>
      <c r="M7" t="s">
        <v>29</v>
      </c>
      <c r="N7" t="s">
        <v>30</v>
      </c>
      <c r="O7">
        <v>37219</v>
      </c>
      <c r="P7" t="s">
        <v>2015</v>
      </c>
      <c r="Q7" s="2">
        <v>0.64</v>
      </c>
      <c r="R7" s="2">
        <v>173</v>
      </c>
      <c r="S7" s="2">
        <v>147</v>
      </c>
      <c r="T7" t="s">
        <v>2016</v>
      </c>
      <c r="U7" s="6">
        <v>28493</v>
      </c>
      <c r="V7" s="2">
        <v>47037010701</v>
      </c>
      <c r="W7" s="2" t="s">
        <v>837</v>
      </c>
      <c r="X7" s="1">
        <v>45658</v>
      </c>
      <c r="Y7" s="2">
        <v>223000</v>
      </c>
      <c r="Z7" s="2">
        <v>0</v>
      </c>
      <c r="AA7" s="2">
        <v>223000</v>
      </c>
    </row>
    <row r="8" spans="1:27" x14ac:dyDescent="0.3">
      <c r="A8" s="4" t="s">
        <v>1993</v>
      </c>
      <c r="B8" s="2" t="str">
        <f>"05104005800"</f>
        <v>05104005800</v>
      </c>
      <c r="C8" s="2" t="s">
        <v>2017</v>
      </c>
      <c r="D8" t="s">
        <v>866</v>
      </c>
      <c r="E8" s="2" t="s">
        <v>30</v>
      </c>
      <c r="F8" s="2">
        <v>37115</v>
      </c>
      <c r="G8" s="2" t="s">
        <v>152</v>
      </c>
      <c r="H8" t="s">
        <v>2018</v>
      </c>
      <c r="I8" s="6">
        <v>23704</v>
      </c>
      <c r="J8" s="2" t="s">
        <v>2019</v>
      </c>
      <c r="K8" s="2" t="s">
        <v>34</v>
      </c>
      <c r="L8" t="s">
        <v>35</v>
      </c>
      <c r="M8" t="s">
        <v>29</v>
      </c>
      <c r="N8" t="s">
        <v>30</v>
      </c>
      <c r="O8">
        <v>37219</v>
      </c>
      <c r="P8" t="s">
        <v>2020</v>
      </c>
      <c r="Q8" s="2">
        <v>6.34</v>
      </c>
      <c r="R8" s="2">
        <v>222</v>
      </c>
      <c r="S8" s="2">
        <v>352</v>
      </c>
      <c r="T8" t="s">
        <v>2021</v>
      </c>
      <c r="U8" s="6">
        <v>40842</v>
      </c>
      <c r="V8" s="2">
        <v>47037010701</v>
      </c>
      <c r="W8" s="2" t="s">
        <v>837</v>
      </c>
      <c r="X8" s="1">
        <v>45658</v>
      </c>
      <c r="Y8" s="2">
        <v>2761700</v>
      </c>
      <c r="Z8" s="2">
        <v>0</v>
      </c>
      <c r="AA8" s="2">
        <v>2761700</v>
      </c>
    </row>
    <row r="9" spans="1:27" x14ac:dyDescent="0.3">
      <c r="A9" s="4" t="s">
        <v>1993</v>
      </c>
      <c r="B9" s="2" t="str">
        <f>"04305000500"</f>
        <v>04305000500</v>
      </c>
      <c r="C9" s="2" t="s">
        <v>2022</v>
      </c>
      <c r="D9" t="s">
        <v>866</v>
      </c>
      <c r="E9" s="2" t="s">
        <v>30</v>
      </c>
      <c r="F9" s="2">
        <v>37115</v>
      </c>
      <c r="G9" s="2" t="s">
        <v>152</v>
      </c>
      <c r="H9" t="s">
        <v>176</v>
      </c>
      <c r="I9" s="6">
        <v>20634</v>
      </c>
      <c r="J9" s="2" t="s">
        <v>2023</v>
      </c>
      <c r="K9" s="2" t="s">
        <v>34</v>
      </c>
      <c r="L9" t="s">
        <v>178</v>
      </c>
      <c r="M9" t="s">
        <v>29</v>
      </c>
      <c r="N9" t="s">
        <v>30</v>
      </c>
      <c r="O9">
        <v>37246</v>
      </c>
      <c r="P9" t="s">
        <v>2024</v>
      </c>
      <c r="Q9" s="2">
        <v>0.08</v>
      </c>
      <c r="R9" s="2">
        <v>65</v>
      </c>
      <c r="S9" s="2">
        <v>62</v>
      </c>
      <c r="T9" t="s">
        <v>2023</v>
      </c>
      <c r="U9" s="6">
        <v>20634</v>
      </c>
      <c r="V9" s="2">
        <v>47037010401</v>
      </c>
      <c r="W9" s="2" t="s">
        <v>837</v>
      </c>
      <c r="X9" s="1">
        <v>45658</v>
      </c>
      <c r="Y9" s="2">
        <v>32200</v>
      </c>
      <c r="Z9" s="2">
        <v>0</v>
      </c>
      <c r="AA9" s="2">
        <v>32200</v>
      </c>
    </row>
    <row r="10" spans="1:27" x14ac:dyDescent="0.3">
      <c r="A10" s="4" t="s">
        <v>1993</v>
      </c>
      <c r="B10" s="2" t="str">
        <f>"04216008700"</f>
        <v>04216008700</v>
      </c>
      <c r="C10" s="2" t="s">
        <v>2025</v>
      </c>
      <c r="D10" t="s">
        <v>866</v>
      </c>
      <c r="E10" s="2" t="s">
        <v>30</v>
      </c>
      <c r="F10" s="2">
        <v>37115</v>
      </c>
      <c r="G10" s="2" t="s">
        <v>152</v>
      </c>
      <c r="H10" t="s">
        <v>176</v>
      </c>
      <c r="I10" s="6">
        <v>18490</v>
      </c>
      <c r="J10" s="2" t="s">
        <v>2026</v>
      </c>
      <c r="K10" s="2" t="s">
        <v>34</v>
      </c>
      <c r="L10" t="s">
        <v>178</v>
      </c>
      <c r="M10" t="s">
        <v>29</v>
      </c>
      <c r="N10" t="s">
        <v>30</v>
      </c>
      <c r="O10">
        <v>37246</v>
      </c>
      <c r="P10" t="s">
        <v>2027</v>
      </c>
      <c r="Q10" s="2">
        <v>1.41</v>
      </c>
      <c r="R10" s="2">
        <v>180</v>
      </c>
      <c r="S10" s="2">
        <v>343</v>
      </c>
      <c r="T10" t="s">
        <v>2026</v>
      </c>
      <c r="U10" s="6">
        <v>18490</v>
      </c>
      <c r="V10" s="2">
        <v>47037010701</v>
      </c>
      <c r="W10" s="2" t="s">
        <v>837</v>
      </c>
      <c r="X10" s="1">
        <v>45658</v>
      </c>
      <c r="Y10" s="2">
        <v>493900</v>
      </c>
      <c r="Z10" s="2">
        <v>0</v>
      </c>
      <c r="AA10" s="2">
        <v>493900</v>
      </c>
    </row>
    <row r="11" spans="1:27" x14ac:dyDescent="0.3">
      <c r="A11" s="4" t="s">
        <v>1993</v>
      </c>
      <c r="B11" s="2" t="str">
        <f>"05202026900"</f>
        <v>05202026900</v>
      </c>
      <c r="C11" s="2" t="s">
        <v>2028</v>
      </c>
      <c r="D11" t="s">
        <v>866</v>
      </c>
      <c r="E11" s="2" t="s">
        <v>30</v>
      </c>
      <c r="F11" s="2">
        <v>37115</v>
      </c>
      <c r="G11" s="2" t="s">
        <v>152</v>
      </c>
      <c r="H11" t="s">
        <v>176</v>
      </c>
      <c r="I11" s="6">
        <v>19831</v>
      </c>
      <c r="J11" s="2" t="s">
        <v>2029</v>
      </c>
      <c r="K11" s="2" t="s">
        <v>34</v>
      </c>
      <c r="L11" t="s">
        <v>178</v>
      </c>
      <c r="M11" t="s">
        <v>29</v>
      </c>
      <c r="N11" t="s">
        <v>30</v>
      </c>
      <c r="O11">
        <v>37246</v>
      </c>
      <c r="P11" t="s">
        <v>2030</v>
      </c>
      <c r="Q11" s="2">
        <v>0.41</v>
      </c>
      <c r="R11" s="2">
        <v>140</v>
      </c>
      <c r="S11" s="2">
        <v>158</v>
      </c>
      <c r="T11" t="s">
        <v>2029</v>
      </c>
      <c r="U11" s="6">
        <v>19831</v>
      </c>
      <c r="V11" s="2">
        <v>47037010602</v>
      </c>
      <c r="W11" s="2" t="s">
        <v>837</v>
      </c>
      <c r="X11" s="1">
        <v>45658</v>
      </c>
      <c r="Y11" s="2">
        <v>127400</v>
      </c>
      <c r="Z11" s="2">
        <v>0</v>
      </c>
      <c r="AA11" s="2">
        <v>127400</v>
      </c>
    </row>
    <row r="12" spans="1:27" x14ac:dyDescent="0.3">
      <c r="A12" s="4" t="s">
        <v>1993</v>
      </c>
      <c r="B12" s="2" t="str">
        <f>"04313024400"</f>
        <v>04313024400</v>
      </c>
      <c r="C12" s="2" t="s">
        <v>2031</v>
      </c>
      <c r="D12" t="s">
        <v>866</v>
      </c>
      <c r="E12" s="2" t="s">
        <v>30</v>
      </c>
      <c r="F12" s="2">
        <v>37115</v>
      </c>
      <c r="G12" s="2" t="s">
        <v>152</v>
      </c>
      <c r="H12" t="s">
        <v>176</v>
      </c>
      <c r="I12" s="6">
        <v>14377</v>
      </c>
      <c r="J12" s="2" t="s">
        <v>2032</v>
      </c>
      <c r="K12" s="2" t="s">
        <v>34</v>
      </c>
      <c r="L12" t="s">
        <v>178</v>
      </c>
      <c r="M12" t="s">
        <v>29</v>
      </c>
      <c r="N12" t="s">
        <v>30</v>
      </c>
      <c r="O12">
        <v>37246</v>
      </c>
      <c r="P12" t="s">
        <v>2033</v>
      </c>
      <c r="Q12" s="2">
        <v>0.32</v>
      </c>
      <c r="R12" s="2">
        <v>50</v>
      </c>
      <c r="S12" s="2">
        <v>291</v>
      </c>
      <c r="T12" t="s">
        <v>2032</v>
      </c>
      <c r="U12" s="6">
        <v>14377</v>
      </c>
      <c r="V12" s="2">
        <v>47037010701</v>
      </c>
      <c r="W12" s="2" t="s">
        <v>837</v>
      </c>
      <c r="X12" s="1">
        <v>45658</v>
      </c>
      <c r="Y12" s="2">
        <v>101900</v>
      </c>
      <c r="Z12" s="2">
        <v>0</v>
      </c>
      <c r="AA12" s="2">
        <v>101900</v>
      </c>
    </row>
    <row r="13" spans="1:27" x14ac:dyDescent="0.3">
      <c r="A13" s="4" t="s">
        <v>1993</v>
      </c>
      <c r="B13" s="2" t="str">
        <f>"04310005701"</f>
        <v>04310005701</v>
      </c>
      <c r="C13" s="2" t="s">
        <v>2034</v>
      </c>
      <c r="D13" t="s">
        <v>866</v>
      </c>
      <c r="E13" s="2" t="s">
        <v>30</v>
      </c>
      <c r="F13" s="2">
        <v>37115</v>
      </c>
      <c r="G13" s="2" t="s">
        <v>152</v>
      </c>
      <c r="H13" t="s">
        <v>176</v>
      </c>
      <c r="I13" s="6">
        <v>23098</v>
      </c>
      <c r="J13" s="2" t="s">
        <v>2035</v>
      </c>
      <c r="K13" s="2" t="s">
        <v>34</v>
      </c>
      <c r="L13" t="s">
        <v>178</v>
      </c>
      <c r="M13" t="s">
        <v>29</v>
      </c>
      <c r="N13" t="s">
        <v>30</v>
      </c>
      <c r="O13">
        <v>37246</v>
      </c>
      <c r="P13" t="s">
        <v>2036</v>
      </c>
      <c r="Q13" s="2">
        <v>0.45</v>
      </c>
      <c r="R13" s="2">
        <v>100</v>
      </c>
      <c r="S13" s="2">
        <v>200</v>
      </c>
      <c r="T13" t="s">
        <v>2035</v>
      </c>
      <c r="U13" s="6">
        <v>23098</v>
      </c>
      <c r="V13" s="2">
        <v>47037010402</v>
      </c>
      <c r="W13" s="2" t="s">
        <v>837</v>
      </c>
      <c r="X13" s="1">
        <v>45658</v>
      </c>
      <c r="Y13" s="2">
        <v>93500</v>
      </c>
      <c r="Z13" s="2">
        <v>0</v>
      </c>
      <c r="AA13" s="2">
        <v>93500</v>
      </c>
    </row>
    <row r="14" spans="1:27" x14ac:dyDescent="0.3">
      <c r="A14" s="4" t="s">
        <v>1993</v>
      </c>
      <c r="B14" s="2" t="str">
        <f>"07400003401"</f>
        <v>07400003401</v>
      </c>
      <c r="C14" s="2" t="s">
        <v>2037</v>
      </c>
      <c r="D14" t="s">
        <v>866</v>
      </c>
      <c r="E14" s="2" t="s">
        <v>30</v>
      </c>
      <c r="F14" s="2">
        <v>37115</v>
      </c>
      <c r="G14" s="2" t="s">
        <v>194</v>
      </c>
      <c r="H14" t="s">
        <v>2038</v>
      </c>
      <c r="I14" s="6">
        <v>23567</v>
      </c>
      <c r="J14" s="2" t="s">
        <v>2039</v>
      </c>
      <c r="K14" s="2" t="s">
        <v>34</v>
      </c>
      <c r="L14" t="s">
        <v>35</v>
      </c>
      <c r="M14" t="s">
        <v>29</v>
      </c>
      <c r="N14" t="s">
        <v>30</v>
      </c>
      <c r="O14">
        <v>37219</v>
      </c>
      <c r="P14" t="s">
        <v>2040</v>
      </c>
      <c r="Q14" s="2">
        <v>635.02</v>
      </c>
      <c r="R14" s="2">
        <v>0</v>
      </c>
      <c r="S14" s="2">
        <v>0</v>
      </c>
      <c r="T14" t="s">
        <v>2041</v>
      </c>
      <c r="U14" s="6">
        <v>41367</v>
      </c>
      <c r="V14" s="2">
        <v>47037010601</v>
      </c>
      <c r="W14" s="2" t="s">
        <v>38</v>
      </c>
      <c r="X14" s="1">
        <v>45658</v>
      </c>
      <c r="Y14" s="2">
        <v>7104700</v>
      </c>
      <c r="Z14" s="2">
        <v>334200</v>
      </c>
      <c r="AA14" s="2">
        <v>6770500</v>
      </c>
    </row>
    <row r="15" spans="1:27" x14ac:dyDescent="0.3">
      <c r="A15" s="4" t="s">
        <v>1993</v>
      </c>
      <c r="B15" s="2" t="str">
        <f>"04310003400"</f>
        <v>04310003400</v>
      </c>
      <c r="C15" s="2" t="s">
        <v>2042</v>
      </c>
      <c r="D15" t="s">
        <v>866</v>
      </c>
      <c r="E15" s="2" t="s">
        <v>30</v>
      </c>
      <c r="F15" s="2">
        <v>37115</v>
      </c>
      <c r="G15" s="2" t="s">
        <v>200</v>
      </c>
      <c r="H15" t="s">
        <v>2043</v>
      </c>
      <c r="I15" s="6">
        <v>32188</v>
      </c>
      <c r="J15" s="2" t="s">
        <v>2044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2045</v>
      </c>
      <c r="Q15" s="2">
        <v>30.58</v>
      </c>
      <c r="R15" s="2">
        <v>0</v>
      </c>
      <c r="S15" s="2">
        <v>0</v>
      </c>
      <c r="T15" t="s">
        <v>278</v>
      </c>
      <c r="U15" s="6">
        <v>36579</v>
      </c>
      <c r="V15" s="2">
        <v>47037010402</v>
      </c>
      <c r="W15" s="2" t="s">
        <v>837</v>
      </c>
      <c r="X15" s="1">
        <v>45658</v>
      </c>
      <c r="Y15" s="2">
        <v>764500</v>
      </c>
      <c r="Z15" s="2">
        <v>0</v>
      </c>
      <c r="AA15" s="2">
        <v>764500</v>
      </c>
    </row>
    <row r="16" spans="1:27" x14ac:dyDescent="0.3">
      <c r="A16" s="4" t="s">
        <v>1993</v>
      </c>
      <c r="B16" s="2" t="str">
        <f>"05313002800"</f>
        <v>05313002800</v>
      </c>
      <c r="C16" s="2" t="s">
        <v>2046</v>
      </c>
      <c r="D16" t="s">
        <v>866</v>
      </c>
      <c r="E16" s="2" t="s">
        <v>30</v>
      </c>
      <c r="F16" s="2">
        <v>37115</v>
      </c>
      <c r="G16" s="2" t="s">
        <v>64</v>
      </c>
      <c r="H16" t="s">
        <v>211</v>
      </c>
      <c r="I16" s="6">
        <v>42129</v>
      </c>
      <c r="J16" s="2" t="s">
        <v>2047</v>
      </c>
      <c r="K16" s="2">
        <v>0</v>
      </c>
      <c r="L16" t="s">
        <v>35</v>
      </c>
      <c r="M16" t="s">
        <v>29</v>
      </c>
      <c r="N16" t="s">
        <v>30</v>
      </c>
      <c r="O16">
        <v>37219</v>
      </c>
      <c r="P16" t="s">
        <v>2048</v>
      </c>
      <c r="Q16" s="2">
        <v>1.1299999999999999</v>
      </c>
      <c r="R16" s="2">
        <v>96</v>
      </c>
      <c r="S16" s="2">
        <v>501</v>
      </c>
      <c r="T16" t="s">
        <v>2049</v>
      </c>
      <c r="U16" s="6">
        <v>24931</v>
      </c>
      <c r="V16" s="2">
        <v>47037010601</v>
      </c>
      <c r="W16" s="2" t="s">
        <v>38</v>
      </c>
      <c r="X16" s="1">
        <v>45658</v>
      </c>
      <c r="Y16" s="2">
        <v>105000</v>
      </c>
      <c r="Z16" s="2">
        <v>0</v>
      </c>
      <c r="AA16" s="2">
        <v>105000</v>
      </c>
    </row>
    <row r="17" spans="1:27" x14ac:dyDescent="0.3">
      <c r="A17" s="4" t="s">
        <v>1993</v>
      </c>
      <c r="B17" s="2" t="str">
        <f>"05313002801"</f>
        <v>05313002801</v>
      </c>
      <c r="C17" s="2" t="s">
        <v>2050</v>
      </c>
      <c r="D17" t="s">
        <v>866</v>
      </c>
      <c r="E17" s="2" t="s">
        <v>30</v>
      </c>
      <c r="F17" s="2">
        <v>37115</v>
      </c>
      <c r="G17" s="2" t="s">
        <v>524</v>
      </c>
      <c r="H17" t="s">
        <v>211</v>
      </c>
      <c r="I17" s="6">
        <v>42129</v>
      </c>
      <c r="J17" s="2" t="s">
        <v>2047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2051</v>
      </c>
      <c r="Q17" s="2">
        <v>0.78</v>
      </c>
      <c r="R17" s="2">
        <v>68</v>
      </c>
      <c r="S17" s="2">
        <v>501</v>
      </c>
      <c r="T17" t="s">
        <v>2052</v>
      </c>
      <c r="U17" s="6">
        <v>24495</v>
      </c>
      <c r="V17" s="2">
        <v>47037010601</v>
      </c>
      <c r="W17" s="2" t="s">
        <v>38</v>
      </c>
      <c r="X17" s="1">
        <v>45658</v>
      </c>
      <c r="Y17" s="2">
        <v>105000</v>
      </c>
      <c r="Z17" s="2">
        <v>0</v>
      </c>
      <c r="AA17" s="2">
        <v>105000</v>
      </c>
    </row>
    <row r="18" spans="1:27" x14ac:dyDescent="0.3">
      <c r="A18" s="4" t="s">
        <v>1993</v>
      </c>
      <c r="B18" s="2" t="str">
        <f>"05313002900"</f>
        <v>05313002900</v>
      </c>
      <c r="C18" s="2" t="s">
        <v>2053</v>
      </c>
      <c r="D18" t="s">
        <v>866</v>
      </c>
      <c r="E18" s="2" t="s">
        <v>30</v>
      </c>
      <c r="F18" s="2">
        <v>37115</v>
      </c>
      <c r="G18" s="2" t="s">
        <v>64</v>
      </c>
      <c r="H18" t="s">
        <v>211</v>
      </c>
      <c r="I18" s="6">
        <v>42129</v>
      </c>
      <c r="J18" s="2" t="s">
        <v>2047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2054</v>
      </c>
      <c r="Q18" s="2">
        <v>8.34</v>
      </c>
      <c r="R18" s="2">
        <v>0</v>
      </c>
      <c r="S18" s="2">
        <v>0</v>
      </c>
      <c r="T18" t="s">
        <v>2055</v>
      </c>
      <c r="U18" s="6">
        <v>24586</v>
      </c>
      <c r="V18" s="2">
        <v>47037010601</v>
      </c>
      <c r="W18" s="2" t="s">
        <v>38</v>
      </c>
      <c r="X18" s="1">
        <v>45658</v>
      </c>
      <c r="Y18" s="2">
        <v>648000</v>
      </c>
      <c r="Z18" s="2">
        <v>0</v>
      </c>
      <c r="AA18" s="2">
        <v>648000</v>
      </c>
    </row>
    <row r="19" spans="1:27" x14ac:dyDescent="0.3">
      <c r="A19" s="4" t="s">
        <v>1993</v>
      </c>
      <c r="B19" s="2" t="str">
        <f>"04300000500"</f>
        <v>04300000500</v>
      </c>
      <c r="C19" s="2" t="s">
        <v>2056</v>
      </c>
      <c r="D19" t="s">
        <v>866</v>
      </c>
      <c r="E19" s="2" t="s">
        <v>30</v>
      </c>
      <c r="F19" s="2">
        <v>37115</v>
      </c>
      <c r="G19" s="2" t="s">
        <v>152</v>
      </c>
      <c r="H19" t="s">
        <v>2057</v>
      </c>
      <c r="I19" s="6">
        <v>19004</v>
      </c>
      <c r="J19" s="2" t="s">
        <v>2058</v>
      </c>
      <c r="K19" s="2" t="s">
        <v>34</v>
      </c>
      <c r="L19" t="s">
        <v>35</v>
      </c>
      <c r="M19" t="s">
        <v>29</v>
      </c>
      <c r="N19" t="s">
        <v>30</v>
      </c>
      <c r="O19">
        <v>37219</v>
      </c>
      <c r="P19" t="s">
        <v>2059</v>
      </c>
      <c r="Q19" s="2">
        <v>20.81</v>
      </c>
      <c r="R19" s="2">
        <v>0</v>
      </c>
      <c r="S19" s="2">
        <v>0</v>
      </c>
      <c r="T19" t="s">
        <v>2058</v>
      </c>
      <c r="U19" s="6">
        <v>19004</v>
      </c>
      <c r="V19" s="2">
        <v>47037010402</v>
      </c>
      <c r="W19" s="2" t="s">
        <v>837</v>
      </c>
      <c r="X19" s="1">
        <v>45658</v>
      </c>
      <c r="Y19" s="2">
        <v>2913400</v>
      </c>
      <c r="Z19" s="2">
        <v>0</v>
      </c>
      <c r="AA19" s="2">
        <v>2913400</v>
      </c>
    </row>
    <row r="20" spans="1:27" x14ac:dyDescent="0.3">
      <c r="A20" s="4" t="s">
        <v>1993</v>
      </c>
      <c r="B20" s="2" t="str">
        <f>"04315017100"</f>
        <v>04315017100</v>
      </c>
      <c r="C20" s="2" t="s">
        <v>2060</v>
      </c>
      <c r="D20" t="s">
        <v>866</v>
      </c>
      <c r="E20" s="2" t="s">
        <v>30</v>
      </c>
      <c r="F20" s="2">
        <v>37115</v>
      </c>
      <c r="G20" s="2" t="s">
        <v>64</v>
      </c>
      <c r="H20" t="s">
        <v>249</v>
      </c>
      <c r="I20" s="6">
        <v>38685</v>
      </c>
      <c r="J20" s="2" t="s">
        <v>2061</v>
      </c>
      <c r="K20" s="2">
        <v>78500</v>
      </c>
      <c r="L20" t="s">
        <v>35</v>
      </c>
      <c r="M20" t="s">
        <v>29</v>
      </c>
      <c r="N20" t="s">
        <v>30</v>
      </c>
      <c r="O20">
        <v>37219</v>
      </c>
      <c r="P20" t="s">
        <v>2062</v>
      </c>
      <c r="Q20" s="2">
        <v>0.87</v>
      </c>
      <c r="R20" s="2">
        <v>100</v>
      </c>
      <c r="S20" s="2">
        <v>400</v>
      </c>
      <c r="T20" t="s">
        <v>2063</v>
      </c>
      <c r="U20" s="6">
        <v>22484</v>
      </c>
      <c r="V20" s="2">
        <v>47037010602</v>
      </c>
      <c r="W20" s="2" t="s">
        <v>38</v>
      </c>
      <c r="X20" s="1">
        <v>45658</v>
      </c>
      <c r="Y20" s="2">
        <v>147000</v>
      </c>
      <c r="Z20" s="2">
        <v>0</v>
      </c>
      <c r="AA20" s="2">
        <v>147000</v>
      </c>
    </row>
    <row r="21" spans="1:27" x14ac:dyDescent="0.3">
      <c r="A21" s="4" t="s">
        <v>1993</v>
      </c>
      <c r="B21" s="2" t="str">
        <f>"04315017200"</f>
        <v>04315017200</v>
      </c>
      <c r="C21" s="2" t="s">
        <v>2060</v>
      </c>
      <c r="D21" t="s">
        <v>866</v>
      </c>
      <c r="E21" s="2" t="s">
        <v>30</v>
      </c>
      <c r="F21" s="2">
        <v>37115</v>
      </c>
      <c r="G21" s="2" t="s">
        <v>64</v>
      </c>
      <c r="H21" t="s">
        <v>249</v>
      </c>
      <c r="I21" s="6">
        <v>38685</v>
      </c>
      <c r="J21" s="2" t="s">
        <v>2061</v>
      </c>
      <c r="K21" s="2">
        <v>78500</v>
      </c>
      <c r="L21" t="s">
        <v>35</v>
      </c>
      <c r="M21" t="s">
        <v>29</v>
      </c>
      <c r="N21" t="s">
        <v>30</v>
      </c>
      <c r="O21">
        <v>37219</v>
      </c>
      <c r="P21" t="s">
        <v>2062</v>
      </c>
      <c r="Q21" s="2">
        <v>0.87</v>
      </c>
      <c r="R21" s="2">
        <v>100</v>
      </c>
      <c r="S21" s="2">
        <v>400</v>
      </c>
      <c r="T21" t="s">
        <v>2064</v>
      </c>
      <c r="U21" s="6">
        <v>20565</v>
      </c>
      <c r="V21" s="2">
        <v>47037010602</v>
      </c>
      <c r="W21" s="2" t="s">
        <v>38</v>
      </c>
      <c r="X21" s="1">
        <v>45658</v>
      </c>
      <c r="Y21" s="2">
        <v>147000</v>
      </c>
      <c r="Z21" s="2">
        <v>0</v>
      </c>
      <c r="AA21" s="2">
        <v>147000</v>
      </c>
    </row>
    <row r="22" spans="1:27" x14ac:dyDescent="0.3">
      <c r="A22" s="4" t="s">
        <v>1993</v>
      </c>
      <c r="B22" s="2" t="str">
        <f>"04315017300"</f>
        <v>04315017300</v>
      </c>
      <c r="C22" s="2" t="s">
        <v>2065</v>
      </c>
      <c r="D22" t="s">
        <v>866</v>
      </c>
      <c r="E22" s="2" t="s">
        <v>30</v>
      </c>
      <c r="F22" s="2">
        <v>37115</v>
      </c>
      <c r="G22" s="2" t="s">
        <v>64</v>
      </c>
      <c r="H22" t="s">
        <v>249</v>
      </c>
      <c r="I22" s="6">
        <v>38685</v>
      </c>
      <c r="J22" s="2" t="s">
        <v>2061</v>
      </c>
      <c r="K22" s="2">
        <v>78500</v>
      </c>
      <c r="L22" t="s">
        <v>35</v>
      </c>
      <c r="M22" t="s">
        <v>29</v>
      </c>
      <c r="N22" t="s">
        <v>30</v>
      </c>
      <c r="O22">
        <v>37219</v>
      </c>
      <c r="P22" t="s">
        <v>2062</v>
      </c>
      <c r="Q22" s="2">
        <v>0.87</v>
      </c>
      <c r="R22" s="2">
        <v>100</v>
      </c>
      <c r="S22" s="2">
        <v>400</v>
      </c>
      <c r="T22" t="s">
        <v>2066</v>
      </c>
      <c r="U22" s="6">
        <v>26044</v>
      </c>
      <c r="V22" s="2">
        <v>47037010602</v>
      </c>
      <c r="W22" s="2" t="s">
        <v>38</v>
      </c>
      <c r="X22" s="1">
        <v>45658</v>
      </c>
      <c r="Y22" s="2">
        <v>147000</v>
      </c>
      <c r="Z22" s="2">
        <v>0</v>
      </c>
      <c r="AA22" s="2">
        <v>147000</v>
      </c>
    </row>
    <row r="23" spans="1:27" x14ac:dyDescent="0.3">
      <c r="A23" s="4" t="s">
        <v>1993</v>
      </c>
      <c r="B23" s="2" t="str">
        <f>"04305001600"</f>
        <v>04305001600</v>
      </c>
      <c r="C23" s="2" t="s">
        <v>2067</v>
      </c>
      <c r="D23" t="s">
        <v>866</v>
      </c>
      <c r="E23" s="2" t="s">
        <v>30</v>
      </c>
      <c r="F23" s="2">
        <v>37115</v>
      </c>
      <c r="G23" s="2" t="s">
        <v>253</v>
      </c>
      <c r="H23" t="s">
        <v>2068</v>
      </c>
      <c r="I23" s="6">
        <v>13739</v>
      </c>
      <c r="J23" s="2" t="s">
        <v>2069</v>
      </c>
      <c r="K23" s="2" t="s">
        <v>34</v>
      </c>
      <c r="L23" t="s">
        <v>35</v>
      </c>
      <c r="M23" t="s">
        <v>29</v>
      </c>
      <c r="N23" t="s">
        <v>30</v>
      </c>
      <c r="O23">
        <v>37219</v>
      </c>
      <c r="P23" t="s">
        <v>2070</v>
      </c>
      <c r="Q23" s="2">
        <v>9.23</v>
      </c>
      <c r="R23" s="2">
        <v>0</v>
      </c>
      <c r="S23" s="2">
        <v>0</v>
      </c>
      <c r="T23" t="s">
        <v>2071</v>
      </c>
      <c r="U23" s="6">
        <v>36594</v>
      </c>
      <c r="V23" s="2">
        <v>47037010401</v>
      </c>
      <c r="W23" s="2" t="s">
        <v>837</v>
      </c>
      <c r="X23" s="1">
        <v>45658</v>
      </c>
      <c r="Y23" s="2">
        <v>230800</v>
      </c>
      <c r="Z23" s="2">
        <v>0</v>
      </c>
      <c r="AA23" s="2">
        <v>230800</v>
      </c>
    </row>
    <row r="24" spans="1:27" x14ac:dyDescent="0.3">
      <c r="A24" s="4" t="s">
        <v>1993</v>
      </c>
      <c r="B24" s="2" t="str">
        <f>"05200003000"</f>
        <v>05200003000</v>
      </c>
      <c r="C24" s="2" t="s">
        <v>2072</v>
      </c>
      <c r="D24" t="s">
        <v>866</v>
      </c>
      <c r="E24" s="2" t="s">
        <v>30</v>
      </c>
      <c r="F24" s="2">
        <v>37115</v>
      </c>
      <c r="G24" s="2" t="s">
        <v>253</v>
      </c>
      <c r="H24" t="s">
        <v>2073</v>
      </c>
      <c r="I24" s="6">
        <v>22719</v>
      </c>
      <c r="J24" s="2" t="s">
        <v>2074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2075</v>
      </c>
      <c r="Q24" s="2">
        <v>30.85</v>
      </c>
      <c r="R24" s="2">
        <v>0</v>
      </c>
      <c r="S24" s="2">
        <v>0</v>
      </c>
      <c r="T24" t="s">
        <v>1997</v>
      </c>
      <c r="U24" s="6">
        <v>33750</v>
      </c>
      <c r="V24" s="2">
        <v>47037010602</v>
      </c>
      <c r="W24" s="2" t="s">
        <v>38</v>
      </c>
      <c r="X24" s="1">
        <v>45658</v>
      </c>
      <c r="Y24" s="2">
        <v>2282900</v>
      </c>
      <c r="Z24" s="2">
        <v>0</v>
      </c>
      <c r="AA24" s="2">
        <v>2282900</v>
      </c>
    </row>
    <row r="25" spans="1:27" x14ac:dyDescent="0.3">
      <c r="A25" s="4" t="s">
        <v>1993</v>
      </c>
      <c r="B25" s="2" t="str">
        <f>"05216008200"</f>
        <v>05216008200</v>
      </c>
      <c r="C25" s="2" t="s">
        <v>2076</v>
      </c>
      <c r="D25" t="s">
        <v>866</v>
      </c>
      <c r="E25" s="2" t="s">
        <v>30</v>
      </c>
      <c r="F25" s="2">
        <v>37115</v>
      </c>
      <c r="G25" s="2" t="s">
        <v>253</v>
      </c>
      <c r="H25" t="s">
        <v>2073</v>
      </c>
      <c r="I25" s="6">
        <v>19295</v>
      </c>
      <c r="J25" s="2" t="s">
        <v>2077</v>
      </c>
      <c r="K25" s="2" t="s">
        <v>34</v>
      </c>
      <c r="L25" t="s">
        <v>35</v>
      </c>
      <c r="M25" t="s">
        <v>29</v>
      </c>
      <c r="N25" t="s">
        <v>30</v>
      </c>
      <c r="O25">
        <v>37219</v>
      </c>
      <c r="P25" t="s">
        <v>2078</v>
      </c>
      <c r="Q25" s="2">
        <v>12.4</v>
      </c>
      <c r="R25" s="2">
        <v>0</v>
      </c>
      <c r="S25" s="2">
        <v>0</v>
      </c>
      <c r="T25" t="s">
        <v>1997</v>
      </c>
      <c r="U25" s="6">
        <v>33750</v>
      </c>
      <c r="V25" s="2">
        <v>47037010601</v>
      </c>
      <c r="W25" s="2" t="s">
        <v>38</v>
      </c>
      <c r="X25" s="1">
        <v>45658</v>
      </c>
      <c r="Y25" s="2">
        <v>347200</v>
      </c>
      <c r="Z25" s="2">
        <v>0</v>
      </c>
      <c r="AA25" s="2">
        <v>347200</v>
      </c>
    </row>
    <row r="26" spans="1:27" x14ac:dyDescent="0.3">
      <c r="A26" s="4" t="s">
        <v>1993</v>
      </c>
      <c r="B26" s="2" t="str">
        <f>"03410006300"</f>
        <v>03410006300</v>
      </c>
      <c r="C26" s="2" t="s">
        <v>2079</v>
      </c>
      <c r="D26" t="s">
        <v>866</v>
      </c>
      <c r="E26" s="2" t="s">
        <v>30</v>
      </c>
      <c r="F26" s="2">
        <v>37115</v>
      </c>
      <c r="G26" s="2" t="s">
        <v>64</v>
      </c>
      <c r="H26" t="s">
        <v>280</v>
      </c>
      <c r="I26" s="6">
        <v>41358</v>
      </c>
      <c r="J26" s="2" t="s">
        <v>2080</v>
      </c>
      <c r="K26" s="2">
        <v>39950</v>
      </c>
      <c r="L26" t="s">
        <v>35</v>
      </c>
      <c r="M26" t="s">
        <v>29</v>
      </c>
      <c r="N26" t="s">
        <v>30</v>
      </c>
      <c r="O26">
        <v>37219</v>
      </c>
      <c r="P26" t="s">
        <v>2081</v>
      </c>
      <c r="Q26" s="2">
        <v>1.45</v>
      </c>
      <c r="R26" s="2">
        <v>110</v>
      </c>
      <c r="S26" s="2">
        <v>0</v>
      </c>
      <c r="T26" t="s">
        <v>2082</v>
      </c>
      <c r="U26" s="6">
        <v>41358</v>
      </c>
      <c r="V26" s="2">
        <v>47037010401</v>
      </c>
      <c r="W26" s="2" t="s">
        <v>38</v>
      </c>
      <c r="X26" s="1">
        <v>45658</v>
      </c>
      <c r="Y26" s="2">
        <v>91400</v>
      </c>
      <c r="Z26" s="2">
        <v>0</v>
      </c>
      <c r="AA26" s="2">
        <v>91400</v>
      </c>
    </row>
    <row r="27" spans="1:27" x14ac:dyDescent="0.3">
      <c r="A27" s="4" t="s">
        <v>1993</v>
      </c>
      <c r="B27" s="2" t="str">
        <f>"04311021200"</f>
        <v>04311021200</v>
      </c>
      <c r="C27" s="2" t="s">
        <v>2083</v>
      </c>
      <c r="D27" t="s">
        <v>866</v>
      </c>
      <c r="E27" s="2" t="s">
        <v>30</v>
      </c>
      <c r="F27" s="2">
        <v>37115</v>
      </c>
      <c r="G27" s="2" t="s">
        <v>64</v>
      </c>
      <c r="H27" t="s">
        <v>280</v>
      </c>
      <c r="I27" s="6">
        <v>35312</v>
      </c>
      <c r="J27" s="2" t="s">
        <v>2084</v>
      </c>
      <c r="K27" s="2">
        <v>1194</v>
      </c>
      <c r="L27" t="s">
        <v>35</v>
      </c>
      <c r="M27" t="s">
        <v>29</v>
      </c>
      <c r="N27" t="s">
        <v>30</v>
      </c>
      <c r="O27">
        <v>37219</v>
      </c>
      <c r="P27" t="s">
        <v>2085</v>
      </c>
      <c r="Q27" s="2">
        <v>0.26</v>
      </c>
      <c r="R27" s="2">
        <v>60</v>
      </c>
      <c r="S27" s="2">
        <v>188</v>
      </c>
      <c r="T27" t="s">
        <v>2086</v>
      </c>
      <c r="U27" s="6">
        <v>30841</v>
      </c>
      <c r="V27" s="2">
        <v>47037010402</v>
      </c>
      <c r="W27" s="2" t="s">
        <v>837</v>
      </c>
      <c r="X27" s="1">
        <v>45658</v>
      </c>
      <c r="Y27" s="2">
        <v>93500</v>
      </c>
      <c r="Z27" s="2">
        <v>0</v>
      </c>
      <c r="AA27" s="2">
        <v>93500</v>
      </c>
    </row>
    <row r="28" spans="1:27" x14ac:dyDescent="0.3">
      <c r="A28" s="4" t="s">
        <v>1993</v>
      </c>
      <c r="B28" s="2" t="str">
        <f>"04311021300"</f>
        <v>04311021300</v>
      </c>
      <c r="C28" s="2" t="s">
        <v>2087</v>
      </c>
      <c r="D28" t="s">
        <v>866</v>
      </c>
      <c r="E28" s="2" t="s">
        <v>30</v>
      </c>
      <c r="F28" s="2">
        <v>37115</v>
      </c>
      <c r="G28" s="2" t="s">
        <v>64</v>
      </c>
      <c r="H28" t="s">
        <v>280</v>
      </c>
      <c r="I28" s="6">
        <v>35312</v>
      </c>
      <c r="J28" s="2" t="s">
        <v>2088</v>
      </c>
      <c r="K28" s="2">
        <v>1194</v>
      </c>
      <c r="L28" t="s">
        <v>35</v>
      </c>
      <c r="M28" t="s">
        <v>29</v>
      </c>
      <c r="N28" t="s">
        <v>30</v>
      </c>
      <c r="O28">
        <v>37219</v>
      </c>
      <c r="P28" t="s">
        <v>2089</v>
      </c>
      <c r="Q28" s="2">
        <v>0.26</v>
      </c>
      <c r="R28" s="2">
        <v>60</v>
      </c>
      <c r="S28" s="2">
        <v>188</v>
      </c>
      <c r="T28" t="s">
        <v>2086</v>
      </c>
      <c r="U28" s="6">
        <v>30841</v>
      </c>
      <c r="V28" s="2">
        <v>47037010402</v>
      </c>
      <c r="W28" s="2" t="s">
        <v>837</v>
      </c>
      <c r="X28" s="1">
        <v>45658</v>
      </c>
      <c r="Y28" s="2">
        <v>93500</v>
      </c>
      <c r="Z28" s="2">
        <v>0</v>
      </c>
      <c r="AA28" s="2">
        <v>93500</v>
      </c>
    </row>
    <row r="29" spans="1:27" x14ac:dyDescent="0.3">
      <c r="A29" s="4" t="s">
        <v>1993</v>
      </c>
      <c r="B29" s="2" t="str">
        <f>"04311021400"</f>
        <v>04311021400</v>
      </c>
      <c r="C29" s="2" t="s">
        <v>2090</v>
      </c>
      <c r="D29" t="s">
        <v>866</v>
      </c>
      <c r="E29" s="2" t="s">
        <v>30</v>
      </c>
      <c r="F29" s="2">
        <v>37115</v>
      </c>
      <c r="G29" s="2" t="s">
        <v>64</v>
      </c>
      <c r="H29" t="s">
        <v>280</v>
      </c>
      <c r="I29" s="6">
        <v>35312</v>
      </c>
      <c r="J29" s="2" t="s">
        <v>2091</v>
      </c>
      <c r="K29" s="2">
        <v>340</v>
      </c>
      <c r="L29" t="s">
        <v>35</v>
      </c>
      <c r="M29" t="s">
        <v>29</v>
      </c>
      <c r="N29" t="s">
        <v>30</v>
      </c>
      <c r="O29">
        <v>37219</v>
      </c>
      <c r="P29" t="s">
        <v>2092</v>
      </c>
      <c r="Q29" s="2">
        <v>0.26</v>
      </c>
      <c r="R29" s="2">
        <v>60</v>
      </c>
      <c r="S29" s="2">
        <v>188</v>
      </c>
      <c r="T29" t="s">
        <v>2086</v>
      </c>
      <c r="U29" s="6">
        <v>30841</v>
      </c>
      <c r="V29" s="2">
        <v>47037010402</v>
      </c>
      <c r="W29" s="2" t="s">
        <v>837</v>
      </c>
      <c r="X29" s="1">
        <v>45658</v>
      </c>
      <c r="Y29" s="2">
        <v>93500</v>
      </c>
      <c r="Z29" s="2">
        <v>0</v>
      </c>
      <c r="AA29" s="2">
        <v>93500</v>
      </c>
    </row>
    <row r="30" spans="1:27" x14ac:dyDescent="0.3">
      <c r="A30" s="4" t="s">
        <v>1993</v>
      </c>
      <c r="B30" s="2" t="str">
        <f>"04313007900"</f>
        <v>04313007900</v>
      </c>
      <c r="C30" s="2" t="s">
        <v>2093</v>
      </c>
      <c r="D30" t="s">
        <v>866</v>
      </c>
      <c r="E30" s="2" t="s">
        <v>30</v>
      </c>
      <c r="F30" s="2">
        <v>37115</v>
      </c>
      <c r="G30" s="2" t="s">
        <v>64</v>
      </c>
      <c r="H30" t="s">
        <v>280</v>
      </c>
      <c r="I30" s="6">
        <v>42536</v>
      </c>
      <c r="J30" s="2" t="s">
        <v>2094</v>
      </c>
      <c r="K30" s="2">
        <v>0</v>
      </c>
      <c r="L30" t="s">
        <v>343</v>
      </c>
      <c r="M30" t="s">
        <v>29</v>
      </c>
      <c r="N30" t="s">
        <v>30</v>
      </c>
      <c r="O30">
        <v>37201</v>
      </c>
      <c r="P30" t="s">
        <v>2095</v>
      </c>
      <c r="Q30" s="2">
        <v>0.17</v>
      </c>
      <c r="R30" s="2">
        <v>50</v>
      </c>
      <c r="S30" s="2">
        <v>150</v>
      </c>
      <c r="T30" t="s">
        <v>2096</v>
      </c>
      <c r="U30" s="6">
        <v>13547</v>
      </c>
      <c r="V30" s="2">
        <v>47037010701</v>
      </c>
      <c r="W30" s="2" t="s">
        <v>837</v>
      </c>
      <c r="X30" s="1">
        <v>45658</v>
      </c>
      <c r="Y30" s="2">
        <v>90000</v>
      </c>
      <c r="Z30" s="2">
        <v>0</v>
      </c>
      <c r="AA30" s="2">
        <v>90000</v>
      </c>
    </row>
    <row r="31" spans="1:27" x14ac:dyDescent="0.3">
      <c r="A31" s="4" t="s">
        <v>1993</v>
      </c>
      <c r="B31" s="2" t="str">
        <f>"04313035200"</f>
        <v>04313035200</v>
      </c>
      <c r="C31" s="2" t="s">
        <v>2097</v>
      </c>
      <c r="D31" t="s">
        <v>866</v>
      </c>
      <c r="E31" s="2" t="s">
        <v>30</v>
      </c>
      <c r="F31" s="2">
        <v>37115</v>
      </c>
      <c r="G31" s="2" t="s">
        <v>64</v>
      </c>
      <c r="H31" t="s">
        <v>280</v>
      </c>
      <c r="I31" s="6">
        <v>42571</v>
      </c>
      <c r="J31" s="2" t="s">
        <v>2098</v>
      </c>
      <c r="K31" s="2">
        <v>0</v>
      </c>
      <c r="L31" t="s">
        <v>1041</v>
      </c>
      <c r="M31" t="s">
        <v>29</v>
      </c>
      <c r="N31" t="s">
        <v>30</v>
      </c>
      <c r="O31">
        <v>37201</v>
      </c>
      <c r="P31" t="s">
        <v>2099</v>
      </c>
      <c r="Q31" s="2">
        <v>0.08</v>
      </c>
      <c r="R31" s="2">
        <v>25</v>
      </c>
      <c r="S31" s="2">
        <v>150</v>
      </c>
      <c r="T31" t="s">
        <v>2100</v>
      </c>
      <c r="U31" s="6">
        <v>16364</v>
      </c>
      <c r="V31" s="2">
        <v>47037010701</v>
      </c>
      <c r="W31" s="2" t="s">
        <v>837</v>
      </c>
      <c r="X31" s="1">
        <v>45658</v>
      </c>
      <c r="Y31" s="2">
        <v>81000</v>
      </c>
      <c r="Z31" s="2">
        <v>0</v>
      </c>
      <c r="AA31" s="2">
        <v>81000</v>
      </c>
    </row>
    <row r="32" spans="1:27" x14ac:dyDescent="0.3">
      <c r="A32" s="4" t="s">
        <v>1993</v>
      </c>
      <c r="B32" s="2" t="str">
        <f>"04313035300"</f>
        <v>04313035300</v>
      </c>
      <c r="C32" s="2" t="s">
        <v>2101</v>
      </c>
      <c r="D32" t="s">
        <v>866</v>
      </c>
      <c r="E32" s="2" t="s">
        <v>30</v>
      </c>
      <c r="F32" s="2">
        <v>37115</v>
      </c>
      <c r="G32" s="2" t="s">
        <v>64</v>
      </c>
      <c r="H32" t="s">
        <v>280</v>
      </c>
      <c r="I32" s="6">
        <v>42530</v>
      </c>
      <c r="J32" s="2" t="s">
        <v>2102</v>
      </c>
      <c r="K32" s="2">
        <v>0</v>
      </c>
      <c r="L32" t="s">
        <v>35</v>
      </c>
      <c r="M32" t="s">
        <v>29</v>
      </c>
      <c r="N32" t="s">
        <v>30</v>
      </c>
      <c r="O32">
        <v>37219</v>
      </c>
      <c r="P32" t="s">
        <v>2099</v>
      </c>
      <c r="Q32" s="2">
        <v>0.08</v>
      </c>
      <c r="R32" s="2">
        <v>25</v>
      </c>
      <c r="S32" s="2">
        <v>150</v>
      </c>
      <c r="T32" t="s">
        <v>2103</v>
      </c>
      <c r="U32" s="6">
        <v>27249</v>
      </c>
      <c r="V32" s="2">
        <v>47037010701</v>
      </c>
      <c r="W32" s="2" t="s">
        <v>837</v>
      </c>
      <c r="X32" s="1">
        <v>45658</v>
      </c>
      <c r="Y32" s="2">
        <v>81000</v>
      </c>
      <c r="Z32" s="2">
        <v>0</v>
      </c>
      <c r="AA32" s="2">
        <v>81000</v>
      </c>
    </row>
    <row r="33" spans="1:27" x14ac:dyDescent="0.3">
      <c r="A33" s="4" t="s">
        <v>1993</v>
      </c>
      <c r="B33" s="2" t="str">
        <f>"04313035400"</f>
        <v>04313035400</v>
      </c>
      <c r="C33" s="2" t="s">
        <v>2104</v>
      </c>
      <c r="D33" t="s">
        <v>866</v>
      </c>
      <c r="E33" s="2" t="s">
        <v>30</v>
      </c>
      <c r="F33" s="2">
        <v>37115</v>
      </c>
      <c r="G33" s="2" t="s">
        <v>64</v>
      </c>
      <c r="H33" t="s">
        <v>280</v>
      </c>
      <c r="I33" s="6">
        <v>42965</v>
      </c>
      <c r="J33" s="2" t="s">
        <v>2105</v>
      </c>
      <c r="K33" s="2" t="s">
        <v>34</v>
      </c>
      <c r="L33" t="s">
        <v>343</v>
      </c>
      <c r="M33" t="s">
        <v>29</v>
      </c>
      <c r="N33" t="s">
        <v>30</v>
      </c>
      <c r="O33">
        <v>37201</v>
      </c>
      <c r="P33" t="s">
        <v>2106</v>
      </c>
      <c r="Q33" s="2">
        <v>0.17</v>
      </c>
      <c r="R33" s="2">
        <v>50</v>
      </c>
      <c r="S33" s="2">
        <v>150</v>
      </c>
      <c r="T33" t="s">
        <v>2107</v>
      </c>
      <c r="U33" s="6">
        <v>21718</v>
      </c>
      <c r="V33" s="2">
        <v>47037010701</v>
      </c>
      <c r="W33" s="2" t="s">
        <v>837</v>
      </c>
      <c r="X33" s="1">
        <v>45658</v>
      </c>
      <c r="Y33" s="2">
        <v>90000</v>
      </c>
      <c r="Z33" s="2">
        <v>0</v>
      </c>
      <c r="AA33" s="2">
        <v>90000</v>
      </c>
    </row>
    <row r="34" spans="1:27" x14ac:dyDescent="0.3">
      <c r="A34" s="4" t="s">
        <v>1993</v>
      </c>
      <c r="B34" s="2" t="str">
        <f>"04313035000"</f>
        <v>04313035000</v>
      </c>
      <c r="C34" s="2" t="s">
        <v>2108</v>
      </c>
      <c r="D34" t="s">
        <v>866</v>
      </c>
      <c r="E34" s="2" t="s">
        <v>30</v>
      </c>
      <c r="F34" s="2">
        <v>37115</v>
      </c>
      <c r="G34" s="2" t="s">
        <v>64</v>
      </c>
      <c r="H34" t="s">
        <v>280</v>
      </c>
      <c r="I34" s="6">
        <v>42557</v>
      </c>
      <c r="J34" s="2" t="s">
        <v>2109</v>
      </c>
      <c r="K34" s="2">
        <v>0</v>
      </c>
      <c r="L34" t="s">
        <v>1041</v>
      </c>
      <c r="M34" t="s">
        <v>29</v>
      </c>
      <c r="N34" t="s">
        <v>30</v>
      </c>
      <c r="O34">
        <v>37201</v>
      </c>
      <c r="P34" t="s">
        <v>2110</v>
      </c>
      <c r="Q34" s="2">
        <v>7.0000000000000007E-2</v>
      </c>
      <c r="R34" s="2">
        <v>50</v>
      </c>
      <c r="S34" s="2">
        <v>50</v>
      </c>
      <c r="T34" t="s">
        <v>2111</v>
      </c>
      <c r="U34" s="6">
        <v>23422</v>
      </c>
      <c r="V34" s="2">
        <v>47037010701</v>
      </c>
      <c r="W34" s="2" t="s">
        <v>837</v>
      </c>
      <c r="X34" s="1">
        <v>45658</v>
      </c>
      <c r="Y34" s="2">
        <v>81000</v>
      </c>
      <c r="Z34" s="2">
        <v>0</v>
      </c>
      <c r="AA34" s="2">
        <v>81000</v>
      </c>
    </row>
    <row r="35" spans="1:27" x14ac:dyDescent="0.3">
      <c r="A35" s="4" t="s">
        <v>1993</v>
      </c>
      <c r="B35" s="2" t="str">
        <f>"04313030400"</f>
        <v>04313030400</v>
      </c>
      <c r="C35" s="2" t="s">
        <v>2112</v>
      </c>
      <c r="D35" t="s">
        <v>866</v>
      </c>
      <c r="E35" s="2" t="s">
        <v>30</v>
      </c>
      <c r="F35" s="2">
        <v>37115</v>
      </c>
      <c r="G35" s="2" t="s">
        <v>77</v>
      </c>
      <c r="H35" t="s">
        <v>280</v>
      </c>
      <c r="I35" s="6">
        <v>45666</v>
      </c>
      <c r="J35" s="2" t="s">
        <v>2113</v>
      </c>
      <c r="K35" s="2" t="s">
        <v>34</v>
      </c>
      <c r="L35" t="s">
        <v>315</v>
      </c>
      <c r="M35" t="s">
        <v>29</v>
      </c>
      <c r="N35" t="s">
        <v>30</v>
      </c>
      <c r="O35">
        <v>37208</v>
      </c>
      <c r="P35" t="s">
        <v>2114</v>
      </c>
      <c r="Q35" s="2">
        <v>0.17</v>
      </c>
      <c r="R35" s="2">
        <v>50</v>
      </c>
      <c r="S35" s="2">
        <v>164</v>
      </c>
      <c r="T35" t="s">
        <v>2115</v>
      </c>
      <c r="U35" s="6">
        <v>27155</v>
      </c>
      <c r="V35" s="2">
        <v>47037010701</v>
      </c>
      <c r="W35" s="2" t="s">
        <v>837</v>
      </c>
      <c r="X35" s="1">
        <v>45658</v>
      </c>
      <c r="Y35" s="2">
        <v>273000</v>
      </c>
      <c r="Z35" s="2">
        <v>205500</v>
      </c>
      <c r="AA35" s="2">
        <v>67500</v>
      </c>
    </row>
    <row r="36" spans="1:27" x14ac:dyDescent="0.3">
      <c r="A36" s="4" t="s">
        <v>1993</v>
      </c>
      <c r="B36" s="2" t="str">
        <f>"05201010900"</f>
        <v>05201010900</v>
      </c>
      <c r="C36" s="2" t="s">
        <v>2116</v>
      </c>
      <c r="D36" t="s">
        <v>866</v>
      </c>
      <c r="E36" s="2" t="s">
        <v>30</v>
      </c>
      <c r="F36" s="2">
        <v>37115</v>
      </c>
      <c r="G36" s="2" t="s">
        <v>64</v>
      </c>
      <c r="H36" t="s">
        <v>280</v>
      </c>
      <c r="I36" s="6">
        <v>42524</v>
      </c>
      <c r="J36" s="2" t="s">
        <v>2117</v>
      </c>
      <c r="K36" s="2">
        <v>0</v>
      </c>
      <c r="L36" t="s">
        <v>35</v>
      </c>
      <c r="M36" t="s">
        <v>29</v>
      </c>
      <c r="N36" t="s">
        <v>30</v>
      </c>
      <c r="O36">
        <v>37219</v>
      </c>
      <c r="P36" t="s">
        <v>2118</v>
      </c>
      <c r="Q36" s="2">
        <v>0.28999999999999998</v>
      </c>
      <c r="R36" s="2">
        <v>75</v>
      </c>
      <c r="S36" s="2">
        <v>165</v>
      </c>
      <c r="T36" t="s">
        <v>1997</v>
      </c>
      <c r="U36" s="6">
        <v>33750</v>
      </c>
      <c r="V36" s="2">
        <v>47037010701</v>
      </c>
      <c r="W36" s="2" t="s">
        <v>837</v>
      </c>
      <c r="X36" s="1">
        <v>45658</v>
      </c>
      <c r="Y36" s="2">
        <v>5200</v>
      </c>
      <c r="Z36" s="2">
        <v>0</v>
      </c>
      <c r="AA36" s="2">
        <v>5200</v>
      </c>
    </row>
    <row r="37" spans="1:27" x14ac:dyDescent="0.3">
      <c r="A37" s="4" t="s">
        <v>1993</v>
      </c>
      <c r="B37" s="2" t="str">
        <f>"05201010800"</f>
        <v>05201010800</v>
      </c>
      <c r="C37" s="2" t="s">
        <v>2119</v>
      </c>
      <c r="D37" t="s">
        <v>866</v>
      </c>
      <c r="E37" s="2" t="s">
        <v>30</v>
      </c>
      <c r="F37" s="2">
        <v>37115</v>
      </c>
      <c r="G37" s="2" t="s">
        <v>64</v>
      </c>
      <c r="H37" t="s">
        <v>280</v>
      </c>
      <c r="I37" s="6">
        <v>42556</v>
      </c>
      <c r="J37" s="2" t="s">
        <v>2120</v>
      </c>
      <c r="K37" s="2">
        <v>0</v>
      </c>
      <c r="L37" t="s">
        <v>343</v>
      </c>
      <c r="M37" t="s">
        <v>29</v>
      </c>
      <c r="N37" t="s">
        <v>30</v>
      </c>
      <c r="O37">
        <v>37201</v>
      </c>
      <c r="P37" t="s">
        <v>2121</v>
      </c>
      <c r="Q37" s="2">
        <v>0.35</v>
      </c>
      <c r="R37" s="2">
        <v>83</v>
      </c>
      <c r="S37" s="2">
        <v>165</v>
      </c>
      <c r="T37" t="s">
        <v>1997</v>
      </c>
      <c r="U37" s="6">
        <v>33750</v>
      </c>
      <c r="V37" s="2">
        <v>47037010701</v>
      </c>
      <c r="W37" s="2" t="s">
        <v>837</v>
      </c>
      <c r="X37" s="1">
        <v>45658</v>
      </c>
      <c r="Y37" s="2">
        <v>5200</v>
      </c>
      <c r="Z37" s="2">
        <v>0</v>
      </c>
      <c r="AA37" s="2">
        <v>5200</v>
      </c>
    </row>
    <row r="38" spans="1:27" x14ac:dyDescent="0.3">
      <c r="A38" s="4" t="s">
        <v>1993</v>
      </c>
      <c r="B38" s="2" t="str">
        <f>"05201010600"</f>
        <v>05201010600</v>
      </c>
      <c r="C38" s="2" t="s">
        <v>2122</v>
      </c>
      <c r="D38" t="s">
        <v>866</v>
      </c>
      <c r="E38" s="2" t="s">
        <v>30</v>
      </c>
      <c r="F38" s="2">
        <v>37115</v>
      </c>
      <c r="G38" s="2" t="s">
        <v>64</v>
      </c>
      <c r="H38" t="s">
        <v>280</v>
      </c>
      <c r="I38" s="6">
        <v>42530</v>
      </c>
      <c r="J38" s="2" t="s">
        <v>2123</v>
      </c>
      <c r="K38" s="2">
        <v>0</v>
      </c>
      <c r="L38" t="s">
        <v>343</v>
      </c>
      <c r="M38" t="s">
        <v>29</v>
      </c>
      <c r="N38" t="s">
        <v>30</v>
      </c>
      <c r="O38">
        <v>37201</v>
      </c>
      <c r="P38" t="s">
        <v>2124</v>
      </c>
      <c r="Q38" s="2">
        <v>0.35</v>
      </c>
      <c r="R38" s="2">
        <v>83</v>
      </c>
      <c r="S38" s="2">
        <v>165</v>
      </c>
      <c r="T38" t="s">
        <v>1997</v>
      </c>
      <c r="U38" s="6">
        <v>33750</v>
      </c>
      <c r="V38" s="2">
        <v>47037010701</v>
      </c>
      <c r="W38" s="2" t="s">
        <v>837</v>
      </c>
      <c r="X38" s="1">
        <v>45658</v>
      </c>
      <c r="Y38" s="2">
        <v>5200</v>
      </c>
      <c r="Z38" s="2">
        <v>0</v>
      </c>
      <c r="AA38" s="2">
        <v>5200</v>
      </c>
    </row>
    <row r="39" spans="1:27" x14ac:dyDescent="0.3">
      <c r="A39" s="4" t="s">
        <v>1993</v>
      </c>
      <c r="B39" s="2" t="str">
        <f>"05207005000"</f>
        <v>05207005000</v>
      </c>
      <c r="C39" s="2" t="s">
        <v>2125</v>
      </c>
      <c r="D39" t="s">
        <v>866</v>
      </c>
      <c r="E39" s="2" t="s">
        <v>30</v>
      </c>
      <c r="F39" s="2">
        <v>37115</v>
      </c>
      <c r="G39" s="2" t="s">
        <v>64</v>
      </c>
      <c r="H39" t="s">
        <v>280</v>
      </c>
      <c r="I39" s="6">
        <v>41424</v>
      </c>
      <c r="J39" s="2" t="s">
        <v>2126</v>
      </c>
      <c r="K39" s="2">
        <v>0</v>
      </c>
      <c r="L39" t="s">
        <v>35</v>
      </c>
      <c r="M39" t="s">
        <v>29</v>
      </c>
      <c r="N39" t="s">
        <v>30</v>
      </c>
      <c r="O39">
        <v>37219</v>
      </c>
      <c r="P39" t="s">
        <v>2127</v>
      </c>
      <c r="Q39" s="2">
        <v>1.02</v>
      </c>
      <c r="R39" s="2">
        <v>115</v>
      </c>
      <c r="S39" s="2">
        <v>370</v>
      </c>
      <c r="T39" t="s">
        <v>2128</v>
      </c>
      <c r="U39" s="6">
        <v>22103</v>
      </c>
      <c r="V39" s="2">
        <v>47037010601</v>
      </c>
      <c r="W39" s="2" t="s">
        <v>38</v>
      </c>
      <c r="X39" s="1">
        <v>45658</v>
      </c>
      <c r="Y39" s="2">
        <v>74300</v>
      </c>
      <c r="Z39" s="2">
        <v>0</v>
      </c>
      <c r="AA39" s="2">
        <v>74300</v>
      </c>
    </row>
    <row r="40" spans="1:27" x14ac:dyDescent="0.3">
      <c r="A40" s="4" t="s">
        <v>1993</v>
      </c>
      <c r="B40" s="2" t="str">
        <f>"05207005200"</f>
        <v>05207005200</v>
      </c>
      <c r="C40" s="2" t="s">
        <v>2129</v>
      </c>
      <c r="D40" t="s">
        <v>866</v>
      </c>
      <c r="E40" s="2" t="s">
        <v>30</v>
      </c>
      <c r="F40" s="2">
        <v>37115</v>
      </c>
      <c r="G40" s="2" t="s">
        <v>64</v>
      </c>
      <c r="H40" t="s">
        <v>280</v>
      </c>
      <c r="I40" s="6">
        <v>41705</v>
      </c>
      <c r="J40" s="2" t="s">
        <v>2130</v>
      </c>
      <c r="K40" s="2">
        <v>0</v>
      </c>
      <c r="L40" t="s">
        <v>35</v>
      </c>
      <c r="M40" t="s">
        <v>29</v>
      </c>
      <c r="N40" t="s">
        <v>30</v>
      </c>
      <c r="O40">
        <v>37219</v>
      </c>
      <c r="P40" t="s">
        <v>2131</v>
      </c>
      <c r="Q40" s="2">
        <v>1.24</v>
      </c>
      <c r="R40" s="2">
        <v>206</v>
      </c>
      <c r="S40" s="2">
        <v>324</v>
      </c>
      <c r="T40" t="s">
        <v>2132</v>
      </c>
      <c r="U40" s="6">
        <v>20410</v>
      </c>
      <c r="V40" s="2">
        <v>47037010601</v>
      </c>
      <c r="W40" s="2" t="s">
        <v>38</v>
      </c>
      <c r="X40" s="1">
        <v>45658</v>
      </c>
      <c r="Y40" s="2">
        <v>144000</v>
      </c>
      <c r="Z40" s="2">
        <v>0</v>
      </c>
      <c r="AA40" s="2">
        <v>144000</v>
      </c>
    </row>
    <row r="41" spans="1:27" x14ac:dyDescent="0.3">
      <c r="A41" s="4" t="s">
        <v>1993</v>
      </c>
      <c r="B41" s="2" t="str">
        <f>"05211003800"</f>
        <v>05211003800</v>
      </c>
      <c r="C41" s="2" t="s">
        <v>2133</v>
      </c>
      <c r="D41" t="s">
        <v>866</v>
      </c>
      <c r="E41" s="2" t="s">
        <v>30</v>
      </c>
      <c r="F41" s="2">
        <v>37115</v>
      </c>
      <c r="G41" s="2" t="s">
        <v>64</v>
      </c>
      <c r="H41" t="s">
        <v>280</v>
      </c>
      <c r="I41" s="6">
        <v>41403</v>
      </c>
      <c r="J41" s="2" t="s">
        <v>2134</v>
      </c>
      <c r="K41" s="2" t="s">
        <v>34</v>
      </c>
      <c r="L41" t="s">
        <v>35</v>
      </c>
      <c r="M41" t="s">
        <v>29</v>
      </c>
      <c r="N41" t="s">
        <v>30</v>
      </c>
      <c r="O41">
        <v>37219</v>
      </c>
      <c r="P41" t="s">
        <v>2135</v>
      </c>
      <c r="Q41" s="2">
        <v>0.8</v>
      </c>
      <c r="R41" s="2">
        <v>110</v>
      </c>
      <c r="S41" s="2">
        <v>328</v>
      </c>
      <c r="T41" t="s">
        <v>2136</v>
      </c>
      <c r="U41" s="6">
        <v>25359</v>
      </c>
      <c r="V41" s="2">
        <v>47037010601</v>
      </c>
      <c r="W41" s="2" t="s">
        <v>38</v>
      </c>
      <c r="X41" s="1">
        <v>45658</v>
      </c>
      <c r="Y41" s="2">
        <v>129600</v>
      </c>
      <c r="Z41" s="2">
        <v>0</v>
      </c>
      <c r="AA41" s="2">
        <v>129600</v>
      </c>
    </row>
    <row r="42" spans="1:27" x14ac:dyDescent="0.3">
      <c r="A42" s="4" t="s">
        <v>1993</v>
      </c>
      <c r="B42" s="2" t="str">
        <f>"05216011000"</f>
        <v>05216011000</v>
      </c>
      <c r="C42" s="2" t="s">
        <v>2137</v>
      </c>
      <c r="D42" t="s">
        <v>866</v>
      </c>
      <c r="E42" s="2" t="s">
        <v>30</v>
      </c>
      <c r="F42" s="2">
        <v>37115</v>
      </c>
      <c r="G42" s="2" t="s">
        <v>64</v>
      </c>
      <c r="H42" t="s">
        <v>280</v>
      </c>
      <c r="I42" s="6">
        <v>25118</v>
      </c>
      <c r="J42" s="2" t="s">
        <v>2138</v>
      </c>
      <c r="K42" s="2">
        <v>0</v>
      </c>
      <c r="L42" t="s">
        <v>35</v>
      </c>
      <c r="M42" t="s">
        <v>29</v>
      </c>
      <c r="N42" t="s">
        <v>30</v>
      </c>
      <c r="O42">
        <v>37219</v>
      </c>
      <c r="P42" t="s">
        <v>2139</v>
      </c>
      <c r="Q42" s="2">
        <v>1.2</v>
      </c>
      <c r="R42" s="2">
        <v>0</v>
      </c>
      <c r="S42" s="2">
        <v>0</v>
      </c>
      <c r="T42" t="s">
        <v>2138</v>
      </c>
      <c r="U42" s="6">
        <v>25118</v>
      </c>
      <c r="V42" s="2">
        <v>47037010601</v>
      </c>
      <c r="W42" s="2" t="s">
        <v>38</v>
      </c>
      <c r="X42" s="1">
        <v>45658</v>
      </c>
      <c r="Y42" s="2">
        <v>125000</v>
      </c>
      <c r="Z42" s="2">
        <v>0</v>
      </c>
      <c r="AA42" s="2">
        <v>125000</v>
      </c>
    </row>
    <row r="43" spans="1:27" x14ac:dyDescent="0.3">
      <c r="A43" s="4" t="s">
        <v>1993</v>
      </c>
      <c r="B43" s="2" t="str">
        <f>"05305003500"</f>
        <v>05305003500</v>
      </c>
      <c r="C43" s="2" t="s">
        <v>2140</v>
      </c>
      <c r="D43" t="s">
        <v>866</v>
      </c>
      <c r="E43" s="2" t="s">
        <v>30</v>
      </c>
      <c r="F43" s="2">
        <v>37115</v>
      </c>
      <c r="G43" s="2" t="s">
        <v>64</v>
      </c>
      <c r="H43" t="s">
        <v>280</v>
      </c>
      <c r="I43" s="6">
        <v>43368</v>
      </c>
      <c r="J43" s="2" t="s">
        <v>2141</v>
      </c>
      <c r="K43" s="2">
        <v>0</v>
      </c>
      <c r="L43" t="s">
        <v>343</v>
      </c>
      <c r="M43" t="s">
        <v>29</v>
      </c>
      <c r="N43" t="s">
        <v>30</v>
      </c>
      <c r="O43">
        <v>37201</v>
      </c>
      <c r="P43" t="s">
        <v>2142</v>
      </c>
      <c r="Q43" s="2">
        <v>0.46</v>
      </c>
      <c r="R43" s="2">
        <v>133</v>
      </c>
      <c r="S43" s="2">
        <v>260</v>
      </c>
      <c r="T43" t="s">
        <v>2143</v>
      </c>
      <c r="U43" s="6">
        <v>26134</v>
      </c>
      <c r="V43" s="2">
        <v>47037010601</v>
      </c>
      <c r="W43" s="2" t="s">
        <v>38</v>
      </c>
      <c r="X43" s="1">
        <v>45658</v>
      </c>
      <c r="Y43" s="2">
        <v>105000</v>
      </c>
      <c r="Z43" s="2">
        <v>0</v>
      </c>
      <c r="AA43" s="2">
        <v>105000</v>
      </c>
    </row>
    <row r="44" spans="1:27" x14ac:dyDescent="0.3">
      <c r="A44" s="4" t="s">
        <v>1993</v>
      </c>
      <c r="B44" s="2" t="str">
        <f>"04313030300"</f>
        <v>04313030300</v>
      </c>
      <c r="C44" s="2" t="s">
        <v>2108</v>
      </c>
      <c r="D44" t="s">
        <v>866</v>
      </c>
      <c r="E44" s="2" t="s">
        <v>30</v>
      </c>
      <c r="F44" s="2">
        <v>37115</v>
      </c>
      <c r="G44" s="2" t="s">
        <v>64</v>
      </c>
      <c r="H44" t="s">
        <v>280</v>
      </c>
      <c r="I44" s="6">
        <v>45666</v>
      </c>
      <c r="J44" s="2" t="s">
        <v>2113</v>
      </c>
      <c r="K44" s="2" t="s">
        <v>34</v>
      </c>
      <c r="L44" t="s">
        <v>315</v>
      </c>
      <c r="M44" t="s">
        <v>29</v>
      </c>
      <c r="N44" t="s">
        <v>30</v>
      </c>
      <c r="O44">
        <v>37208</v>
      </c>
      <c r="P44" t="s">
        <v>2144</v>
      </c>
      <c r="Q44" s="2">
        <v>0.18</v>
      </c>
      <c r="R44" s="2">
        <v>15</v>
      </c>
      <c r="S44" s="2">
        <v>164</v>
      </c>
      <c r="T44" t="s">
        <v>2145</v>
      </c>
      <c r="U44" s="6">
        <v>26578</v>
      </c>
      <c r="V44" s="2">
        <v>47037010701</v>
      </c>
      <c r="W44" s="2" t="s">
        <v>837</v>
      </c>
      <c r="X44" s="1">
        <v>45658</v>
      </c>
      <c r="Y44" s="2">
        <v>45000</v>
      </c>
      <c r="Z44" s="2">
        <v>0</v>
      </c>
      <c r="AA44" s="2">
        <v>45000</v>
      </c>
    </row>
    <row r="45" spans="1:27" x14ac:dyDescent="0.3">
      <c r="A45" s="4" t="s">
        <v>1993</v>
      </c>
      <c r="B45" s="2" t="str">
        <f>"04313026200"</f>
        <v>04313026200</v>
      </c>
      <c r="C45" s="2" t="s">
        <v>2146</v>
      </c>
      <c r="D45" t="s">
        <v>866</v>
      </c>
      <c r="E45" s="2" t="s">
        <v>30</v>
      </c>
      <c r="F45" s="2">
        <v>37115</v>
      </c>
      <c r="G45" s="2" t="s">
        <v>64</v>
      </c>
      <c r="H45" t="s">
        <v>280</v>
      </c>
      <c r="I45" s="6">
        <v>42115</v>
      </c>
      <c r="J45" s="2" t="s">
        <v>2147</v>
      </c>
      <c r="K45" s="2">
        <v>0</v>
      </c>
      <c r="L45" t="s">
        <v>35</v>
      </c>
      <c r="M45" t="s">
        <v>29</v>
      </c>
      <c r="N45" t="s">
        <v>30</v>
      </c>
      <c r="O45">
        <v>37219</v>
      </c>
      <c r="P45" t="s">
        <v>2148</v>
      </c>
      <c r="Q45" s="2">
        <v>0.16</v>
      </c>
      <c r="R45" s="2">
        <v>30</v>
      </c>
      <c r="S45" s="2">
        <v>140</v>
      </c>
      <c r="T45" t="s">
        <v>2149</v>
      </c>
      <c r="U45" s="6">
        <v>18924</v>
      </c>
      <c r="V45" s="2">
        <v>47037010701</v>
      </c>
      <c r="W45" s="2" t="s">
        <v>837</v>
      </c>
      <c r="X45" s="1">
        <v>45658</v>
      </c>
      <c r="Y45" s="2">
        <v>13500</v>
      </c>
      <c r="Z45" s="2">
        <v>0</v>
      </c>
      <c r="AA45" s="2">
        <v>13500</v>
      </c>
    </row>
    <row r="46" spans="1:27" x14ac:dyDescent="0.3">
      <c r="A46" s="4" t="s">
        <v>1993</v>
      </c>
      <c r="B46" s="2" t="str">
        <f>"05201006900"</f>
        <v>05201006900</v>
      </c>
      <c r="C46" s="2" t="s">
        <v>2150</v>
      </c>
      <c r="D46" t="s">
        <v>866</v>
      </c>
      <c r="E46" s="2" t="s">
        <v>30</v>
      </c>
      <c r="F46" s="2">
        <v>37115</v>
      </c>
      <c r="G46" s="2" t="s">
        <v>194</v>
      </c>
      <c r="H46" t="s">
        <v>280</v>
      </c>
      <c r="I46" s="6">
        <v>43609</v>
      </c>
      <c r="J46" s="2" t="s">
        <v>2151</v>
      </c>
      <c r="K46" s="2">
        <v>0</v>
      </c>
      <c r="L46" t="s">
        <v>315</v>
      </c>
      <c r="M46" t="s">
        <v>29</v>
      </c>
      <c r="N46" t="s">
        <v>30</v>
      </c>
      <c r="O46">
        <v>37208</v>
      </c>
      <c r="P46" t="s">
        <v>2152</v>
      </c>
      <c r="Q46" s="2">
        <v>0.2</v>
      </c>
      <c r="R46" s="2">
        <v>75</v>
      </c>
      <c r="S46" s="2">
        <v>128</v>
      </c>
      <c r="T46" t="s">
        <v>2153</v>
      </c>
      <c r="U46" s="6">
        <v>32422</v>
      </c>
      <c r="V46" s="2">
        <v>47037010701</v>
      </c>
      <c r="W46" s="2" t="s">
        <v>837</v>
      </c>
      <c r="X46" s="1">
        <v>45658</v>
      </c>
      <c r="Y46" s="2">
        <v>4500</v>
      </c>
      <c r="Z46" s="2">
        <v>0</v>
      </c>
      <c r="AA46" s="2">
        <v>4500</v>
      </c>
    </row>
    <row r="47" spans="1:27" x14ac:dyDescent="0.3">
      <c r="A47" s="4" t="s">
        <v>1993</v>
      </c>
      <c r="B47" s="2" t="str">
        <f>"05201006800"</f>
        <v>05201006800</v>
      </c>
      <c r="C47" s="2" t="s">
        <v>2150</v>
      </c>
      <c r="D47" t="s">
        <v>866</v>
      </c>
      <c r="E47" s="2" t="s">
        <v>30</v>
      </c>
      <c r="F47" s="2">
        <v>37115</v>
      </c>
      <c r="G47" s="2" t="s">
        <v>64</v>
      </c>
      <c r="H47" t="s">
        <v>280</v>
      </c>
      <c r="I47" s="6">
        <v>43609</v>
      </c>
      <c r="J47" s="2" t="s">
        <v>2151</v>
      </c>
      <c r="K47" s="2">
        <v>0</v>
      </c>
      <c r="L47" t="s">
        <v>315</v>
      </c>
      <c r="M47" t="s">
        <v>29</v>
      </c>
      <c r="N47" t="s">
        <v>30</v>
      </c>
      <c r="O47">
        <v>37208</v>
      </c>
      <c r="P47" t="s">
        <v>2154</v>
      </c>
      <c r="Q47" s="2">
        <v>0.15</v>
      </c>
      <c r="R47" s="2">
        <v>50</v>
      </c>
      <c r="S47" s="2">
        <v>135</v>
      </c>
      <c r="T47" t="s">
        <v>2155</v>
      </c>
      <c r="U47" s="6">
        <v>19784</v>
      </c>
      <c r="V47" s="2">
        <v>47037010701</v>
      </c>
      <c r="W47" s="2" t="s">
        <v>837</v>
      </c>
      <c r="X47" s="1">
        <v>45658</v>
      </c>
      <c r="Y47" s="2">
        <v>4500</v>
      </c>
      <c r="Z47" s="2">
        <v>0</v>
      </c>
      <c r="AA47" s="2">
        <v>4500</v>
      </c>
    </row>
    <row r="48" spans="1:27" x14ac:dyDescent="0.3">
      <c r="A48" s="4" t="s">
        <v>1993</v>
      </c>
      <c r="B48" s="2" t="str">
        <f>"05201008000"</f>
        <v>05201008000</v>
      </c>
      <c r="C48" s="2" t="s">
        <v>2156</v>
      </c>
      <c r="D48" t="s">
        <v>866</v>
      </c>
      <c r="E48" s="2" t="s">
        <v>30</v>
      </c>
      <c r="F48" s="2">
        <v>37115</v>
      </c>
      <c r="G48" s="2" t="s">
        <v>64</v>
      </c>
      <c r="H48" t="s">
        <v>280</v>
      </c>
      <c r="I48" s="6">
        <v>42572</v>
      </c>
      <c r="J48" s="2" t="s">
        <v>2157</v>
      </c>
      <c r="K48" s="2">
        <v>0</v>
      </c>
      <c r="L48" t="s">
        <v>1041</v>
      </c>
      <c r="M48" t="s">
        <v>29</v>
      </c>
      <c r="N48" t="s">
        <v>30</v>
      </c>
      <c r="O48">
        <v>37201</v>
      </c>
      <c r="P48" t="s">
        <v>2158</v>
      </c>
      <c r="Q48" s="2">
        <v>0.22</v>
      </c>
      <c r="R48" s="2">
        <v>50</v>
      </c>
      <c r="S48" s="2">
        <v>195</v>
      </c>
      <c r="T48" t="s">
        <v>2159</v>
      </c>
      <c r="U48" s="6">
        <v>17630</v>
      </c>
      <c r="V48" s="2">
        <v>47037010701</v>
      </c>
      <c r="W48" s="2" t="s">
        <v>837</v>
      </c>
      <c r="X48" s="1">
        <v>45658</v>
      </c>
      <c r="Y48" s="2">
        <v>51800</v>
      </c>
      <c r="Z48" s="2">
        <v>0</v>
      </c>
      <c r="AA48" s="2">
        <v>51800</v>
      </c>
    </row>
    <row r="49" spans="1:27" x14ac:dyDescent="0.3">
      <c r="A49" s="4" t="s">
        <v>1993</v>
      </c>
      <c r="B49" s="2" t="str">
        <f>"06200009700"</f>
        <v>06200009700</v>
      </c>
      <c r="C49" s="2" t="s">
        <v>2160</v>
      </c>
      <c r="D49" t="s">
        <v>866</v>
      </c>
      <c r="E49" s="2" t="s">
        <v>30</v>
      </c>
      <c r="F49" s="2">
        <v>37115</v>
      </c>
      <c r="G49" s="2" t="s">
        <v>64</v>
      </c>
      <c r="H49" t="s">
        <v>280</v>
      </c>
      <c r="I49" s="6">
        <v>31726</v>
      </c>
      <c r="J49" s="2" t="s">
        <v>2161</v>
      </c>
      <c r="K49" s="2">
        <v>11900</v>
      </c>
      <c r="L49" t="s">
        <v>35</v>
      </c>
      <c r="M49" t="s">
        <v>29</v>
      </c>
      <c r="N49" t="s">
        <v>30</v>
      </c>
      <c r="O49">
        <v>37219</v>
      </c>
      <c r="P49" t="s">
        <v>2162</v>
      </c>
      <c r="Q49" s="2">
        <v>1.2</v>
      </c>
      <c r="R49" s="2">
        <v>138</v>
      </c>
      <c r="S49" s="2">
        <v>329</v>
      </c>
      <c r="T49" t="s">
        <v>2163</v>
      </c>
      <c r="U49" s="6">
        <v>24762</v>
      </c>
      <c r="V49" s="2">
        <v>47037010601</v>
      </c>
      <c r="W49" s="2" t="s">
        <v>38</v>
      </c>
      <c r="X49" s="1">
        <v>45658</v>
      </c>
      <c r="Y49" s="2">
        <v>25000</v>
      </c>
      <c r="Z49" s="2">
        <v>0</v>
      </c>
      <c r="AA49" s="2">
        <v>25000</v>
      </c>
    </row>
    <row r="50" spans="1:27" x14ac:dyDescent="0.3">
      <c r="A50" s="4" t="s">
        <v>1993</v>
      </c>
      <c r="B50" s="2" t="str">
        <f>"04301008300"</f>
        <v>04301008300</v>
      </c>
      <c r="C50" s="2" t="s">
        <v>2164</v>
      </c>
      <c r="D50" t="s">
        <v>866</v>
      </c>
      <c r="E50" s="2" t="s">
        <v>30</v>
      </c>
      <c r="F50" s="2">
        <v>37115</v>
      </c>
      <c r="G50" s="2" t="s">
        <v>64</v>
      </c>
      <c r="H50" t="s">
        <v>280</v>
      </c>
      <c r="I50" s="6">
        <v>41355</v>
      </c>
      <c r="J50" s="2" t="s">
        <v>2165</v>
      </c>
      <c r="K50" s="2">
        <v>0</v>
      </c>
      <c r="L50" t="s">
        <v>35</v>
      </c>
      <c r="M50" t="s">
        <v>29</v>
      </c>
      <c r="N50" t="s">
        <v>30</v>
      </c>
      <c r="O50">
        <v>37219</v>
      </c>
      <c r="P50" t="s">
        <v>2166</v>
      </c>
      <c r="Q50" s="2">
        <v>0.34</v>
      </c>
      <c r="R50" s="2">
        <v>132</v>
      </c>
      <c r="S50" s="2">
        <v>135</v>
      </c>
      <c r="T50" t="s">
        <v>2167</v>
      </c>
      <c r="U50" s="6">
        <v>20516</v>
      </c>
      <c r="V50" s="2">
        <v>47037010401</v>
      </c>
      <c r="W50" s="2" t="s">
        <v>837</v>
      </c>
      <c r="X50" s="1">
        <v>45658</v>
      </c>
      <c r="Y50" s="2">
        <v>93500</v>
      </c>
      <c r="Z50" s="2">
        <v>0</v>
      </c>
      <c r="AA50" s="2">
        <v>93500</v>
      </c>
    </row>
    <row r="51" spans="1:27" x14ac:dyDescent="0.3">
      <c r="A51" s="4" t="s">
        <v>1993</v>
      </c>
      <c r="B51" s="2" t="str">
        <f>"05201006500"</f>
        <v>05201006500</v>
      </c>
      <c r="C51" s="2" t="s">
        <v>2168</v>
      </c>
      <c r="D51" t="s">
        <v>866</v>
      </c>
      <c r="E51" s="2" t="s">
        <v>30</v>
      </c>
      <c r="F51" s="2">
        <v>37115</v>
      </c>
      <c r="G51" s="2" t="s">
        <v>64</v>
      </c>
      <c r="H51" t="s">
        <v>280</v>
      </c>
      <c r="I51" s="6">
        <v>43018</v>
      </c>
      <c r="J51" s="2" t="s">
        <v>2169</v>
      </c>
      <c r="K51" s="2" t="s">
        <v>34</v>
      </c>
      <c r="L51" t="s">
        <v>343</v>
      </c>
      <c r="M51" t="s">
        <v>29</v>
      </c>
      <c r="N51" t="s">
        <v>30</v>
      </c>
      <c r="O51">
        <v>37201</v>
      </c>
      <c r="P51" t="s">
        <v>2170</v>
      </c>
      <c r="Q51" s="2">
        <v>0.18</v>
      </c>
      <c r="R51" s="2">
        <v>50</v>
      </c>
      <c r="S51" s="2">
        <v>160</v>
      </c>
      <c r="T51" t="s">
        <v>2171</v>
      </c>
      <c r="U51" s="6">
        <v>23700</v>
      </c>
      <c r="V51" s="2">
        <v>47037010701</v>
      </c>
      <c r="W51" s="2" t="s">
        <v>837</v>
      </c>
      <c r="X51" s="1">
        <v>45658</v>
      </c>
      <c r="Y51" s="2">
        <v>90000</v>
      </c>
      <c r="Z51" s="2">
        <v>0</v>
      </c>
      <c r="AA51" s="2">
        <v>90000</v>
      </c>
    </row>
    <row r="52" spans="1:27" x14ac:dyDescent="0.3">
      <c r="A52" s="4" t="s">
        <v>1993</v>
      </c>
      <c r="B52" s="2" t="str">
        <f>"05201008400"</f>
        <v>05201008400</v>
      </c>
      <c r="C52" s="2" t="s">
        <v>2172</v>
      </c>
      <c r="D52" t="s">
        <v>866</v>
      </c>
      <c r="E52" s="2" t="s">
        <v>30</v>
      </c>
      <c r="F52" s="2">
        <v>37115</v>
      </c>
      <c r="G52" s="2" t="s">
        <v>64</v>
      </c>
      <c r="H52" t="s">
        <v>280</v>
      </c>
      <c r="I52" s="6">
        <v>42509</v>
      </c>
      <c r="J52" s="2" t="s">
        <v>2173</v>
      </c>
      <c r="K52" s="2">
        <v>0</v>
      </c>
      <c r="L52" t="s">
        <v>35</v>
      </c>
      <c r="M52" t="s">
        <v>29</v>
      </c>
      <c r="N52" t="s">
        <v>30</v>
      </c>
      <c r="O52">
        <v>37219</v>
      </c>
      <c r="P52" t="s">
        <v>2174</v>
      </c>
      <c r="Q52" s="2">
        <v>0.38</v>
      </c>
      <c r="R52" s="2">
        <v>100</v>
      </c>
      <c r="S52" s="2">
        <v>165</v>
      </c>
      <c r="T52" t="s">
        <v>2175</v>
      </c>
      <c r="U52" s="6">
        <v>41969</v>
      </c>
      <c r="V52" s="2">
        <v>47037010701</v>
      </c>
      <c r="W52" s="2" t="s">
        <v>837</v>
      </c>
      <c r="X52" s="1">
        <v>45658</v>
      </c>
      <c r="Y52" s="2">
        <v>62100</v>
      </c>
      <c r="Z52" s="2">
        <v>0</v>
      </c>
      <c r="AA52" s="2">
        <v>62100</v>
      </c>
    </row>
    <row r="53" spans="1:27" x14ac:dyDescent="0.3">
      <c r="A53" s="4" t="s">
        <v>1993</v>
      </c>
      <c r="B53" s="2" t="str">
        <f>"04301014800"</f>
        <v>04301014800</v>
      </c>
      <c r="C53" s="2" t="s">
        <v>2176</v>
      </c>
      <c r="D53" t="s">
        <v>866</v>
      </c>
      <c r="E53" s="2" t="s">
        <v>30</v>
      </c>
      <c r="F53" s="2">
        <v>37115</v>
      </c>
      <c r="G53" s="2" t="s">
        <v>64</v>
      </c>
      <c r="H53" t="s">
        <v>280</v>
      </c>
      <c r="I53" s="6">
        <v>41495</v>
      </c>
      <c r="J53" s="2" t="s">
        <v>2177</v>
      </c>
      <c r="K53" s="2">
        <v>0</v>
      </c>
      <c r="L53" t="s">
        <v>35</v>
      </c>
      <c r="M53" t="s">
        <v>29</v>
      </c>
      <c r="N53" t="s">
        <v>30</v>
      </c>
      <c r="O53">
        <v>37219</v>
      </c>
      <c r="P53" t="s">
        <v>2178</v>
      </c>
      <c r="Q53" s="2">
        <v>0.21</v>
      </c>
      <c r="R53" s="2">
        <v>71</v>
      </c>
      <c r="S53" s="2">
        <v>101</v>
      </c>
      <c r="T53" t="s">
        <v>2179</v>
      </c>
      <c r="U53" s="6">
        <v>28941</v>
      </c>
      <c r="V53" s="2">
        <v>47037010401</v>
      </c>
      <c r="W53" s="2" t="s">
        <v>837</v>
      </c>
      <c r="X53" s="1">
        <v>45658</v>
      </c>
      <c r="Y53" s="2">
        <v>85000</v>
      </c>
      <c r="Z53" s="2">
        <v>0</v>
      </c>
      <c r="AA53" s="2">
        <v>85000</v>
      </c>
    </row>
    <row r="54" spans="1:27" x14ac:dyDescent="0.3">
      <c r="A54" s="4" t="s">
        <v>1993</v>
      </c>
      <c r="B54" s="2" t="str">
        <f>"04301015900"</f>
        <v>04301015900</v>
      </c>
      <c r="C54" s="2" t="s">
        <v>2180</v>
      </c>
      <c r="D54" t="s">
        <v>866</v>
      </c>
      <c r="E54" s="2" t="s">
        <v>30</v>
      </c>
      <c r="F54" s="2">
        <v>37115</v>
      </c>
      <c r="G54" s="2" t="s">
        <v>64</v>
      </c>
      <c r="H54" t="s">
        <v>280</v>
      </c>
      <c r="I54" s="6">
        <v>41394</v>
      </c>
      <c r="J54" s="2" t="s">
        <v>2181</v>
      </c>
      <c r="K54" s="2">
        <v>107000</v>
      </c>
      <c r="L54" t="s">
        <v>35</v>
      </c>
      <c r="M54" t="s">
        <v>29</v>
      </c>
      <c r="N54" t="s">
        <v>30</v>
      </c>
      <c r="O54">
        <v>37219</v>
      </c>
      <c r="P54" t="s">
        <v>2182</v>
      </c>
      <c r="Q54" s="2">
        <v>0.2</v>
      </c>
      <c r="R54" s="2">
        <v>67</v>
      </c>
      <c r="S54" s="2">
        <v>101</v>
      </c>
      <c r="T54" t="s">
        <v>2179</v>
      </c>
      <c r="U54" s="6">
        <v>28941</v>
      </c>
      <c r="V54" s="2">
        <v>47037010401</v>
      </c>
      <c r="W54" s="2" t="s">
        <v>837</v>
      </c>
      <c r="X54" s="1">
        <v>45658</v>
      </c>
      <c r="Y54" s="2">
        <v>85000</v>
      </c>
      <c r="Z54" s="2">
        <v>0</v>
      </c>
      <c r="AA54" s="2">
        <v>85000</v>
      </c>
    </row>
    <row r="55" spans="1:27" x14ac:dyDescent="0.3">
      <c r="A55" s="4" t="s">
        <v>1993</v>
      </c>
      <c r="B55" s="2" t="str">
        <f>"04311020600"</f>
        <v>04311020600</v>
      </c>
      <c r="C55" s="2" t="s">
        <v>2183</v>
      </c>
      <c r="D55" t="s">
        <v>866</v>
      </c>
      <c r="E55" s="2" t="s">
        <v>30</v>
      </c>
      <c r="F55" s="2">
        <v>37115</v>
      </c>
      <c r="G55" s="2" t="s">
        <v>64</v>
      </c>
      <c r="H55" t="s">
        <v>280</v>
      </c>
      <c r="I55" s="6">
        <v>35312</v>
      </c>
      <c r="J55" s="2" t="s">
        <v>2184</v>
      </c>
      <c r="K55" s="2">
        <v>1194</v>
      </c>
      <c r="L55" t="s">
        <v>35</v>
      </c>
      <c r="M55" t="s">
        <v>29</v>
      </c>
      <c r="N55" t="s">
        <v>30</v>
      </c>
      <c r="O55">
        <v>37219</v>
      </c>
      <c r="P55" t="s">
        <v>2185</v>
      </c>
      <c r="Q55" s="2">
        <v>0.22</v>
      </c>
      <c r="R55" s="2">
        <v>50</v>
      </c>
      <c r="S55" s="2">
        <v>188</v>
      </c>
      <c r="T55" t="s">
        <v>2086</v>
      </c>
      <c r="U55" s="6">
        <v>30841</v>
      </c>
      <c r="V55" s="2">
        <v>47037010402</v>
      </c>
      <c r="W55" s="2" t="s">
        <v>837</v>
      </c>
      <c r="X55" s="1">
        <v>45658</v>
      </c>
      <c r="Y55" s="2">
        <v>93500</v>
      </c>
      <c r="Z55" s="2">
        <v>0</v>
      </c>
      <c r="AA55" s="2">
        <v>93500</v>
      </c>
    </row>
    <row r="56" spans="1:27" x14ac:dyDescent="0.3">
      <c r="A56" s="4" t="s">
        <v>1993</v>
      </c>
      <c r="B56" s="2" t="str">
        <f>"04311020700"</f>
        <v>04311020700</v>
      </c>
      <c r="C56" s="2" t="s">
        <v>2186</v>
      </c>
      <c r="D56" t="s">
        <v>866</v>
      </c>
      <c r="E56" s="2" t="s">
        <v>30</v>
      </c>
      <c r="F56" s="2">
        <v>37115</v>
      </c>
      <c r="G56" s="2" t="s">
        <v>64</v>
      </c>
      <c r="H56" t="s">
        <v>280</v>
      </c>
      <c r="I56" s="6">
        <v>35312</v>
      </c>
      <c r="J56" s="2" t="s">
        <v>2187</v>
      </c>
      <c r="K56" s="2">
        <v>1194</v>
      </c>
      <c r="L56" t="s">
        <v>35</v>
      </c>
      <c r="M56" t="s">
        <v>29</v>
      </c>
      <c r="N56" t="s">
        <v>30</v>
      </c>
      <c r="O56">
        <v>37219</v>
      </c>
      <c r="P56" t="s">
        <v>2188</v>
      </c>
      <c r="Q56" s="2">
        <v>0.22</v>
      </c>
      <c r="R56" s="2">
        <v>50</v>
      </c>
      <c r="S56" s="2">
        <v>188</v>
      </c>
      <c r="T56" t="s">
        <v>2086</v>
      </c>
      <c r="U56" s="6">
        <v>30841</v>
      </c>
      <c r="V56" s="2">
        <v>47037010402</v>
      </c>
      <c r="W56" s="2" t="s">
        <v>837</v>
      </c>
      <c r="X56" s="1">
        <v>45658</v>
      </c>
      <c r="Y56" s="2">
        <v>93500</v>
      </c>
      <c r="Z56" s="2">
        <v>0</v>
      </c>
      <c r="AA56" s="2">
        <v>93500</v>
      </c>
    </row>
    <row r="57" spans="1:27" x14ac:dyDescent="0.3">
      <c r="A57" s="4" t="s">
        <v>1993</v>
      </c>
      <c r="B57" s="2" t="str">
        <f>"04311020800"</f>
        <v>04311020800</v>
      </c>
      <c r="C57" s="2" t="s">
        <v>2189</v>
      </c>
      <c r="D57" t="s">
        <v>866</v>
      </c>
      <c r="E57" s="2" t="s">
        <v>30</v>
      </c>
      <c r="F57" s="2">
        <v>37115</v>
      </c>
      <c r="G57" s="2" t="s">
        <v>64</v>
      </c>
      <c r="H57" t="s">
        <v>280</v>
      </c>
      <c r="I57" s="6">
        <v>35312</v>
      </c>
      <c r="J57" s="2" t="s">
        <v>2190</v>
      </c>
      <c r="K57" s="2">
        <v>1194</v>
      </c>
      <c r="L57" t="s">
        <v>35</v>
      </c>
      <c r="M57" t="s">
        <v>29</v>
      </c>
      <c r="N57" t="s">
        <v>30</v>
      </c>
      <c r="O57">
        <v>37219</v>
      </c>
      <c r="P57" t="s">
        <v>2191</v>
      </c>
      <c r="Q57" s="2">
        <v>0.22</v>
      </c>
      <c r="R57" s="2">
        <v>50</v>
      </c>
      <c r="S57" s="2">
        <v>188</v>
      </c>
      <c r="T57" t="s">
        <v>2086</v>
      </c>
      <c r="U57" s="6">
        <v>30841</v>
      </c>
      <c r="V57" s="2">
        <v>47037010402</v>
      </c>
      <c r="W57" s="2" t="s">
        <v>837</v>
      </c>
      <c r="X57" s="1">
        <v>45658</v>
      </c>
      <c r="Y57" s="2">
        <v>93500</v>
      </c>
      <c r="Z57" s="2">
        <v>0</v>
      </c>
      <c r="AA57" s="2">
        <v>93500</v>
      </c>
    </row>
    <row r="58" spans="1:27" x14ac:dyDescent="0.3">
      <c r="A58" s="4" t="s">
        <v>1993</v>
      </c>
      <c r="B58" s="2" t="str">
        <f>"04311021100"</f>
        <v>04311021100</v>
      </c>
      <c r="C58" s="2" t="s">
        <v>2192</v>
      </c>
      <c r="D58" t="s">
        <v>866</v>
      </c>
      <c r="E58" s="2" t="s">
        <v>30</v>
      </c>
      <c r="F58" s="2">
        <v>37115</v>
      </c>
      <c r="G58" s="2" t="s">
        <v>64</v>
      </c>
      <c r="H58" t="s">
        <v>280</v>
      </c>
      <c r="I58" s="6">
        <v>35312</v>
      </c>
      <c r="J58" s="2" t="s">
        <v>2193</v>
      </c>
      <c r="K58" s="2">
        <v>1194</v>
      </c>
      <c r="L58" t="s">
        <v>35</v>
      </c>
      <c r="M58" t="s">
        <v>29</v>
      </c>
      <c r="N58" t="s">
        <v>30</v>
      </c>
      <c r="O58">
        <v>37219</v>
      </c>
      <c r="P58" t="s">
        <v>2194</v>
      </c>
      <c r="Q58" s="2">
        <v>0.22</v>
      </c>
      <c r="R58" s="2">
        <v>50</v>
      </c>
      <c r="S58" s="2">
        <v>188</v>
      </c>
      <c r="T58" t="s">
        <v>2086</v>
      </c>
      <c r="U58" s="6">
        <v>30841</v>
      </c>
      <c r="V58" s="2">
        <v>47037010402</v>
      </c>
      <c r="W58" s="2" t="s">
        <v>837</v>
      </c>
      <c r="X58" s="1">
        <v>45658</v>
      </c>
      <c r="Y58" s="2">
        <v>93500</v>
      </c>
      <c r="Z58" s="2">
        <v>0</v>
      </c>
      <c r="AA58" s="2">
        <v>93500</v>
      </c>
    </row>
    <row r="59" spans="1:27" x14ac:dyDescent="0.3">
      <c r="A59" s="4" t="s">
        <v>1993</v>
      </c>
      <c r="B59" s="2" t="str">
        <f>"04313008000"</f>
        <v>04313008000</v>
      </c>
      <c r="C59" s="2" t="s">
        <v>2195</v>
      </c>
      <c r="D59" t="s">
        <v>866</v>
      </c>
      <c r="E59" s="2" t="s">
        <v>30</v>
      </c>
      <c r="F59" s="2">
        <v>37115</v>
      </c>
      <c r="G59" s="2" t="s">
        <v>41</v>
      </c>
      <c r="H59" t="s">
        <v>1084</v>
      </c>
      <c r="I59" s="6">
        <v>42549</v>
      </c>
      <c r="J59" s="2" t="s">
        <v>2196</v>
      </c>
      <c r="K59" s="2">
        <v>0</v>
      </c>
      <c r="L59" t="s">
        <v>35</v>
      </c>
      <c r="M59" t="s">
        <v>29</v>
      </c>
      <c r="N59" t="s">
        <v>30</v>
      </c>
      <c r="O59">
        <v>37219</v>
      </c>
      <c r="P59" t="s">
        <v>2197</v>
      </c>
      <c r="Q59" s="2">
        <v>0.17</v>
      </c>
      <c r="R59" s="2">
        <v>50</v>
      </c>
      <c r="S59" s="2">
        <v>150</v>
      </c>
      <c r="T59" t="s">
        <v>2198</v>
      </c>
      <c r="U59" s="6">
        <v>27205</v>
      </c>
      <c r="V59" s="2">
        <v>47037010701</v>
      </c>
      <c r="W59" s="2" t="s">
        <v>837</v>
      </c>
      <c r="X59" s="1">
        <v>45658</v>
      </c>
      <c r="Y59" s="2">
        <v>21000</v>
      </c>
      <c r="Z59" s="2">
        <v>0</v>
      </c>
      <c r="AA59" s="2">
        <v>21000</v>
      </c>
    </row>
    <row r="60" spans="1:27" x14ac:dyDescent="0.3">
      <c r="A60" s="4" t="s">
        <v>1993</v>
      </c>
      <c r="B60" s="2" t="str">
        <f>"04313034900"</f>
        <v>04313034900</v>
      </c>
      <c r="C60" s="2" t="s">
        <v>2108</v>
      </c>
      <c r="D60" t="s">
        <v>866</v>
      </c>
      <c r="E60" s="2" t="s">
        <v>30</v>
      </c>
      <c r="F60" s="2">
        <v>37115</v>
      </c>
      <c r="G60" s="2" t="s">
        <v>64</v>
      </c>
      <c r="H60" t="s">
        <v>1084</v>
      </c>
      <c r="I60" s="6">
        <v>42527</v>
      </c>
      <c r="J60" s="2" t="s">
        <v>2199</v>
      </c>
      <c r="K60" s="2">
        <v>0</v>
      </c>
      <c r="L60" t="s">
        <v>35</v>
      </c>
      <c r="M60" t="s">
        <v>29</v>
      </c>
      <c r="N60" t="s">
        <v>30</v>
      </c>
      <c r="O60">
        <v>37219</v>
      </c>
      <c r="P60" t="s">
        <v>2200</v>
      </c>
      <c r="Q60" s="2">
        <v>0.09</v>
      </c>
      <c r="R60" s="2">
        <v>50</v>
      </c>
      <c r="S60" s="2">
        <v>99</v>
      </c>
      <c r="T60" t="s">
        <v>2201</v>
      </c>
      <c r="U60" s="6">
        <v>23422</v>
      </c>
      <c r="V60" s="2">
        <v>47037010701</v>
      </c>
      <c r="W60" s="2" t="s">
        <v>837</v>
      </c>
      <c r="X60" s="1">
        <v>45658</v>
      </c>
      <c r="Y60" s="2">
        <v>4100</v>
      </c>
      <c r="Z60" s="2">
        <v>0</v>
      </c>
      <c r="AA60" s="2">
        <v>4100</v>
      </c>
    </row>
    <row r="61" spans="1:27" x14ac:dyDescent="0.3">
      <c r="A61" s="4" t="s">
        <v>1993</v>
      </c>
      <c r="B61" s="2" t="str">
        <f>"04313034700"</f>
        <v>04313034700</v>
      </c>
      <c r="C61" s="2" t="s">
        <v>2202</v>
      </c>
      <c r="D61" t="s">
        <v>866</v>
      </c>
      <c r="E61" s="2" t="s">
        <v>30</v>
      </c>
      <c r="F61" s="2">
        <v>37115</v>
      </c>
      <c r="G61" s="2" t="s">
        <v>64</v>
      </c>
      <c r="H61" t="s">
        <v>1084</v>
      </c>
      <c r="I61" s="6">
        <v>42527</v>
      </c>
      <c r="J61" s="2" t="s">
        <v>2199</v>
      </c>
      <c r="K61" s="2">
        <v>0</v>
      </c>
      <c r="L61" t="s">
        <v>35</v>
      </c>
      <c r="M61" t="s">
        <v>29</v>
      </c>
      <c r="N61" t="s">
        <v>30</v>
      </c>
      <c r="O61">
        <v>37219</v>
      </c>
      <c r="P61" t="s">
        <v>2203</v>
      </c>
      <c r="Q61" s="2">
        <v>0.23</v>
      </c>
      <c r="R61" s="2">
        <v>100</v>
      </c>
      <c r="S61" s="2">
        <v>122</v>
      </c>
      <c r="T61" t="s">
        <v>278</v>
      </c>
      <c r="U61" s="6">
        <v>34086</v>
      </c>
      <c r="V61" s="2">
        <v>47037010701</v>
      </c>
      <c r="W61" s="2" t="s">
        <v>837</v>
      </c>
      <c r="X61" s="1">
        <v>45658</v>
      </c>
      <c r="Y61" s="2">
        <v>103500</v>
      </c>
      <c r="Z61" s="2">
        <v>0</v>
      </c>
      <c r="AA61" s="2">
        <v>103500</v>
      </c>
    </row>
    <row r="62" spans="1:27" x14ac:dyDescent="0.3">
      <c r="A62" s="4" t="s">
        <v>1993</v>
      </c>
      <c r="B62" s="2" t="str">
        <f>"04313035500"</f>
        <v>04313035500</v>
      </c>
      <c r="C62" s="2" t="s">
        <v>2204</v>
      </c>
      <c r="D62" t="s">
        <v>866</v>
      </c>
      <c r="E62" s="2" t="s">
        <v>30</v>
      </c>
      <c r="F62" s="2">
        <v>37115</v>
      </c>
      <c r="G62" s="2" t="s">
        <v>64</v>
      </c>
      <c r="H62" t="s">
        <v>379</v>
      </c>
      <c r="I62" s="6">
        <v>42985</v>
      </c>
      <c r="J62" s="2" t="s">
        <v>2205</v>
      </c>
      <c r="K62" s="2">
        <v>0</v>
      </c>
      <c r="L62" t="s">
        <v>651</v>
      </c>
      <c r="M62" t="s">
        <v>29</v>
      </c>
      <c r="N62" t="s">
        <v>30</v>
      </c>
      <c r="O62">
        <v>37208</v>
      </c>
      <c r="P62" t="s">
        <v>2206</v>
      </c>
      <c r="Q62" s="2">
        <v>0.17</v>
      </c>
      <c r="R62" s="2">
        <v>50</v>
      </c>
      <c r="S62" s="2">
        <v>150</v>
      </c>
      <c r="T62" t="s">
        <v>2207</v>
      </c>
      <c r="U62" s="6">
        <v>13246</v>
      </c>
      <c r="V62" s="2">
        <v>47037010701</v>
      </c>
      <c r="W62" s="2" t="s">
        <v>837</v>
      </c>
      <c r="X62" s="1">
        <v>45658</v>
      </c>
      <c r="Y62" s="2">
        <v>90000</v>
      </c>
      <c r="Z62" s="2">
        <v>0</v>
      </c>
      <c r="AA62" s="2">
        <v>90000</v>
      </c>
    </row>
    <row r="63" spans="1:27" x14ac:dyDescent="0.3">
      <c r="A63" s="4" t="s">
        <v>1993</v>
      </c>
      <c r="B63" s="2" t="str">
        <f>"05201011100"</f>
        <v>05201011100</v>
      </c>
      <c r="C63" s="2" t="s">
        <v>2208</v>
      </c>
      <c r="D63" t="s">
        <v>866</v>
      </c>
      <c r="E63" s="2" t="s">
        <v>30</v>
      </c>
      <c r="F63" s="2">
        <v>37115</v>
      </c>
      <c r="G63" s="2" t="s">
        <v>64</v>
      </c>
      <c r="H63" t="s">
        <v>379</v>
      </c>
      <c r="I63" s="6">
        <v>43507</v>
      </c>
      <c r="J63" s="2" t="s">
        <v>2209</v>
      </c>
      <c r="K63" s="2">
        <v>0</v>
      </c>
      <c r="L63" t="s">
        <v>1104</v>
      </c>
      <c r="M63" t="s">
        <v>29</v>
      </c>
      <c r="N63" t="s">
        <v>30</v>
      </c>
      <c r="O63">
        <v>37208</v>
      </c>
      <c r="P63" t="s">
        <v>2210</v>
      </c>
      <c r="Q63" s="2">
        <v>0.2</v>
      </c>
      <c r="R63" s="2">
        <v>53</v>
      </c>
      <c r="S63" s="2">
        <v>165</v>
      </c>
      <c r="T63" t="s">
        <v>1997</v>
      </c>
      <c r="U63" s="6">
        <v>33750</v>
      </c>
      <c r="V63" s="2">
        <v>47037010701</v>
      </c>
      <c r="W63" s="2" t="s">
        <v>837</v>
      </c>
      <c r="X63" s="1">
        <v>45658</v>
      </c>
      <c r="Y63" s="2">
        <v>4500</v>
      </c>
      <c r="Z63" s="2">
        <v>0</v>
      </c>
      <c r="AA63" s="2">
        <v>4500</v>
      </c>
    </row>
    <row r="64" spans="1:27" x14ac:dyDescent="0.3">
      <c r="A64" s="4" t="s">
        <v>1993</v>
      </c>
      <c r="B64" s="2" t="str">
        <f>"05201011000"</f>
        <v>05201011000</v>
      </c>
      <c r="C64" s="2" t="s">
        <v>2208</v>
      </c>
      <c r="D64" t="s">
        <v>866</v>
      </c>
      <c r="E64" s="2" t="s">
        <v>30</v>
      </c>
      <c r="F64" s="2">
        <v>37115</v>
      </c>
      <c r="G64" s="2" t="s">
        <v>64</v>
      </c>
      <c r="H64" t="s">
        <v>379</v>
      </c>
      <c r="I64" s="6">
        <v>43507</v>
      </c>
      <c r="J64" s="2" t="s">
        <v>2209</v>
      </c>
      <c r="K64" s="2" t="s">
        <v>34</v>
      </c>
      <c r="L64" t="s">
        <v>1104</v>
      </c>
      <c r="M64" t="s">
        <v>29</v>
      </c>
      <c r="N64" t="s">
        <v>30</v>
      </c>
      <c r="O64">
        <v>37208</v>
      </c>
      <c r="P64" t="s">
        <v>2211</v>
      </c>
      <c r="Q64" s="2">
        <v>0.1</v>
      </c>
      <c r="R64" s="2">
        <v>25</v>
      </c>
      <c r="S64" s="2">
        <v>165</v>
      </c>
      <c r="T64" t="s">
        <v>1997</v>
      </c>
      <c r="U64" s="6">
        <v>33750</v>
      </c>
      <c r="V64" s="2">
        <v>47037010701</v>
      </c>
      <c r="W64" s="2" t="s">
        <v>837</v>
      </c>
      <c r="X64" s="1">
        <v>45658</v>
      </c>
      <c r="Y64" s="2">
        <v>4100</v>
      </c>
      <c r="Z64" s="2">
        <v>0</v>
      </c>
      <c r="AA64" s="2">
        <v>4100</v>
      </c>
    </row>
    <row r="65" spans="1:27" x14ac:dyDescent="0.3">
      <c r="A65" s="4" t="s">
        <v>1993</v>
      </c>
      <c r="B65" s="2" t="str">
        <f>"04300002600"</f>
        <v>04300002600</v>
      </c>
      <c r="C65" s="2" t="s">
        <v>2212</v>
      </c>
      <c r="D65" t="s">
        <v>866</v>
      </c>
      <c r="E65" s="2" t="s">
        <v>30</v>
      </c>
      <c r="F65" s="2">
        <v>37115</v>
      </c>
      <c r="G65" s="2" t="s">
        <v>152</v>
      </c>
      <c r="H65" t="s">
        <v>2213</v>
      </c>
      <c r="I65" s="6">
        <v>40519</v>
      </c>
      <c r="J65" s="2" t="s">
        <v>2214</v>
      </c>
      <c r="K65" s="2">
        <v>0</v>
      </c>
      <c r="L65" t="s">
        <v>35</v>
      </c>
      <c r="M65" t="s">
        <v>29</v>
      </c>
      <c r="N65" t="s">
        <v>30</v>
      </c>
      <c r="O65">
        <v>37219</v>
      </c>
      <c r="P65" t="s">
        <v>2215</v>
      </c>
      <c r="Q65" s="2">
        <v>41.54</v>
      </c>
      <c r="R65" s="2">
        <v>1401</v>
      </c>
      <c r="S65" s="2">
        <v>0</v>
      </c>
      <c r="T65" t="s">
        <v>2216</v>
      </c>
      <c r="U65" s="6">
        <v>41568</v>
      </c>
      <c r="V65" s="2">
        <v>47037010401</v>
      </c>
      <c r="W65" s="2" t="s">
        <v>837</v>
      </c>
      <c r="X65" s="1">
        <v>45658</v>
      </c>
      <c r="Y65" s="2">
        <v>25676000</v>
      </c>
      <c r="Z65" s="2">
        <v>19860400</v>
      </c>
      <c r="AA65" s="2">
        <v>5815600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1EF6-41B3-4545-9317-6B40F5D7397A}">
  <sheetPr>
    <tabColor rgb="FF002060"/>
  </sheetPr>
  <dimension ref="A1:AA48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10</v>
      </c>
      <c r="B2" s="2" t="str">
        <f>"02713001000"</f>
        <v>02713001000</v>
      </c>
      <c r="C2" s="2" t="s">
        <v>2217</v>
      </c>
      <c r="D2" t="s">
        <v>866</v>
      </c>
      <c r="E2" s="2" t="s">
        <v>30</v>
      </c>
      <c r="F2" s="2">
        <v>37115</v>
      </c>
      <c r="G2" s="2" t="s">
        <v>64</v>
      </c>
      <c r="H2" t="s">
        <v>99</v>
      </c>
      <c r="I2" s="6">
        <v>41444</v>
      </c>
      <c r="J2" s="2" t="s">
        <v>2218</v>
      </c>
      <c r="K2" s="2">
        <v>1071</v>
      </c>
      <c r="L2" t="s">
        <v>35</v>
      </c>
      <c r="M2" t="s">
        <v>29</v>
      </c>
      <c r="N2" t="s">
        <v>30</v>
      </c>
      <c r="O2">
        <v>37219</v>
      </c>
      <c r="P2" t="s">
        <v>2219</v>
      </c>
      <c r="Q2" s="2">
        <v>5.15</v>
      </c>
      <c r="R2" s="2">
        <v>0</v>
      </c>
      <c r="S2" s="2">
        <v>0</v>
      </c>
      <c r="T2" t="s">
        <v>2220</v>
      </c>
      <c r="U2" s="6">
        <v>19995</v>
      </c>
      <c r="V2" s="2">
        <v>47037010401</v>
      </c>
      <c r="W2" s="2" t="s">
        <v>38</v>
      </c>
      <c r="X2" s="1">
        <v>45658</v>
      </c>
      <c r="Y2" s="2">
        <v>19300</v>
      </c>
      <c r="Z2" s="2">
        <v>0</v>
      </c>
      <c r="AA2" s="2">
        <v>19300</v>
      </c>
    </row>
    <row r="3" spans="1:27" x14ac:dyDescent="0.3">
      <c r="A3" s="3">
        <v>10</v>
      </c>
      <c r="B3" s="2" t="str">
        <f>"03409013400"</f>
        <v>03409013400</v>
      </c>
      <c r="C3" s="2" t="s">
        <v>2221</v>
      </c>
      <c r="D3" t="s">
        <v>866</v>
      </c>
      <c r="E3" s="2" t="s">
        <v>30</v>
      </c>
      <c r="F3" s="2">
        <v>37115</v>
      </c>
      <c r="G3" s="2" t="s">
        <v>41</v>
      </c>
      <c r="H3" t="s">
        <v>99</v>
      </c>
      <c r="I3" s="6">
        <v>38301</v>
      </c>
      <c r="J3" s="2" t="s">
        <v>2222</v>
      </c>
      <c r="K3" s="2">
        <v>920</v>
      </c>
      <c r="L3" t="s">
        <v>35</v>
      </c>
      <c r="M3" t="s">
        <v>29</v>
      </c>
      <c r="N3" t="s">
        <v>30</v>
      </c>
      <c r="O3">
        <v>37219</v>
      </c>
      <c r="P3" t="s">
        <v>2223</v>
      </c>
      <c r="Q3" s="2">
        <v>0.06</v>
      </c>
      <c r="R3" s="2">
        <v>25</v>
      </c>
      <c r="S3" s="2">
        <v>110</v>
      </c>
      <c r="T3" t="s">
        <v>2224</v>
      </c>
      <c r="U3" s="6">
        <v>25182</v>
      </c>
      <c r="V3" s="2">
        <v>47037010401</v>
      </c>
      <c r="W3" s="2" t="s">
        <v>38</v>
      </c>
      <c r="X3" s="1">
        <v>45658</v>
      </c>
      <c r="Y3" s="2">
        <v>20600</v>
      </c>
      <c r="Z3" s="2">
        <v>0</v>
      </c>
      <c r="AA3" s="2">
        <v>20600</v>
      </c>
    </row>
    <row r="4" spans="1:27" x14ac:dyDescent="0.3">
      <c r="A4" s="3">
        <v>10</v>
      </c>
      <c r="B4" s="2" t="str">
        <f>"03316000700"</f>
        <v>03316000700</v>
      </c>
      <c r="C4" s="2" t="s">
        <v>2225</v>
      </c>
      <c r="D4" t="s">
        <v>866</v>
      </c>
      <c r="E4" s="2" t="s">
        <v>30</v>
      </c>
      <c r="F4" s="2">
        <v>37115</v>
      </c>
      <c r="G4" s="2" t="s">
        <v>64</v>
      </c>
      <c r="H4" t="s">
        <v>99</v>
      </c>
      <c r="I4" s="6">
        <v>41472</v>
      </c>
      <c r="J4" s="2" t="s">
        <v>2226</v>
      </c>
      <c r="K4" s="2">
        <v>422</v>
      </c>
      <c r="L4" t="s">
        <v>35</v>
      </c>
      <c r="M4" t="s">
        <v>29</v>
      </c>
      <c r="N4" t="s">
        <v>30</v>
      </c>
      <c r="O4">
        <v>37219</v>
      </c>
      <c r="P4" t="s">
        <v>2227</v>
      </c>
      <c r="Q4" s="2">
        <v>0.06</v>
      </c>
      <c r="R4" s="2">
        <v>20</v>
      </c>
      <c r="S4" s="2">
        <v>52</v>
      </c>
      <c r="T4" t="s">
        <v>2228</v>
      </c>
      <c r="U4" s="6">
        <v>22810</v>
      </c>
      <c r="V4" s="2">
        <v>47037010801</v>
      </c>
      <c r="W4" s="2" t="s">
        <v>38</v>
      </c>
      <c r="X4" s="1">
        <v>45658</v>
      </c>
      <c r="Y4" s="2">
        <v>800</v>
      </c>
      <c r="Z4" s="2">
        <v>0</v>
      </c>
      <c r="AA4" s="2">
        <v>800</v>
      </c>
    </row>
    <row r="5" spans="1:27" x14ac:dyDescent="0.3">
      <c r="A5" s="3">
        <v>10</v>
      </c>
      <c r="B5" s="2" t="str">
        <f>"00300001101"</f>
        <v>00300001101</v>
      </c>
      <c r="C5" s="2" t="s">
        <v>2229</v>
      </c>
      <c r="D5" t="s">
        <v>990</v>
      </c>
      <c r="E5" s="2" t="s">
        <v>30</v>
      </c>
      <c r="F5" s="2">
        <v>37072</v>
      </c>
      <c r="G5" s="2" t="s">
        <v>64</v>
      </c>
      <c r="H5" t="s">
        <v>99</v>
      </c>
      <c r="I5" s="6">
        <v>40891</v>
      </c>
      <c r="J5" s="2" t="s">
        <v>2230</v>
      </c>
      <c r="K5" s="2">
        <v>20918</v>
      </c>
      <c r="L5" t="s">
        <v>35</v>
      </c>
      <c r="M5" t="s">
        <v>29</v>
      </c>
      <c r="N5" t="s">
        <v>30</v>
      </c>
      <c r="O5">
        <v>37219</v>
      </c>
      <c r="P5" t="s">
        <v>2231</v>
      </c>
      <c r="Q5" s="2">
        <v>0.82</v>
      </c>
      <c r="R5" s="2">
        <v>95</v>
      </c>
      <c r="S5" s="2">
        <v>287</v>
      </c>
      <c r="T5" t="s">
        <v>2232</v>
      </c>
      <c r="U5" s="6">
        <v>33829</v>
      </c>
      <c r="V5" s="2">
        <v>47037010202</v>
      </c>
      <c r="W5" s="2" t="s">
        <v>38</v>
      </c>
      <c r="X5" s="1">
        <v>45658</v>
      </c>
      <c r="Y5" s="2">
        <v>20800</v>
      </c>
      <c r="Z5" s="2">
        <v>0</v>
      </c>
      <c r="AA5" s="2">
        <v>20800</v>
      </c>
    </row>
    <row r="6" spans="1:27" x14ac:dyDescent="0.3">
      <c r="A6" s="3">
        <v>10</v>
      </c>
      <c r="B6" s="2" t="str">
        <f>"00600003608"</f>
        <v>00600003608</v>
      </c>
      <c r="C6" s="2" t="s">
        <v>2233</v>
      </c>
      <c r="D6" t="s">
        <v>990</v>
      </c>
      <c r="E6" s="2" t="s">
        <v>30</v>
      </c>
      <c r="F6" s="2">
        <v>37072</v>
      </c>
      <c r="G6" s="2" t="s">
        <v>31</v>
      </c>
      <c r="H6" t="s">
        <v>99</v>
      </c>
      <c r="I6" s="6">
        <v>41472</v>
      </c>
      <c r="J6" s="2" t="s">
        <v>2234</v>
      </c>
      <c r="K6" s="2">
        <v>384</v>
      </c>
      <c r="L6" t="s">
        <v>35</v>
      </c>
      <c r="M6" t="s">
        <v>29</v>
      </c>
      <c r="N6" t="s">
        <v>30</v>
      </c>
      <c r="O6">
        <v>37219</v>
      </c>
      <c r="P6" t="s">
        <v>2235</v>
      </c>
      <c r="Q6" s="2">
        <v>0.18</v>
      </c>
      <c r="R6" s="2">
        <v>107</v>
      </c>
      <c r="S6" s="2">
        <v>80</v>
      </c>
      <c r="T6" t="s">
        <v>2236</v>
      </c>
      <c r="U6" s="6">
        <v>23800</v>
      </c>
      <c r="V6" s="2">
        <v>47037010202</v>
      </c>
      <c r="W6" s="2" t="s">
        <v>38</v>
      </c>
      <c r="X6" s="1">
        <v>45658</v>
      </c>
      <c r="Y6" s="2">
        <v>700</v>
      </c>
      <c r="Z6" s="2">
        <v>0</v>
      </c>
      <c r="AA6" s="2">
        <v>700</v>
      </c>
    </row>
    <row r="7" spans="1:27" x14ac:dyDescent="0.3">
      <c r="A7" s="3">
        <v>10</v>
      </c>
      <c r="B7" s="2" t="str">
        <f>"00600006500"</f>
        <v>00600006500</v>
      </c>
      <c r="C7" s="2" t="s">
        <v>2237</v>
      </c>
      <c r="D7" t="s">
        <v>990</v>
      </c>
      <c r="E7" s="2" t="s">
        <v>30</v>
      </c>
      <c r="F7" s="2">
        <v>37072</v>
      </c>
      <c r="G7" s="2" t="s">
        <v>31</v>
      </c>
      <c r="H7" t="s">
        <v>99</v>
      </c>
      <c r="I7" s="6">
        <v>41472</v>
      </c>
      <c r="J7" s="2" t="s">
        <v>2238</v>
      </c>
      <c r="K7" s="2">
        <v>384</v>
      </c>
      <c r="L7" t="s">
        <v>35</v>
      </c>
      <c r="M7" t="s">
        <v>29</v>
      </c>
      <c r="N7" t="s">
        <v>30</v>
      </c>
      <c r="O7">
        <v>37219</v>
      </c>
      <c r="P7" t="s">
        <v>2239</v>
      </c>
      <c r="Q7" s="2">
        <v>0.14000000000000001</v>
      </c>
      <c r="R7" s="2">
        <v>100</v>
      </c>
      <c r="S7" s="2">
        <v>70</v>
      </c>
      <c r="T7" t="s">
        <v>2240</v>
      </c>
      <c r="U7" s="6">
        <v>23884</v>
      </c>
      <c r="V7" s="2">
        <v>47037010202</v>
      </c>
      <c r="W7" s="2" t="s">
        <v>38</v>
      </c>
      <c r="X7" s="1">
        <v>45658</v>
      </c>
      <c r="Y7" s="2">
        <v>500</v>
      </c>
      <c r="Z7" s="2">
        <v>0</v>
      </c>
      <c r="AA7" s="2">
        <v>500</v>
      </c>
    </row>
    <row r="8" spans="1:27" x14ac:dyDescent="0.3">
      <c r="A8" s="3">
        <v>10</v>
      </c>
      <c r="B8" s="2" t="str">
        <f>"00600002303"</f>
        <v>00600002303</v>
      </c>
      <c r="C8" s="2" t="s">
        <v>2241</v>
      </c>
      <c r="D8" t="s">
        <v>990</v>
      </c>
      <c r="E8" s="2" t="s">
        <v>30</v>
      </c>
      <c r="F8" s="2">
        <v>37072</v>
      </c>
      <c r="G8" s="2" t="s">
        <v>31</v>
      </c>
      <c r="H8" t="s">
        <v>99</v>
      </c>
      <c r="I8" s="6">
        <v>41472</v>
      </c>
      <c r="J8" s="2" t="s">
        <v>2242</v>
      </c>
      <c r="K8" s="2">
        <v>376</v>
      </c>
      <c r="L8" t="s">
        <v>35</v>
      </c>
      <c r="M8" t="s">
        <v>29</v>
      </c>
      <c r="N8" t="s">
        <v>30</v>
      </c>
      <c r="O8">
        <v>37219</v>
      </c>
      <c r="P8" t="s">
        <v>2243</v>
      </c>
      <c r="Q8" s="2">
        <v>0.18</v>
      </c>
      <c r="R8" s="2">
        <v>150</v>
      </c>
      <c r="S8" s="2">
        <v>70</v>
      </c>
      <c r="T8" t="s">
        <v>2244</v>
      </c>
      <c r="U8" s="6">
        <v>23705</v>
      </c>
      <c r="V8" s="2">
        <v>47037010202</v>
      </c>
      <c r="W8" s="2" t="s">
        <v>38</v>
      </c>
      <c r="X8" s="1">
        <v>45658</v>
      </c>
      <c r="Y8" s="2">
        <v>700</v>
      </c>
      <c r="Z8" s="2">
        <v>0</v>
      </c>
      <c r="AA8" s="2">
        <v>700</v>
      </c>
    </row>
    <row r="9" spans="1:27" x14ac:dyDescent="0.3">
      <c r="A9" s="3">
        <v>10</v>
      </c>
      <c r="B9" s="2" t="str">
        <f>"01800012500"</f>
        <v>01800012500</v>
      </c>
      <c r="C9" s="2" t="s">
        <v>2245</v>
      </c>
      <c r="D9" t="s">
        <v>990</v>
      </c>
      <c r="E9" s="2" t="s">
        <v>30</v>
      </c>
      <c r="F9" s="2">
        <v>37072</v>
      </c>
      <c r="G9" s="2" t="s">
        <v>31</v>
      </c>
      <c r="H9" t="s">
        <v>518</v>
      </c>
      <c r="I9" s="6">
        <v>43185</v>
      </c>
      <c r="J9" s="2" t="s">
        <v>2246</v>
      </c>
      <c r="K9" s="2" t="s">
        <v>34</v>
      </c>
      <c r="L9" t="s">
        <v>2247</v>
      </c>
      <c r="M9" t="s">
        <v>29</v>
      </c>
      <c r="N9" t="s">
        <v>30</v>
      </c>
      <c r="O9">
        <v>37219</v>
      </c>
      <c r="P9" t="s">
        <v>2248</v>
      </c>
      <c r="Q9" s="2">
        <v>11.34</v>
      </c>
      <c r="R9" s="2">
        <v>0</v>
      </c>
      <c r="S9" s="2">
        <v>0</v>
      </c>
      <c r="T9" t="s">
        <v>2249</v>
      </c>
      <c r="U9" s="6">
        <v>33217</v>
      </c>
      <c r="V9" s="2">
        <v>47037010202</v>
      </c>
      <c r="W9" s="2" t="s">
        <v>38</v>
      </c>
      <c r="X9" s="1">
        <v>45658</v>
      </c>
      <c r="Y9" s="2">
        <v>306700</v>
      </c>
      <c r="Z9" s="2">
        <v>0</v>
      </c>
      <c r="AA9" s="2">
        <v>306700</v>
      </c>
    </row>
    <row r="10" spans="1:27" x14ac:dyDescent="0.3">
      <c r="A10" s="3">
        <v>10</v>
      </c>
      <c r="B10" s="2" t="str">
        <f>"01804000700"</f>
        <v>01804000700</v>
      </c>
      <c r="C10" s="2" t="s">
        <v>2250</v>
      </c>
      <c r="D10" t="s">
        <v>990</v>
      </c>
      <c r="E10" s="2" t="s">
        <v>30</v>
      </c>
      <c r="F10" s="2">
        <v>37072</v>
      </c>
      <c r="G10" s="2" t="s">
        <v>31</v>
      </c>
      <c r="H10" t="s">
        <v>518</v>
      </c>
      <c r="I10" s="6">
        <v>43185</v>
      </c>
      <c r="J10" s="2" t="s">
        <v>2246</v>
      </c>
      <c r="K10" s="2" t="s">
        <v>34</v>
      </c>
      <c r="L10" t="s">
        <v>2247</v>
      </c>
      <c r="M10" t="s">
        <v>29</v>
      </c>
      <c r="N10" t="s">
        <v>30</v>
      </c>
      <c r="O10">
        <v>37219</v>
      </c>
      <c r="P10" t="s">
        <v>2251</v>
      </c>
      <c r="Q10" s="2">
        <v>3.9</v>
      </c>
      <c r="R10" s="2">
        <v>0</v>
      </c>
      <c r="S10" s="2">
        <v>0</v>
      </c>
      <c r="T10" t="s">
        <v>2252</v>
      </c>
      <c r="U10" s="6">
        <v>23686</v>
      </c>
      <c r="V10" s="2">
        <v>47037010202</v>
      </c>
      <c r="W10" s="2" t="s">
        <v>38</v>
      </c>
      <c r="X10" s="1">
        <v>45658</v>
      </c>
      <c r="Y10" s="2">
        <v>128700</v>
      </c>
      <c r="Z10" s="2">
        <v>0</v>
      </c>
      <c r="AA10" s="2">
        <v>128700</v>
      </c>
    </row>
    <row r="11" spans="1:27" x14ac:dyDescent="0.3">
      <c r="A11" s="3">
        <v>10</v>
      </c>
      <c r="B11" s="2" t="str">
        <f>"01808000300"</f>
        <v>01808000300</v>
      </c>
      <c r="C11" s="2" t="s">
        <v>2253</v>
      </c>
      <c r="D11" t="s">
        <v>990</v>
      </c>
      <c r="E11" s="2" t="s">
        <v>30</v>
      </c>
      <c r="F11" s="2">
        <v>37072</v>
      </c>
      <c r="G11" s="2" t="s">
        <v>31</v>
      </c>
      <c r="H11" t="s">
        <v>518</v>
      </c>
      <c r="I11" s="6">
        <v>43185</v>
      </c>
      <c r="J11" s="2" t="s">
        <v>2246</v>
      </c>
      <c r="K11" s="2" t="s">
        <v>34</v>
      </c>
      <c r="L11" t="s">
        <v>2247</v>
      </c>
      <c r="M11" t="s">
        <v>29</v>
      </c>
      <c r="N11" t="s">
        <v>30</v>
      </c>
      <c r="O11">
        <v>37219</v>
      </c>
      <c r="P11" t="s">
        <v>2254</v>
      </c>
      <c r="Q11" s="2">
        <v>3.92</v>
      </c>
      <c r="R11" s="2">
        <v>0</v>
      </c>
      <c r="S11" s="2">
        <v>0</v>
      </c>
      <c r="T11" t="s">
        <v>2252</v>
      </c>
      <c r="U11" s="6">
        <v>23686</v>
      </c>
      <c r="V11" s="2">
        <v>47037010202</v>
      </c>
      <c r="W11" s="2" t="s">
        <v>38</v>
      </c>
      <c r="X11" s="1">
        <v>45658</v>
      </c>
      <c r="Y11" s="2">
        <v>129400</v>
      </c>
      <c r="Z11" s="2">
        <v>0</v>
      </c>
      <c r="AA11" s="2">
        <v>129400</v>
      </c>
    </row>
    <row r="12" spans="1:27" x14ac:dyDescent="0.3">
      <c r="A12" s="3">
        <v>10</v>
      </c>
      <c r="B12" s="2" t="str">
        <f>"01816015500"</f>
        <v>01816015500</v>
      </c>
      <c r="C12" s="2" t="s">
        <v>2255</v>
      </c>
      <c r="D12" t="s">
        <v>990</v>
      </c>
      <c r="E12" s="2" t="s">
        <v>30</v>
      </c>
      <c r="F12" s="2">
        <v>37072</v>
      </c>
      <c r="G12" s="2" t="s">
        <v>152</v>
      </c>
      <c r="H12" t="s">
        <v>176</v>
      </c>
      <c r="I12" s="6">
        <v>17119</v>
      </c>
      <c r="J12" s="2" t="s">
        <v>2256</v>
      </c>
      <c r="K12" s="2" t="s">
        <v>34</v>
      </c>
      <c r="L12" t="s">
        <v>178</v>
      </c>
      <c r="M12" t="s">
        <v>29</v>
      </c>
      <c r="N12" t="s">
        <v>30</v>
      </c>
      <c r="O12">
        <v>37246</v>
      </c>
      <c r="P12" t="s">
        <v>2257</v>
      </c>
      <c r="Q12" s="2">
        <v>0.23</v>
      </c>
      <c r="R12" s="2">
        <v>100</v>
      </c>
      <c r="S12" s="2">
        <v>102</v>
      </c>
      <c r="T12" t="s">
        <v>2256</v>
      </c>
      <c r="U12" s="6">
        <v>17119</v>
      </c>
      <c r="V12" s="2">
        <v>47037010301</v>
      </c>
      <c r="W12" s="2" t="s">
        <v>2258</v>
      </c>
      <c r="X12" s="1">
        <v>45658</v>
      </c>
      <c r="Y12" s="2">
        <v>80000</v>
      </c>
      <c r="Z12" s="2">
        <v>0</v>
      </c>
      <c r="AA12" s="2">
        <v>80000</v>
      </c>
    </row>
    <row r="13" spans="1:27" x14ac:dyDescent="0.3">
      <c r="A13" s="3">
        <v>10</v>
      </c>
      <c r="B13" s="2" t="str">
        <f>"02500006500"</f>
        <v>02500006500</v>
      </c>
      <c r="C13" s="2" t="s">
        <v>2259</v>
      </c>
      <c r="D13" t="s">
        <v>990</v>
      </c>
      <c r="E13" s="2" t="s">
        <v>30</v>
      </c>
      <c r="F13" s="2">
        <v>37072</v>
      </c>
      <c r="G13" s="2" t="s">
        <v>41</v>
      </c>
      <c r="H13" t="s">
        <v>176</v>
      </c>
      <c r="I13" s="6">
        <v>19907</v>
      </c>
      <c r="J13" s="2" t="s">
        <v>2260</v>
      </c>
      <c r="K13" s="2" t="s">
        <v>34</v>
      </c>
      <c r="L13" t="s">
        <v>178</v>
      </c>
      <c r="M13" t="s">
        <v>29</v>
      </c>
      <c r="N13" t="s">
        <v>30</v>
      </c>
      <c r="O13">
        <v>37246</v>
      </c>
      <c r="P13" t="s">
        <v>2261</v>
      </c>
      <c r="Q13" s="2">
        <v>0.43</v>
      </c>
      <c r="R13" s="2">
        <v>29</v>
      </c>
      <c r="S13" s="2">
        <v>392</v>
      </c>
      <c r="T13" t="s">
        <v>2260</v>
      </c>
      <c r="U13" s="6">
        <v>19907</v>
      </c>
      <c r="V13" s="2">
        <v>47037010301</v>
      </c>
      <c r="W13" s="2" t="s">
        <v>2258</v>
      </c>
      <c r="X13" s="1">
        <v>45658</v>
      </c>
      <c r="Y13" s="2">
        <v>93700</v>
      </c>
      <c r="Z13" s="2">
        <v>0</v>
      </c>
      <c r="AA13" s="2">
        <v>93700</v>
      </c>
    </row>
    <row r="14" spans="1:27" x14ac:dyDescent="0.3">
      <c r="A14" s="3">
        <v>10</v>
      </c>
      <c r="B14" s="2" t="str">
        <f>"03311000100"</f>
        <v>03311000100</v>
      </c>
      <c r="C14" s="2" t="s">
        <v>2262</v>
      </c>
      <c r="D14" t="s">
        <v>990</v>
      </c>
      <c r="E14" s="2" t="s">
        <v>30</v>
      </c>
      <c r="F14" s="2">
        <v>37072</v>
      </c>
      <c r="G14" s="2" t="s">
        <v>152</v>
      </c>
      <c r="H14" t="s">
        <v>176</v>
      </c>
      <c r="I14" s="6">
        <v>22783</v>
      </c>
      <c r="J14" s="2" t="s">
        <v>2263</v>
      </c>
      <c r="K14" s="2" t="s">
        <v>34</v>
      </c>
      <c r="L14" t="s">
        <v>178</v>
      </c>
      <c r="M14" t="s">
        <v>29</v>
      </c>
      <c r="N14" t="s">
        <v>30</v>
      </c>
      <c r="O14">
        <v>37246</v>
      </c>
      <c r="P14" t="s">
        <v>2264</v>
      </c>
      <c r="Q14" s="2">
        <v>1.1200000000000001</v>
      </c>
      <c r="R14" s="2">
        <v>80</v>
      </c>
      <c r="S14" s="2">
        <v>115</v>
      </c>
      <c r="T14" t="s">
        <v>2265</v>
      </c>
      <c r="U14" s="6">
        <v>36517</v>
      </c>
      <c r="V14" s="2">
        <v>47037010201</v>
      </c>
      <c r="W14" s="2" t="s">
        <v>38</v>
      </c>
      <c r="X14" s="1">
        <v>45658</v>
      </c>
      <c r="Y14" s="2">
        <v>69000</v>
      </c>
      <c r="Z14" s="2">
        <v>0</v>
      </c>
      <c r="AA14" s="2">
        <v>69000</v>
      </c>
    </row>
    <row r="15" spans="1:27" x14ac:dyDescent="0.3">
      <c r="A15" s="3">
        <v>10</v>
      </c>
      <c r="B15" s="2" t="str">
        <f>"04204002700"</f>
        <v>04204002700</v>
      </c>
      <c r="C15" s="2" t="s">
        <v>2266</v>
      </c>
      <c r="D15" t="s">
        <v>866</v>
      </c>
      <c r="E15" s="2" t="s">
        <v>30</v>
      </c>
      <c r="F15" s="2">
        <v>37115</v>
      </c>
      <c r="G15" s="2" t="s">
        <v>2267</v>
      </c>
      <c r="H15" t="s">
        <v>176</v>
      </c>
      <c r="I15" s="6">
        <v>33898</v>
      </c>
      <c r="J15" s="2" t="s">
        <v>2268</v>
      </c>
      <c r="K15" s="2">
        <v>0</v>
      </c>
      <c r="L15" t="s">
        <v>178</v>
      </c>
      <c r="M15" t="s">
        <v>29</v>
      </c>
      <c r="N15" t="s">
        <v>30</v>
      </c>
      <c r="O15">
        <v>37246</v>
      </c>
      <c r="P15" t="s">
        <v>2269</v>
      </c>
      <c r="Q15" s="2">
        <v>3.84</v>
      </c>
      <c r="R15" s="2">
        <v>0</v>
      </c>
      <c r="S15" s="2">
        <v>0</v>
      </c>
      <c r="T15" t="s">
        <v>2268</v>
      </c>
      <c r="U15" s="6">
        <v>33898</v>
      </c>
      <c r="V15" s="2">
        <v>47037010801</v>
      </c>
      <c r="W15" s="2" t="s">
        <v>837</v>
      </c>
      <c r="X15" s="1">
        <v>45658</v>
      </c>
      <c r="Y15" s="2">
        <v>199700</v>
      </c>
      <c r="Z15" s="2">
        <v>0</v>
      </c>
      <c r="AA15" s="2">
        <v>199700</v>
      </c>
    </row>
    <row r="16" spans="1:27" x14ac:dyDescent="0.3">
      <c r="A16" s="3">
        <v>10</v>
      </c>
      <c r="B16" s="2" t="str">
        <f>"03406003300"</f>
        <v>03406003300</v>
      </c>
      <c r="C16" s="2" t="s">
        <v>2270</v>
      </c>
      <c r="D16" t="s">
        <v>866</v>
      </c>
      <c r="E16" s="2" t="s">
        <v>30</v>
      </c>
      <c r="F16" s="2">
        <v>37115</v>
      </c>
      <c r="G16" s="2" t="s">
        <v>152</v>
      </c>
      <c r="H16" t="s">
        <v>176</v>
      </c>
      <c r="I16" s="6">
        <v>25910</v>
      </c>
      <c r="J16" s="2" t="s">
        <v>2271</v>
      </c>
      <c r="K16" s="2" t="s">
        <v>34</v>
      </c>
      <c r="L16" t="s">
        <v>178</v>
      </c>
      <c r="M16" t="s">
        <v>29</v>
      </c>
      <c r="N16" t="s">
        <v>30</v>
      </c>
      <c r="O16">
        <v>37246</v>
      </c>
      <c r="P16" t="s">
        <v>2272</v>
      </c>
      <c r="Q16" s="2">
        <v>1.73</v>
      </c>
      <c r="R16" s="2">
        <v>250</v>
      </c>
      <c r="S16" s="2">
        <v>305</v>
      </c>
      <c r="T16" t="s">
        <v>2273</v>
      </c>
      <c r="U16" s="6">
        <v>33046</v>
      </c>
      <c r="V16" s="2">
        <v>47037010401</v>
      </c>
      <c r="W16" s="2" t="s">
        <v>38</v>
      </c>
      <c r="X16" s="1">
        <v>45658</v>
      </c>
      <c r="Y16" s="2">
        <v>838800</v>
      </c>
      <c r="Z16" s="2">
        <v>0</v>
      </c>
      <c r="AA16" s="2">
        <v>838800</v>
      </c>
    </row>
    <row r="17" spans="1:27" x14ac:dyDescent="0.3">
      <c r="A17" s="3">
        <v>10</v>
      </c>
      <c r="B17" s="2" t="str">
        <f>"02508001000"</f>
        <v>02508001000</v>
      </c>
      <c r="C17" s="2" t="s">
        <v>2274</v>
      </c>
      <c r="D17" t="s">
        <v>990</v>
      </c>
      <c r="E17" s="2" t="s">
        <v>30</v>
      </c>
      <c r="F17" s="2">
        <v>37072</v>
      </c>
      <c r="G17" s="2" t="s">
        <v>152</v>
      </c>
      <c r="H17" t="s">
        <v>176</v>
      </c>
      <c r="I17" s="6">
        <v>22241</v>
      </c>
      <c r="J17" s="2" t="s">
        <v>2275</v>
      </c>
      <c r="K17" s="2" t="s">
        <v>34</v>
      </c>
      <c r="L17" t="s">
        <v>178</v>
      </c>
      <c r="M17" t="s">
        <v>29</v>
      </c>
      <c r="N17" t="s">
        <v>30</v>
      </c>
      <c r="O17">
        <v>37246</v>
      </c>
      <c r="P17" t="s">
        <v>2276</v>
      </c>
      <c r="Q17" s="2">
        <v>5.14</v>
      </c>
      <c r="R17" s="2">
        <v>579</v>
      </c>
      <c r="S17" s="2">
        <v>0</v>
      </c>
      <c r="T17" t="s">
        <v>2277</v>
      </c>
      <c r="U17" s="6">
        <v>43781</v>
      </c>
      <c r="V17" s="2">
        <v>47037010301</v>
      </c>
      <c r="W17" s="2" t="s">
        <v>2258</v>
      </c>
      <c r="X17" s="1">
        <v>45658</v>
      </c>
      <c r="Y17" s="2">
        <v>177100</v>
      </c>
      <c r="Z17" s="2">
        <v>0</v>
      </c>
      <c r="AA17" s="2">
        <v>177100</v>
      </c>
    </row>
    <row r="18" spans="1:27" x14ac:dyDescent="0.3">
      <c r="A18" s="3">
        <v>10</v>
      </c>
      <c r="B18" s="2" t="str">
        <f>"02508008600"</f>
        <v>02508008600</v>
      </c>
      <c r="C18" s="2" t="s">
        <v>2278</v>
      </c>
      <c r="D18" t="s">
        <v>990</v>
      </c>
      <c r="E18" s="2" t="s">
        <v>30</v>
      </c>
      <c r="F18" s="2">
        <v>37072</v>
      </c>
      <c r="G18" s="2" t="s">
        <v>152</v>
      </c>
      <c r="H18" t="s">
        <v>176</v>
      </c>
      <c r="I18" s="6">
        <v>22241</v>
      </c>
      <c r="J18" s="2" t="s">
        <v>2275</v>
      </c>
      <c r="K18" s="2">
        <v>0</v>
      </c>
      <c r="L18" t="s">
        <v>542</v>
      </c>
      <c r="M18" t="s">
        <v>29</v>
      </c>
      <c r="N18" t="s">
        <v>30</v>
      </c>
      <c r="O18">
        <v>37246</v>
      </c>
      <c r="P18" t="s">
        <v>2276</v>
      </c>
      <c r="Q18" s="2">
        <v>0.28000000000000003</v>
      </c>
      <c r="R18" s="2">
        <v>276</v>
      </c>
      <c r="S18" s="2">
        <v>88</v>
      </c>
      <c r="T18" t="s">
        <v>2277</v>
      </c>
      <c r="U18" s="6">
        <v>43781</v>
      </c>
      <c r="V18" s="2">
        <v>47037010301</v>
      </c>
      <c r="W18" s="2" t="s">
        <v>2279</v>
      </c>
      <c r="X18" s="1">
        <v>45658</v>
      </c>
      <c r="Y18" s="2">
        <v>115000</v>
      </c>
      <c r="Z18" s="2">
        <v>0</v>
      </c>
      <c r="AA18" s="2">
        <v>115000</v>
      </c>
    </row>
    <row r="19" spans="1:27" x14ac:dyDescent="0.3">
      <c r="A19" s="3">
        <v>10</v>
      </c>
      <c r="B19" s="2" t="str">
        <f>"04301000200"</f>
        <v>04301000200</v>
      </c>
      <c r="C19" s="2" t="s">
        <v>2280</v>
      </c>
      <c r="D19" t="s">
        <v>866</v>
      </c>
      <c r="E19" s="2" t="s">
        <v>30</v>
      </c>
      <c r="F19" s="2">
        <v>37115</v>
      </c>
      <c r="G19" s="2" t="s">
        <v>2267</v>
      </c>
      <c r="H19" t="s">
        <v>176</v>
      </c>
      <c r="I19" s="6">
        <v>23622</v>
      </c>
      <c r="J19" s="2" t="s">
        <v>2281</v>
      </c>
      <c r="K19" s="2" t="s">
        <v>34</v>
      </c>
      <c r="L19" t="s">
        <v>178</v>
      </c>
      <c r="M19" t="s">
        <v>29</v>
      </c>
      <c r="N19" t="s">
        <v>30</v>
      </c>
      <c r="O19">
        <v>37246</v>
      </c>
      <c r="P19" t="s">
        <v>2282</v>
      </c>
      <c r="Q19" s="2">
        <v>7.62</v>
      </c>
      <c r="R19" s="2">
        <v>0</v>
      </c>
      <c r="S19" s="2">
        <v>0</v>
      </c>
      <c r="T19" t="s">
        <v>2283</v>
      </c>
      <c r="U19" s="6">
        <v>37350</v>
      </c>
      <c r="V19" s="2">
        <v>47037010801</v>
      </c>
      <c r="W19" s="2" t="s">
        <v>837</v>
      </c>
      <c r="X19" s="1">
        <v>45658</v>
      </c>
      <c r="Y19" s="2">
        <v>457200</v>
      </c>
      <c r="Z19" s="2">
        <v>0</v>
      </c>
      <c r="AA19" s="2">
        <v>457200</v>
      </c>
    </row>
    <row r="20" spans="1:27" x14ac:dyDescent="0.3">
      <c r="A20" s="3">
        <v>10</v>
      </c>
      <c r="B20" s="2" t="str">
        <f>"03405005600"</f>
        <v>03405005600</v>
      </c>
      <c r="C20" s="2" t="s">
        <v>2284</v>
      </c>
      <c r="D20" t="s">
        <v>866</v>
      </c>
      <c r="E20" s="2" t="s">
        <v>30</v>
      </c>
      <c r="F20" s="2">
        <v>37115</v>
      </c>
      <c r="G20" s="2" t="s">
        <v>253</v>
      </c>
      <c r="H20" t="s">
        <v>2285</v>
      </c>
      <c r="I20" s="6">
        <v>21860</v>
      </c>
      <c r="J20" s="2" t="s">
        <v>2286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2287</v>
      </c>
      <c r="Q20" s="2">
        <v>11.29</v>
      </c>
      <c r="R20" s="2">
        <v>0</v>
      </c>
      <c r="S20" s="2">
        <v>0</v>
      </c>
      <c r="T20" t="s">
        <v>2286</v>
      </c>
      <c r="U20" s="6">
        <v>21860</v>
      </c>
      <c r="V20" s="2">
        <v>47037010303</v>
      </c>
      <c r="W20" s="2" t="s">
        <v>2258</v>
      </c>
      <c r="X20" s="1">
        <v>45658</v>
      </c>
      <c r="Y20" s="2">
        <v>519300</v>
      </c>
      <c r="Z20" s="2">
        <v>0</v>
      </c>
      <c r="AA20" s="2">
        <v>519300</v>
      </c>
    </row>
    <row r="21" spans="1:27" x14ac:dyDescent="0.3">
      <c r="A21" s="3">
        <v>10</v>
      </c>
      <c r="B21" s="2" t="str">
        <f>"02605013100"</f>
        <v>02605013100</v>
      </c>
      <c r="C21" s="2" t="s">
        <v>2288</v>
      </c>
      <c r="D21" t="s">
        <v>990</v>
      </c>
      <c r="E21" s="2" t="s">
        <v>30</v>
      </c>
      <c r="F21" s="2">
        <v>37072</v>
      </c>
      <c r="G21" s="2" t="s">
        <v>253</v>
      </c>
      <c r="H21" t="s">
        <v>2289</v>
      </c>
      <c r="I21" s="6">
        <v>22025</v>
      </c>
      <c r="J21" s="2" t="s">
        <v>2290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2291</v>
      </c>
      <c r="Q21" s="2">
        <v>11.9</v>
      </c>
      <c r="R21" s="2">
        <v>716</v>
      </c>
      <c r="S21" s="2">
        <v>0</v>
      </c>
      <c r="T21" t="s">
        <v>2292</v>
      </c>
      <c r="U21" s="6">
        <v>40513</v>
      </c>
      <c r="V21" s="2">
        <v>47037010302</v>
      </c>
      <c r="W21" s="2" t="s">
        <v>2258</v>
      </c>
      <c r="X21" s="1">
        <v>45658</v>
      </c>
      <c r="Y21" s="2">
        <v>714000</v>
      </c>
      <c r="Z21" s="2">
        <v>0</v>
      </c>
      <c r="AA21" s="2">
        <v>714000</v>
      </c>
    </row>
    <row r="22" spans="1:27" x14ac:dyDescent="0.3">
      <c r="A22" s="3">
        <v>10</v>
      </c>
      <c r="B22" s="2" t="str">
        <f>"02605013900"</f>
        <v>02605013900</v>
      </c>
      <c r="C22" s="2" t="s">
        <v>2293</v>
      </c>
      <c r="D22" t="s">
        <v>990</v>
      </c>
      <c r="E22" s="2" t="s">
        <v>30</v>
      </c>
      <c r="F22" s="2">
        <v>37072</v>
      </c>
      <c r="G22" s="2" t="s">
        <v>152</v>
      </c>
      <c r="H22" t="s">
        <v>2289</v>
      </c>
      <c r="I22" s="6">
        <v>22025</v>
      </c>
      <c r="J22" s="2" t="s">
        <v>2290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2294</v>
      </c>
      <c r="Q22" s="2">
        <v>4</v>
      </c>
      <c r="R22" s="2">
        <v>357</v>
      </c>
      <c r="S22" s="2">
        <v>695</v>
      </c>
      <c r="T22" t="s">
        <v>2292</v>
      </c>
      <c r="U22" s="6">
        <v>40513</v>
      </c>
      <c r="V22" s="2">
        <v>47037010302</v>
      </c>
      <c r="W22" s="2" t="s">
        <v>2258</v>
      </c>
      <c r="X22" s="1">
        <v>45658</v>
      </c>
      <c r="Y22" s="2">
        <v>240000</v>
      </c>
      <c r="Z22" s="2">
        <v>0</v>
      </c>
      <c r="AA22" s="2">
        <v>240000</v>
      </c>
    </row>
    <row r="23" spans="1:27" x14ac:dyDescent="0.3">
      <c r="A23" s="3">
        <v>10</v>
      </c>
      <c r="B23" s="2" t="str">
        <f>"02605000100"</f>
        <v>02605000100</v>
      </c>
      <c r="C23" s="2" t="s">
        <v>2295</v>
      </c>
      <c r="D23" t="s">
        <v>990</v>
      </c>
      <c r="E23" s="2" t="s">
        <v>30</v>
      </c>
      <c r="F23" s="2">
        <v>37072</v>
      </c>
      <c r="G23" s="2" t="s">
        <v>253</v>
      </c>
      <c r="H23" t="s">
        <v>2296</v>
      </c>
      <c r="I23" s="6">
        <v>7893</v>
      </c>
      <c r="J23" s="2" t="s">
        <v>2297</v>
      </c>
      <c r="K23" s="2" t="s">
        <v>34</v>
      </c>
      <c r="L23" t="s">
        <v>35</v>
      </c>
      <c r="M23" t="s">
        <v>29</v>
      </c>
      <c r="N23" t="s">
        <v>30</v>
      </c>
      <c r="O23">
        <v>37219</v>
      </c>
      <c r="P23" t="s">
        <v>2298</v>
      </c>
      <c r="Q23" s="2">
        <v>7.58</v>
      </c>
      <c r="R23" s="2">
        <v>0</v>
      </c>
      <c r="S23" s="2">
        <v>0</v>
      </c>
      <c r="T23" t="s">
        <v>2297</v>
      </c>
      <c r="U23" s="6">
        <v>7893</v>
      </c>
      <c r="V23" s="2">
        <v>47037010302</v>
      </c>
      <c r="W23" s="2" t="s">
        <v>2258</v>
      </c>
      <c r="X23" s="1">
        <v>45658</v>
      </c>
      <c r="Y23" s="2">
        <v>2800500</v>
      </c>
      <c r="Z23" s="2">
        <v>0</v>
      </c>
      <c r="AA23" s="2">
        <v>2800500</v>
      </c>
    </row>
    <row r="24" spans="1:27" x14ac:dyDescent="0.3">
      <c r="A24" s="3">
        <v>10</v>
      </c>
      <c r="B24" s="2" t="str">
        <f>"01913010000"</f>
        <v>01913010000</v>
      </c>
      <c r="C24" s="2" t="s">
        <v>2299</v>
      </c>
      <c r="D24" t="s">
        <v>990</v>
      </c>
      <c r="E24" s="2" t="s">
        <v>30</v>
      </c>
      <c r="F24" s="2">
        <v>37072</v>
      </c>
      <c r="G24" s="2" t="s">
        <v>2300</v>
      </c>
      <c r="H24" t="s">
        <v>280</v>
      </c>
      <c r="I24" s="6">
        <v>25140</v>
      </c>
      <c r="J24" s="2" t="s">
        <v>2301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2302</v>
      </c>
      <c r="Q24" s="2">
        <v>0.75</v>
      </c>
      <c r="R24" s="2">
        <v>190</v>
      </c>
      <c r="S24" s="2">
        <v>202</v>
      </c>
      <c r="T24" t="s">
        <v>62</v>
      </c>
      <c r="U24" s="6">
        <v>35783</v>
      </c>
      <c r="V24" s="2">
        <v>47037010303</v>
      </c>
      <c r="W24" s="2" t="s">
        <v>2258</v>
      </c>
      <c r="X24" s="1">
        <v>45658</v>
      </c>
      <c r="Y24" s="2">
        <v>189500</v>
      </c>
      <c r="Z24" s="2">
        <v>0</v>
      </c>
      <c r="AA24" s="2">
        <v>189500</v>
      </c>
    </row>
    <row r="25" spans="1:27" x14ac:dyDescent="0.3">
      <c r="A25" s="3">
        <v>10</v>
      </c>
      <c r="B25" s="2" t="str">
        <f>"01700025200"</f>
        <v>01700025200</v>
      </c>
      <c r="C25" s="2" t="s">
        <v>2303</v>
      </c>
      <c r="D25" t="s">
        <v>990</v>
      </c>
      <c r="E25" s="2" t="s">
        <v>30</v>
      </c>
      <c r="F25" s="2">
        <v>37072</v>
      </c>
      <c r="G25" s="2" t="s">
        <v>152</v>
      </c>
      <c r="H25" t="s">
        <v>280</v>
      </c>
      <c r="I25" s="6">
        <v>23504</v>
      </c>
      <c r="J25" s="2" t="s">
        <v>2304</v>
      </c>
      <c r="K25" s="2" t="s">
        <v>34</v>
      </c>
      <c r="L25" t="s">
        <v>35</v>
      </c>
      <c r="M25" t="s">
        <v>29</v>
      </c>
      <c r="N25" t="s">
        <v>30</v>
      </c>
      <c r="O25">
        <v>37219</v>
      </c>
      <c r="P25" t="s">
        <v>2305</v>
      </c>
      <c r="Q25" s="2">
        <v>0.2</v>
      </c>
      <c r="R25" s="2">
        <v>0</v>
      </c>
      <c r="S25" s="2">
        <v>144</v>
      </c>
      <c r="T25" t="s">
        <v>2304</v>
      </c>
      <c r="U25" s="6">
        <v>23504</v>
      </c>
      <c r="V25" s="2">
        <v>47037010202</v>
      </c>
      <c r="W25" s="2" t="s">
        <v>38</v>
      </c>
      <c r="X25" s="1">
        <v>45658</v>
      </c>
      <c r="Y25" s="2">
        <v>21800</v>
      </c>
      <c r="Z25" s="2">
        <v>0</v>
      </c>
      <c r="AA25" s="2">
        <v>21800</v>
      </c>
    </row>
    <row r="26" spans="1:27" x14ac:dyDescent="0.3">
      <c r="A26" s="3">
        <v>10</v>
      </c>
      <c r="B26" s="2" t="str">
        <f>"03411001400"</f>
        <v>03411001400</v>
      </c>
      <c r="C26" s="2" t="s">
        <v>2306</v>
      </c>
      <c r="D26" t="s">
        <v>866</v>
      </c>
      <c r="E26" s="2" t="s">
        <v>30</v>
      </c>
      <c r="F26" s="2">
        <v>37115</v>
      </c>
      <c r="G26" s="2" t="s">
        <v>1485</v>
      </c>
      <c r="H26" t="s">
        <v>280</v>
      </c>
      <c r="I26" s="6">
        <v>34092</v>
      </c>
      <c r="J26" s="2" t="s">
        <v>2307</v>
      </c>
      <c r="K26" s="2">
        <v>0</v>
      </c>
      <c r="L26" t="s">
        <v>35</v>
      </c>
      <c r="M26" t="s">
        <v>29</v>
      </c>
      <c r="N26" t="s">
        <v>30</v>
      </c>
      <c r="O26">
        <v>37219</v>
      </c>
      <c r="P26" t="s">
        <v>2308</v>
      </c>
      <c r="Q26" s="2">
        <v>0.17</v>
      </c>
      <c r="R26" s="2">
        <v>75</v>
      </c>
      <c r="S26" s="2">
        <v>100</v>
      </c>
      <c r="T26" t="s">
        <v>2309</v>
      </c>
      <c r="U26" s="6">
        <v>19586</v>
      </c>
      <c r="V26" s="2">
        <v>47037010401</v>
      </c>
      <c r="W26" s="2" t="s">
        <v>38</v>
      </c>
      <c r="X26" s="1">
        <v>45658</v>
      </c>
      <c r="Y26" s="2">
        <v>37000</v>
      </c>
      <c r="Z26" s="2">
        <v>0</v>
      </c>
      <c r="AA26" s="2">
        <v>37000</v>
      </c>
    </row>
    <row r="27" spans="1:27" x14ac:dyDescent="0.3">
      <c r="A27" s="3">
        <v>10</v>
      </c>
      <c r="B27" s="2" t="str">
        <f>"03410010600"</f>
        <v>03410010600</v>
      </c>
      <c r="C27" s="2" t="s">
        <v>2310</v>
      </c>
      <c r="D27" t="s">
        <v>866</v>
      </c>
      <c r="E27" s="2" t="s">
        <v>30</v>
      </c>
      <c r="F27" s="2">
        <v>37115</v>
      </c>
      <c r="G27" s="2" t="s">
        <v>41</v>
      </c>
      <c r="H27" t="s">
        <v>280</v>
      </c>
      <c r="I27" s="6">
        <v>39888</v>
      </c>
      <c r="J27" s="2" t="s">
        <v>2311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2312</v>
      </c>
      <c r="Q27" s="2">
        <v>0.2</v>
      </c>
      <c r="R27" s="2">
        <v>47</v>
      </c>
      <c r="S27" s="2">
        <v>153</v>
      </c>
      <c r="T27" t="s">
        <v>2313</v>
      </c>
      <c r="U27" s="6">
        <v>26647</v>
      </c>
      <c r="V27" s="2">
        <v>47037010401</v>
      </c>
      <c r="W27" s="2" t="s">
        <v>38</v>
      </c>
      <c r="X27" s="1">
        <v>45658</v>
      </c>
      <c r="Y27" s="2">
        <v>43600</v>
      </c>
      <c r="Z27" s="2">
        <v>0</v>
      </c>
      <c r="AA27" s="2">
        <v>43600</v>
      </c>
    </row>
    <row r="28" spans="1:27" x14ac:dyDescent="0.3">
      <c r="A28" s="3">
        <v>10</v>
      </c>
      <c r="B28" s="2" t="str">
        <f>"03411001600"</f>
        <v>03411001600</v>
      </c>
      <c r="C28" s="2" t="s">
        <v>2310</v>
      </c>
      <c r="D28" t="s">
        <v>866</v>
      </c>
      <c r="E28" s="2" t="s">
        <v>30</v>
      </c>
      <c r="F28" s="2">
        <v>37115</v>
      </c>
      <c r="G28" s="2" t="s">
        <v>152</v>
      </c>
      <c r="H28" t="s">
        <v>280</v>
      </c>
      <c r="I28" s="6">
        <v>22654</v>
      </c>
      <c r="J28" s="2" t="s">
        <v>2314</v>
      </c>
      <c r="K28" s="2" t="s">
        <v>34</v>
      </c>
      <c r="L28" t="s">
        <v>35</v>
      </c>
      <c r="M28" t="s">
        <v>29</v>
      </c>
      <c r="N28" t="s">
        <v>30</v>
      </c>
      <c r="O28">
        <v>37219</v>
      </c>
      <c r="P28" t="s">
        <v>2315</v>
      </c>
      <c r="Q28" s="2">
        <v>0.34</v>
      </c>
      <c r="R28" s="2">
        <v>150</v>
      </c>
      <c r="S28" s="2">
        <v>105</v>
      </c>
      <c r="T28" t="s">
        <v>2316</v>
      </c>
      <c r="U28" s="6">
        <v>45603</v>
      </c>
      <c r="V28" s="2">
        <v>47047037010401</v>
      </c>
      <c r="W28" s="2" t="s">
        <v>38</v>
      </c>
      <c r="X28" s="1">
        <v>45658</v>
      </c>
      <c r="Y28" s="2">
        <v>74100</v>
      </c>
      <c r="Z28" s="2">
        <v>0</v>
      </c>
      <c r="AA28" s="2">
        <v>74100</v>
      </c>
    </row>
    <row r="29" spans="1:27" x14ac:dyDescent="0.3">
      <c r="A29" s="3">
        <v>10</v>
      </c>
      <c r="B29" s="2" t="str">
        <f>"03411001500"</f>
        <v>03411001500</v>
      </c>
      <c r="C29" s="2" t="s">
        <v>2317</v>
      </c>
      <c r="D29" t="s">
        <v>866</v>
      </c>
      <c r="E29" s="2" t="s">
        <v>30</v>
      </c>
      <c r="F29" s="2">
        <v>37115</v>
      </c>
      <c r="G29" s="2" t="s">
        <v>1471</v>
      </c>
      <c r="H29" t="s">
        <v>280</v>
      </c>
      <c r="I29" s="6">
        <v>34072</v>
      </c>
      <c r="J29" s="2" t="s">
        <v>2318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2319</v>
      </c>
      <c r="Q29" s="2">
        <v>1.03</v>
      </c>
      <c r="R29" s="2">
        <v>100</v>
      </c>
      <c r="S29" s="2">
        <v>430</v>
      </c>
      <c r="T29" t="s">
        <v>2320</v>
      </c>
      <c r="U29" s="6">
        <v>26674</v>
      </c>
      <c r="V29" s="2">
        <v>47037010401</v>
      </c>
      <c r="W29" s="2" t="s">
        <v>38</v>
      </c>
      <c r="X29" s="1">
        <v>45658</v>
      </c>
      <c r="Y29" s="2">
        <v>1240900</v>
      </c>
      <c r="Z29" s="2">
        <v>1061400</v>
      </c>
      <c r="AA29" s="2">
        <v>179500</v>
      </c>
    </row>
    <row r="30" spans="1:27" x14ac:dyDescent="0.3">
      <c r="A30" s="3">
        <v>10</v>
      </c>
      <c r="B30" s="2" t="str">
        <f>"03411002000"</f>
        <v>03411002000</v>
      </c>
      <c r="C30" s="2" t="s">
        <v>2321</v>
      </c>
      <c r="D30" t="s">
        <v>866</v>
      </c>
      <c r="E30" s="2" t="s">
        <v>30</v>
      </c>
      <c r="F30" s="2">
        <v>37115</v>
      </c>
      <c r="G30" s="2" t="s">
        <v>152</v>
      </c>
      <c r="H30" t="s">
        <v>280</v>
      </c>
      <c r="I30" s="6">
        <v>21921</v>
      </c>
      <c r="J30" s="2" t="s">
        <v>2322</v>
      </c>
      <c r="K30" s="2" t="s">
        <v>34</v>
      </c>
      <c r="L30" t="s">
        <v>35</v>
      </c>
      <c r="M30" t="s">
        <v>29</v>
      </c>
      <c r="N30" t="s">
        <v>30</v>
      </c>
      <c r="O30">
        <v>37219</v>
      </c>
      <c r="P30" t="s">
        <v>2323</v>
      </c>
      <c r="Q30" s="2">
        <v>0.23</v>
      </c>
      <c r="R30" s="2">
        <v>100</v>
      </c>
      <c r="S30" s="2">
        <v>100</v>
      </c>
      <c r="T30" t="s">
        <v>2316</v>
      </c>
      <c r="U30" s="6">
        <v>45603</v>
      </c>
      <c r="V30" s="2">
        <v>47047037010401</v>
      </c>
      <c r="W30" s="2" t="s">
        <v>38</v>
      </c>
      <c r="X30" s="1">
        <v>45658</v>
      </c>
      <c r="Y30" s="2">
        <v>50100</v>
      </c>
      <c r="Z30" s="2">
        <v>0</v>
      </c>
      <c r="AA30" s="2">
        <v>50100</v>
      </c>
    </row>
    <row r="31" spans="1:27" x14ac:dyDescent="0.3">
      <c r="A31" s="3">
        <v>10</v>
      </c>
      <c r="B31" s="2" t="str">
        <f>"03411001900"</f>
        <v>03411001900</v>
      </c>
      <c r="C31" s="2" t="s">
        <v>2324</v>
      </c>
      <c r="D31" t="s">
        <v>866</v>
      </c>
      <c r="E31" s="2" t="s">
        <v>30</v>
      </c>
      <c r="F31" s="2">
        <v>37115</v>
      </c>
      <c r="G31" s="2" t="s">
        <v>152</v>
      </c>
      <c r="H31" t="s">
        <v>280</v>
      </c>
      <c r="I31" s="6">
        <v>22654</v>
      </c>
      <c r="J31" s="2" t="s">
        <v>2314</v>
      </c>
      <c r="K31" s="2" t="s">
        <v>34</v>
      </c>
      <c r="L31" t="s">
        <v>35</v>
      </c>
      <c r="M31" t="s">
        <v>29</v>
      </c>
      <c r="N31" t="s">
        <v>30</v>
      </c>
      <c r="O31">
        <v>37219</v>
      </c>
      <c r="P31" t="s">
        <v>2325</v>
      </c>
      <c r="Q31" s="2">
        <v>0.43</v>
      </c>
      <c r="R31" s="2">
        <v>150</v>
      </c>
      <c r="S31" s="2">
        <v>130</v>
      </c>
      <c r="T31" t="s">
        <v>2316</v>
      </c>
      <c r="U31" s="6">
        <v>45603</v>
      </c>
      <c r="V31" s="2">
        <v>47047037010401</v>
      </c>
      <c r="W31" s="2" t="s">
        <v>38</v>
      </c>
      <c r="X31" s="1">
        <v>45658</v>
      </c>
      <c r="Y31" s="2">
        <v>93700</v>
      </c>
      <c r="Z31" s="2">
        <v>0</v>
      </c>
      <c r="AA31" s="2">
        <v>93700</v>
      </c>
    </row>
    <row r="32" spans="1:27" x14ac:dyDescent="0.3">
      <c r="A32" s="3">
        <v>10</v>
      </c>
      <c r="B32" s="2" t="str">
        <f>"03411002300"</f>
        <v>03411002300</v>
      </c>
      <c r="C32" s="2" t="s">
        <v>2326</v>
      </c>
      <c r="D32" t="s">
        <v>866</v>
      </c>
      <c r="E32" s="2" t="s">
        <v>30</v>
      </c>
      <c r="F32" s="2">
        <v>37115</v>
      </c>
      <c r="G32" s="2" t="s">
        <v>152</v>
      </c>
      <c r="H32" t="s">
        <v>280</v>
      </c>
      <c r="I32" s="6">
        <v>22654</v>
      </c>
      <c r="J32" s="2" t="s">
        <v>2314</v>
      </c>
      <c r="K32" s="2" t="s">
        <v>34</v>
      </c>
      <c r="L32" t="s">
        <v>35</v>
      </c>
      <c r="M32" t="s">
        <v>29</v>
      </c>
      <c r="N32" t="s">
        <v>30</v>
      </c>
      <c r="O32">
        <v>37219</v>
      </c>
      <c r="P32" t="s">
        <v>2327</v>
      </c>
      <c r="Q32" s="2">
        <v>0.51</v>
      </c>
      <c r="R32" s="2">
        <v>125</v>
      </c>
      <c r="S32" s="2">
        <v>175</v>
      </c>
      <c r="T32" t="s">
        <v>2316</v>
      </c>
      <c r="U32" s="6">
        <v>45603</v>
      </c>
      <c r="V32" s="2">
        <v>47047037010401</v>
      </c>
      <c r="W32" s="2" t="s">
        <v>38</v>
      </c>
      <c r="X32" s="1">
        <v>45658</v>
      </c>
      <c r="Y32" s="2">
        <v>55500</v>
      </c>
      <c r="Z32" s="2">
        <v>0</v>
      </c>
      <c r="AA32" s="2">
        <v>55500</v>
      </c>
    </row>
    <row r="33" spans="1:27" x14ac:dyDescent="0.3">
      <c r="A33" s="3">
        <v>10</v>
      </c>
      <c r="B33" s="2" t="str">
        <f>"03411002500"</f>
        <v>03411002500</v>
      </c>
      <c r="C33" s="2" t="s">
        <v>2310</v>
      </c>
      <c r="D33" t="s">
        <v>866</v>
      </c>
      <c r="E33" s="2" t="s">
        <v>30</v>
      </c>
      <c r="F33" s="2">
        <v>37115</v>
      </c>
      <c r="G33" s="2" t="s">
        <v>1485</v>
      </c>
      <c r="H33" t="s">
        <v>280</v>
      </c>
      <c r="I33" s="6">
        <v>34145</v>
      </c>
      <c r="J33" s="2" t="s">
        <v>2328</v>
      </c>
      <c r="K33" s="2" t="s">
        <v>34</v>
      </c>
      <c r="L33" t="s">
        <v>35</v>
      </c>
      <c r="M33" t="s">
        <v>29</v>
      </c>
      <c r="N33" t="s">
        <v>30</v>
      </c>
      <c r="O33">
        <v>37219</v>
      </c>
      <c r="P33" t="s">
        <v>2329</v>
      </c>
      <c r="Q33" s="2">
        <v>1.56</v>
      </c>
      <c r="R33" s="2">
        <v>0</v>
      </c>
      <c r="S33" s="2">
        <v>0</v>
      </c>
      <c r="T33" t="s">
        <v>2330</v>
      </c>
      <c r="U33" s="6">
        <v>22822</v>
      </c>
      <c r="V33" s="2">
        <v>47037010401</v>
      </c>
      <c r="W33" s="2" t="s">
        <v>38</v>
      </c>
      <c r="X33" s="1">
        <v>45658</v>
      </c>
      <c r="Y33" s="2">
        <v>81500</v>
      </c>
      <c r="Z33" s="2">
        <v>0</v>
      </c>
      <c r="AA33" s="2">
        <v>81500</v>
      </c>
    </row>
    <row r="34" spans="1:27" x14ac:dyDescent="0.3">
      <c r="A34" s="3">
        <v>10</v>
      </c>
      <c r="B34" s="2" t="str">
        <f>"03410010700"</f>
        <v>03410010700</v>
      </c>
      <c r="C34" s="2" t="s">
        <v>2331</v>
      </c>
      <c r="D34" t="s">
        <v>866</v>
      </c>
      <c r="E34" s="2" t="s">
        <v>30</v>
      </c>
      <c r="F34" s="2">
        <v>37115</v>
      </c>
      <c r="G34" s="2" t="s">
        <v>41</v>
      </c>
      <c r="H34" t="s">
        <v>280</v>
      </c>
      <c r="I34" s="6">
        <v>39888</v>
      </c>
      <c r="J34" s="2" t="s">
        <v>2311</v>
      </c>
      <c r="K34" s="2">
        <v>0</v>
      </c>
      <c r="L34" t="s">
        <v>35</v>
      </c>
      <c r="M34" t="s">
        <v>29</v>
      </c>
      <c r="N34" t="s">
        <v>30</v>
      </c>
      <c r="O34">
        <v>37219</v>
      </c>
      <c r="P34" t="s">
        <v>2332</v>
      </c>
      <c r="Q34" s="2">
        <v>0.35</v>
      </c>
      <c r="R34" s="2">
        <v>130</v>
      </c>
      <c r="S34" s="2">
        <v>74</v>
      </c>
      <c r="T34" t="s">
        <v>2313</v>
      </c>
      <c r="U34" s="6">
        <v>26647</v>
      </c>
      <c r="V34" s="2">
        <v>47037010401</v>
      </c>
      <c r="W34" s="2" t="s">
        <v>38</v>
      </c>
      <c r="X34" s="1">
        <v>45658</v>
      </c>
      <c r="Y34" s="2">
        <v>76200</v>
      </c>
      <c r="Z34" s="2">
        <v>0</v>
      </c>
      <c r="AA34" s="2">
        <v>76200</v>
      </c>
    </row>
    <row r="35" spans="1:27" x14ac:dyDescent="0.3">
      <c r="A35" s="3">
        <v>10</v>
      </c>
      <c r="B35" s="2" t="str">
        <f>"03411001300"</f>
        <v>03411001300</v>
      </c>
      <c r="C35" s="2" t="s">
        <v>2333</v>
      </c>
      <c r="D35" t="s">
        <v>866</v>
      </c>
      <c r="E35" s="2" t="s">
        <v>30</v>
      </c>
      <c r="F35" s="2">
        <v>37115</v>
      </c>
      <c r="G35" s="2" t="s">
        <v>1485</v>
      </c>
      <c r="H35" t="s">
        <v>280</v>
      </c>
      <c r="I35" s="6">
        <v>33540</v>
      </c>
      <c r="J35" s="2" t="s">
        <v>2334</v>
      </c>
      <c r="K35" s="2">
        <v>24000</v>
      </c>
      <c r="L35" t="s">
        <v>35</v>
      </c>
      <c r="M35" t="s">
        <v>29</v>
      </c>
      <c r="N35" t="s">
        <v>30</v>
      </c>
      <c r="O35">
        <v>37219</v>
      </c>
      <c r="P35" t="s">
        <v>2335</v>
      </c>
      <c r="Q35" s="2">
        <v>1.22</v>
      </c>
      <c r="R35" s="2">
        <v>85</v>
      </c>
      <c r="S35" s="2">
        <v>85</v>
      </c>
      <c r="T35" t="s">
        <v>2336</v>
      </c>
      <c r="U35" s="6">
        <v>36817</v>
      </c>
      <c r="V35" s="2">
        <v>47037010401</v>
      </c>
      <c r="W35" s="2" t="s">
        <v>38</v>
      </c>
      <c r="X35" s="1">
        <v>45658</v>
      </c>
      <c r="Y35" s="2">
        <v>212600</v>
      </c>
      <c r="Z35" s="2">
        <v>0</v>
      </c>
      <c r="AA35" s="2">
        <v>212600</v>
      </c>
    </row>
    <row r="36" spans="1:27" x14ac:dyDescent="0.3">
      <c r="A36" s="3">
        <v>10</v>
      </c>
      <c r="B36" s="2" t="str">
        <f>"03411001000"</f>
        <v>03411001000</v>
      </c>
      <c r="C36" s="2" t="s">
        <v>2337</v>
      </c>
      <c r="D36" t="s">
        <v>866</v>
      </c>
      <c r="E36" s="2" t="s">
        <v>30</v>
      </c>
      <c r="F36" s="2">
        <v>37115</v>
      </c>
      <c r="G36" s="2" t="s">
        <v>41</v>
      </c>
      <c r="H36" t="s">
        <v>280</v>
      </c>
      <c r="I36" s="6">
        <v>33738</v>
      </c>
      <c r="J36" s="2" t="s">
        <v>2338</v>
      </c>
      <c r="K36" s="2">
        <v>3000</v>
      </c>
      <c r="L36" t="s">
        <v>35</v>
      </c>
      <c r="M36" t="s">
        <v>29</v>
      </c>
      <c r="N36" t="s">
        <v>30</v>
      </c>
      <c r="O36">
        <v>37219</v>
      </c>
      <c r="P36" t="s">
        <v>2339</v>
      </c>
      <c r="Q36" s="2">
        <v>0.95</v>
      </c>
      <c r="R36" s="2">
        <v>175</v>
      </c>
      <c r="S36" s="2">
        <v>325</v>
      </c>
      <c r="T36" t="s">
        <v>2336</v>
      </c>
      <c r="U36" s="6">
        <v>36817</v>
      </c>
      <c r="V36" s="2">
        <v>47037010401</v>
      </c>
      <c r="W36" s="2" t="s">
        <v>38</v>
      </c>
      <c r="X36" s="1">
        <v>45658</v>
      </c>
      <c r="Y36" s="2">
        <v>206900</v>
      </c>
      <c r="Z36" s="2">
        <v>0</v>
      </c>
      <c r="AA36" s="2">
        <v>206900</v>
      </c>
    </row>
    <row r="37" spans="1:27" x14ac:dyDescent="0.3">
      <c r="A37" s="3">
        <v>10</v>
      </c>
      <c r="B37" s="2" t="str">
        <f>"03411003000"</f>
        <v>03411003000</v>
      </c>
      <c r="C37" s="2" t="s">
        <v>2310</v>
      </c>
      <c r="D37" t="s">
        <v>866</v>
      </c>
      <c r="E37" s="2" t="s">
        <v>30</v>
      </c>
      <c r="F37" s="2">
        <v>37115</v>
      </c>
      <c r="G37" s="2" t="s">
        <v>1485</v>
      </c>
      <c r="H37" t="s">
        <v>280</v>
      </c>
      <c r="I37" s="6">
        <v>33539</v>
      </c>
      <c r="J37" s="2" t="s">
        <v>2340</v>
      </c>
      <c r="K37" s="2">
        <v>51000</v>
      </c>
      <c r="L37" t="s">
        <v>35</v>
      </c>
      <c r="M37" t="s">
        <v>29</v>
      </c>
      <c r="N37" t="s">
        <v>30</v>
      </c>
      <c r="O37">
        <v>37219</v>
      </c>
      <c r="P37" t="s">
        <v>2341</v>
      </c>
      <c r="Q37" s="2">
        <v>2.39</v>
      </c>
      <c r="R37" s="2">
        <v>0</v>
      </c>
      <c r="S37" s="2">
        <v>0</v>
      </c>
      <c r="T37" t="s">
        <v>2336</v>
      </c>
      <c r="U37" s="6">
        <v>36817</v>
      </c>
      <c r="V37" s="2">
        <v>47037010401</v>
      </c>
      <c r="W37" s="2" t="s">
        <v>38</v>
      </c>
      <c r="X37" s="1">
        <v>45658</v>
      </c>
      <c r="Y37" s="2">
        <v>416400</v>
      </c>
      <c r="Z37" s="2">
        <v>0</v>
      </c>
      <c r="AA37" s="2">
        <v>416400</v>
      </c>
    </row>
    <row r="38" spans="1:27" x14ac:dyDescent="0.3">
      <c r="A38" s="3">
        <v>10</v>
      </c>
      <c r="B38" s="2" t="str">
        <f>"03411002400"</f>
        <v>03411002400</v>
      </c>
      <c r="C38" s="2" t="s">
        <v>2342</v>
      </c>
      <c r="D38" t="s">
        <v>866</v>
      </c>
      <c r="E38" s="2" t="s">
        <v>30</v>
      </c>
      <c r="F38" s="2">
        <v>37115</v>
      </c>
      <c r="G38" s="2" t="s">
        <v>1485</v>
      </c>
      <c r="H38" t="s">
        <v>280</v>
      </c>
      <c r="I38" s="6">
        <v>22654</v>
      </c>
      <c r="J38" s="2" t="s">
        <v>2314</v>
      </c>
      <c r="K38" s="2" t="s">
        <v>34</v>
      </c>
      <c r="L38" t="s">
        <v>35</v>
      </c>
      <c r="M38" t="s">
        <v>29</v>
      </c>
      <c r="N38" t="s">
        <v>30</v>
      </c>
      <c r="O38">
        <v>37219</v>
      </c>
      <c r="P38" t="s">
        <v>2343</v>
      </c>
      <c r="Q38" s="2">
        <v>27.45</v>
      </c>
      <c r="R38" s="2">
        <v>0</v>
      </c>
      <c r="S38" s="2">
        <v>0</v>
      </c>
      <c r="T38" t="s">
        <v>2316</v>
      </c>
      <c r="U38" s="6">
        <v>45603</v>
      </c>
      <c r="V38" s="2">
        <v>47047037010401</v>
      </c>
      <c r="W38" s="2" t="s">
        <v>38</v>
      </c>
      <c r="X38" s="1">
        <v>45658</v>
      </c>
      <c r="Y38" s="2">
        <v>137300</v>
      </c>
      <c r="Z38" s="2">
        <v>0</v>
      </c>
      <c r="AA38" s="2">
        <v>137300</v>
      </c>
    </row>
    <row r="39" spans="1:27" x14ac:dyDescent="0.3">
      <c r="A39" s="3">
        <v>10</v>
      </c>
      <c r="B39" s="2" t="str">
        <f>"03411002900"</f>
        <v>03411002900</v>
      </c>
      <c r="C39" s="2" t="s">
        <v>2344</v>
      </c>
      <c r="D39" t="s">
        <v>866</v>
      </c>
      <c r="E39" s="2" t="s">
        <v>30</v>
      </c>
      <c r="F39" s="2">
        <v>37115</v>
      </c>
      <c r="G39" s="2" t="s">
        <v>41</v>
      </c>
      <c r="H39" t="s">
        <v>280</v>
      </c>
      <c r="I39" s="6">
        <v>39888</v>
      </c>
      <c r="J39" s="2" t="s">
        <v>2311</v>
      </c>
      <c r="K39" s="2">
        <v>0</v>
      </c>
      <c r="L39" t="s">
        <v>35</v>
      </c>
      <c r="M39" t="s">
        <v>29</v>
      </c>
      <c r="N39" t="s">
        <v>30</v>
      </c>
      <c r="O39">
        <v>37219</v>
      </c>
      <c r="P39" t="s">
        <v>2345</v>
      </c>
      <c r="Q39" s="2">
        <v>2</v>
      </c>
      <c r="R39" s="2">
        <v>200</v>
      </c>
      <c r="S39" s="2">
        <v>467</v>
      </c>
      <c r="T39" t="s">
        <v>2316</v>
      </c>
      <c r="U39" s="6">
        <v>45603</v>
      </c>
      <c r="V39" s="2">
        <v>47047037010401</v>
      </c>
      <c r="W39" s="2" t="s">
        <v>38</v>
      </c>
      <c r="X39" s="1">
        <v>45658</v>
      </c>
      <c r="Y39" s="2">
        <v>217800</v>
      </c>
      <c r="Z39" s="2">
        <v>0</v>
      </c>
      <c r="AA39" s="2">
        <v>217800</v>
      </c>
    </row>
    <row r="40" spans="1:27" x14ac:dyDescent="0.3">
      <c r="A40" s="3">
        <v>10</v>
      </c>
      <c r="B40" s="2" t="str">
        <f>"03410010800"</f>
        <v>03410010800</v>
      </c>
      <c r="C40" s="2" t="s">
        <v>2346</v>
      </c>
      <c r="D40" t="s">
        <v>866</v>
      </c>
      <c r="E40" s="2" t="s">
        <v>30</v>
      </c>
      <c r="F40" s="2">
        <v>37115</v>
      </c>
      <c r="G40" s="2" t="s">
        <v>41</v>
      </c>
      <c r="H40" t="s">
        <v>280</v>
      </c>
      <c r="I40" s="6">
        <v>39888</v>
      </c>
      <c r="J40" s="2" t="s">
        <v>2311</v>
      </c>
      <c r="K40" s="2">
        <v>0</v>
      </c>
      <c r="L40" t="s">
        <v>35</v>
      </c>
      <c r="M40" t="s">
        <v>29</v>
      </c>
      <c r="N40" t="s">
        <v>30</v>
      </c>
      <c r="O40">
        <v>37219</v>
      </c>
      <c r="P40" t="s">
        <v>2347</v>
      </c>
      <c r="Q40" s="2">
        <v>1.7</v>
      </c>
      <c r="R40" s="2">
        <v>203</v>
      </c>
      <c r="S40" s="2">
        <v>380</v>
      </c>
      <c r="T40" t="s">
        <v>2316</v>
      </c>
      <c r="U40" s="6">
        <v>45603</v>
      </c>
      <c r="V40" s="2">
        <v>47047037010401</v>
      </c>
      <c r="W40" s="2" t="s">
        <v>38</v>
      </c>
      <c r="X40" s="1">
        <v>45658</v>
      </c>
      <c r="Y40" s="2">
        <v>370300</v>
      </c>
      <c r="Z40" s="2">
        <v>0</v>
      </c>
      <c r="AA40" s="2">
        <v>370300</v>
      </c>
    </row>
    <row r="41" spans="1:27" x14ac:dyDescent="0.3">
      <c r="A41" s="3">
        <v>10</v>
      </c>
      <c r="B41" s="2" t="str">
        <f>"03302001400"</f>
        <v>03302001400</v>
      </c>
      <c r="C41" s="2" t="s">
        <v>2348</v>
      </c>
      <c r="D41" t="s">
        <v>990</v>
      </c>
      <c r="E41" s="2" t="s">
        <v>30</v>
      </c>
      <c r="F41" s="2">
        <v>37072</v>
      </c>
      <c r="G41" s="2" t="s">
        <v>64</v>
      </c>
      <c r="H41" t="s">
        <v>379</v>
      </c>
      <c r="I41" s="6">
        <v>44721</v>
      </c>
      <c r="J41" s="2" t="s">
        <v>2349</v>
      </c>
      <c r="K41" s="2">
        <v>32110</v>
      </c>
      <c r="L41" t="s">
        <v>35</v>
      </c>
      <c r="M41" t="s">
        <v>29</v>
      </c>
      <c r="N41" t="s">
        <v>30</v>
      </c>
      <c r="O41">
        <v>37219</v>
      </c>
      <c r="P41" t="s">
        <v>2350</v>
      </c>
      <c r="Q41" s="2">
        <v>0.34</v>
      </c>
      <c r="R41" s="2">
        <v>123</v>
      </c>
      <c r="S41" s="2">
        <v>194</v>
      </c>
      <c r="T41" t="s">
        <v>2351</v>
      </c>
      <c r="U41" s="6">
        <v>24159</v>
      </c>
      <c r="V41" s="2">
        <v>47037010202</v>
      </c>
      <c r="W41" s="2" t="s">
        <v>38</v>
      </c>
      <c r="X41" s="1">
        <v>45658</v>
      </c>
      <c r="Y41" s="2">
        <v>5000</v>
      </c>
      <c r="Z41" s="2">
        <v>0</v>
      </c>
      <c r="AA41" s="2">
        <v>5000</v>
      </c>
    </row>
    <row r="48" spans="1:27" x14ac:dyDescent="0.3">
      <c r="C4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8D96-B2DA-4D4F-84AD-515EC29F7810}">
  <sheetPr>
    <tabColor rgb="FF002060"/>
  </sheetPr>
  <dimension ref="A1:AA54"/>
  <sheetViews>
    <sheetView workbookViewId="0">
      <selection activeCell="D59" sqref="D59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11</v>
      </c>
      <c r="B2" s="2" t="str">
        <f>"05315000701"</f>
        <v>05315000701</v>
      </c>
      <c r="C2" s="2" t="s">
        <v>2352</v>
      </c>
      <c r="D2" t="s">
        <v>2353</v>
      </c>
      <c r="E2" s="2" t="s">
        <v>30</v>
      </c>
      <c r="F2" s="2">
        <v>37138</v>
      </c>
      <c r="G2" s="2" t="s">
        <v>64</v>
      </c>
      <c r="H2" t="s">
        <v>32</v>
      </c>
      <c r="I2" s="6">
        <v>40691</v>
      </c>
      <c r="J2" s="2" t="s">
        <v>2354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2355</v>
      </c>
      <c r="Q2" s="2">
        <v>0.5</v>
      </c>
      <c r="R2" s="2">
        <v>0</v>
      </c>
      <c r="S2" s="2">
        <v>0</v>
      </c>
      <c r="T2" t="s">
        <v>2356</v>
      </c>
      <c r="U2" s="6">
        <v>12479</v>
      </c>
      <c r="V2" s="2">
        <v>47037010502</v>
      </c>
      <c r="W2" s="2" t="s">
        <v>38</v>
      </c>
      <c r="X2" s="1">
        <v>45658</v>
      </c>
      <c r="Y2" s="2">
        <v>5400</v>
      </c>
      <c r="Z2" s="2">
        <v>0</v>
      </c>
      <c r="AA2" s="2">
        <v>5400</v>
      </c>
    </row>
    <row r="3" spans="1:27" x14ac:dyDescent="0.3">
      <c r="A3" s="3">
        <v>11</v>
      </c>
      <c r="B3" s="2" t="str">
        <f>"05315004600"</f>
        <v>05315004600</v>
      </c>
      <c r="C3" s="2" t="s">
        <v>2357</v>
      </c>
      <c r="D3" t="s">
        <v>2353</v>
      </c>
      <c r="E3" s="2" t="s">
        <v>30</v>
      </c>
      <c r="F3" s="2">
        <v>37138</v>
      </c>
      <c r="G3" s="2" t="s">
        <v>31</v>
      </c>
      <c r="H3" t="s">
        <v>32</v>
      </c>
      <c r="I3" s="6">
        <v>40691</v>
      </c>
      <c r="J3" s="2" t="s">
        <v>2354</v>
      </c>
      <c r="K3" s="2">
        <v>125000</v>
      </c>
      <c r="L3" t="s">
        <v>35</v>
      </c>
      <c r="M3" t="s">
        <v>29</v>
      </c>
      <c r="N3" t="s">
        <v>30</v>
      </c>
      <c r="O3">
        <v>37219</v>
      </c>
      <c r="P3" t="s">
        <v>2358</v>
      </c>
      <c r="Q3" s="2">
        <v>0.57999999999999996</v>
      </c>
      <c r="R3" s="2">
        <v>0</v>
      </c>
      <c r="S3" s="2">
        <v>126</v>
      </c>
      <c r="T3" t="s">
        <v>2359</v>
      </c>
      <c r="U3" s="6">
        <v>35514</v>
      </c>
      <c r="V3" s="2">
        <v>47037010502</v>
      </c>
      <c r="W3" s="2" t="s">
        <v>38</v>
      </c>
      <c r="X3" s="1">
        <v>45658</v>
      </c>
      <c r="Y3" s="2">
        <v>16000</v>
      </c>
      <c r="Z3" s="2">
        <v>0</v>
      </c>
      <c r="AA3" s="2">
        <v>16000</v>
      </c>
    </row>
    <row r="4" spans="1:27" x14ac:dyDescent="0.3">
      <c r="A4" s="3">
        <v>11</v>
      </c>
      <c r="B4" s="2" t="str">
        <f>"05315002500"</f>
        <v>05315002500</v>
      </c>
      <c r="C4" s="2" t="s">
        <v>2360</v>
      </c>
      <c r="D4" t="s">
        <v>2353</v>
      </c>
      <c r="E4" s="2" t="s">
        <v>30</v>
      </c>
      <c r="F4" s="2">
        <v>37138</v>
      </c>
      <c r="G4" s="2" t="s">
        <v>64</v>
      </c>
      <c r="H4" t="s">
        <v>32</v>
      </c>
      <c r="I4" s="6">
        <v>40691</v>
      </c>
      <c r="J4" s="2" t="s">
        <v>2354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2361</v>
      </c>
      <c r="Q4" s="2">
        <v>1.41</v>
      </c>
      <c r="R4" s="2">
        <v>0</v>
      </c>
      <c r="S4" s="2">
        <v>0</v>
      </c>
      <c r="T4" t="s">
        <v>2362</v>
      </c>
      <c r="U4" s="6">
        <v>39636</v>
      </c>
      <c r="V4" s="2">
        <v>47037010502</v>
      </c>
      <c r="W4" s="2" t="s">
        <v>38</v>
      </c>
      <c r="X4" s="1">
        <v>45658</v>
      </c>
      <c r="Y4" s="2">
        <v>204500</v>
      </c>
      <c r="Z4" s="2">
        <v>0</v>
      </c>
      <c r="AA4" s="2">
        <v>204500</v>
      </c>
    </row>
    <row r="5" spans="1:27" x14ac:dyDescent="0.3">
      <c r="A5" s="3">
        <v>11</v>
      </c>
      <c r="B5" s="2" t="str">
        <f>"04400006300"</f>
        <v>04400006300</v>
      </c>
      <c r="C5" s="2" t="s">
        <v>2363</v>
      </c>
      <c r="D5" t="s">
        <v>2353</v>
      </c>
      <c r="E5" s="2" t="s">
        <v>30</v>
      </c>
      <c r="F5" s="2">
        <v>37138</v>
      </c>
      <c r="G5" s="2" t="s">
        <v>64</v>
      </c>
      <c r="H5" t="s">
        <v>32</v>
      </c>
      <c r="I5" s="6">
        <v>34436</v>
      </c>
      <c r="J5" s="2" t="s">
        <v>2364</v>
      </c>
      <c r="K5" s="2">
        <v>0</v>
      </c>
      <c r="L5" t="s">
        <v>85</v>
      </c>
      <c r="M5" t="s">
        <v>29</v>
      </c>
      <c r="N5" t="s">
        <v>30</v>
      </c>
      <c r="O5">
        <v>37201</v>
      </c>
      <c r="P5" t="s">
        <v>2365</v>
      </c>
      <c r="Q5" s="2">
        <v>0.5</v>
      </c>
      <c r="R5" s="2">
        <v>0</v>
      </c>
      <c r="S5" s="2">
        <v>0</v>
      </c>
      <c r="T5" t="s">
        <v>2366</v>
      </c>
      <c r="U5" s="6">
        <v>41537</v>
      </c>
      <c r="V5" s="2">
        <v>47037010501</v>
      </c>
      <c r="W5" s="2" t="s">
        <v>38</v>
      </c>
      <c r="X5" s="1">
        <v>45658</v>
      </c>
      <c r="Y5" s="2">
        <v>500</v>
      </c>
      <c r="Z5" s="2">
        <v>0</v>
      </c>
      <c r="AA5" s="2">
        <v>500</v>
      </c>
    </row>
    <row r="6" spans="1:27" x14ac:dyDescent="0.3">
      <c r="A6" s="3">
        <v>11</v>
      </c>
      <c r="B6" s="2" t="str">
        <f>"05300001000"</f>
        <v>05300001000</v>
      </c>
      <c r="C6" s="2" t="s">
        <v>2367</v>
      </c>
      <c r="D6" t="s">
        <v>2353</v>
      </c>
      <c r="E6" s="2" t="s">
        <v>30</v>
      </c>
      <c r="F6" s="2">
        <v>37138</v>
      </c>
      <c r="G6" s="2" t="s">
        <v>64</v>
      </c>
      <c r="H6" t="s">
        <v>32</v>
      </c>
      <c r="I6" s="6">
        <v>41667</v>
      </c>
      <c r="J6" s="2" t="s">
        <v>2368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2369</v>
      </c>
      <c r="Q6" s="2">
        <v>101.37</v>
      </c>
      <c r="R6" s="2">
        <v>0</v>
      </c>
      <c r="S6" s="2">
        <v>0</v>
      </c>
      <c r="T6" t="s">
        <v>2370</v>
      </c>
      <c r="U6" s="6">
        <v>35891</v>
      </c>
      <c r="V6" s="2">
        <v>47037010501</v>
      </c>
      <c r="W6" s="2" t="s">
        <v>38</v>
      </c>
      <c r="X6" s="1">
        <v>45658</v>
      </c>
      <c r="Y6" s="2">
        <v>2838400</v>
      </c>
      <c r="Z6" s="2">
        <v>0</v>
      </c>
      <c r="AA6" s="2">
        <v>2838400</v>
      </c>
    </row>
    <row r="7" spans="1:27" x14ac:dyDescent="0.3">
      <c r="A7" s="3">
        <v>11</v>
      </c>
      <c r="B7" s="2" t="str">
        <f>"05315000200"</f>
        <v>05315000200</v>
      </c>
      <c r="C7" s="2" t="s">
        <v>2371</v>
      </c>
      <c r="D7" t="s">
        <v>2353</v>
      </c>
      <c r="E7" s="2" t="s">
        <v>30</v>
      </c>
      <c r="F7" s="2">
        <v>37138</v>
      </c>
      <c r="G7" s="2" t="s">
        <v>31</v>
      </c>
      <c r="H7" t="s">
        <v>32</v>
      </c>
      <c r="I7" s="6">
        <v>40691</v>
      </c>
      <c r="J7" s="2" t="s">
        <v>2354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2372</v>
      </c>
      <c r="Q7" s="2">
        <v>4.6900000000000004</v>
      </c>
      <c r="R7" s="2">
        <v>0</v>
      </c>
      <c r="S7" s="2">
        <v>0</v>
      </c>
      <c r="T7" t="s">
        <v>2373</v>
      </c>
      <c r="U7" s="6">
        <v>39636</v>
      </c>
      <c r="V7" s="2">
        <v>47037010502</v>
      </c>
      <c r="W7" s="2" t="s">
        <v>38</v>
      </c>
      <c r="X7" s="1">
        <v>45658</v>
      </c>
      <c r="Y7" s="2">
        <v>143500</v>
      </c>
      <c r="Z7" s="2">
        <v>0</v>
      </c>
      <c r="AA7" s="2">
        <v>143500</v>
      </c>
    </row>
    <row r="8" spans="1:27" x14ac:dyDescent="0.3">
      <c r="A8" s="3">
        <v>11</v>
      </c>
      <c r="B8" s="2" t="str">
        <f>"05315004500"</f>
        <v>05315004500</v>
      </c>
      <c r="C8" s="2" t="s">
        <v>2374</v>
      </c>
      <c r="D8" t="s">
        <v>2353</v>
      </c>
      <c r="E8" s="2" t="s">
        <v>30</v>
      </c>
      <c r="F8" s="2">
        <v>37138</v>
      </c>
      <c r="G8" s="2" t="s">
        <v>31</v>
      </c>
      <c r="H8" t="s">
        <v>32</v>
      </c>
      <c r="I8" s="6">
        <v>40691</v>
      </c>
      <c r="J8" s="2" t="s">
        <v>2354</v>
      </c>
      <c r="K8" s="2">
        <v>0</v>
      </c>
      <c r="L8" t="s">
        <v>35</v>
      </c>
      <c r="M8" t="s">
        <v>29</v>
      </c>
      <c r="N8" t="s">
        <v>30</v>
      </c>
      <c r="O8">
        <v>37219</v>
      </c>
      <c r="P8" t="s">
        <v>2375</v>
      </c>
      <c r="Q8" s="2">
        <v>1.35</v>
      </c>
      <c r="R8" s="2">
        <v>0</v>
      </c>
      <c r="S8" s="2">
        <v>0</v>
      </c>
      <c r="T8" t="s">
        <v>2376</v>
      </c>
      <c r="U8" s="6">
        <v>34992</v>
      </c>
      <c r="V8" s="2">
        <v>47037010502</v>
      </c>
      <c r="W8" s="2" t="s">
        <v>38</v>
      </c>
      <c r="X8" s="1">
        <v>45658</v>
      </c>
      <c r="Y8" s="2">
        <v>88500</v>
      </c>
      <c r="Z8" s="2">
        <v>0</v>
      </c>
      <c r="AA8" s="2">
        <v>88500</v>
      </c>
    </row>
    <row r="9" spans="1:27" x14ac:dyDescent="0.3">
      <c r="A9" s="3">
        <v>11</v>
      </c>
      <c r="B9" s="2" t="str">
        <f>"05315004800"</f>
        <v>05315004800</v>
      </c>
      <c r="C9" s="2" t="s">
        <v>2374</v>
      </c>
      <c r="D9" t="s">
        <v>2353</v>
      </c>
      <c r="E9" s="2" t="s">
        <v>30</v>
      </c>
      <c r="F9" s="2">
        <v>37138</v>
      </c>
      <c r="G9" s="2" t="s">
        <v>31</v>
      </c>
      <c r="H9" t="s">
        <v>32</v>
      </c>
      <c r="I9" s="6">
        <v>40691</v>
      </c>
      <c r="J9" s="2" t="s">
        <v>2354</v>
      </c>
      <c r="K9" s="2">
        <v>0</v>
      </c>
      <c r="L9" t="s">
        <v>35</v>
      </c>
      <c r="M9" t="s">
        <v>29</v>
      </c>
      <c r="N9" t="s">
        <v>30</v>
      </c>
      <c r="O9">
        <v>37219</v>
      </c>
      <c r="P9" t="s">
        <v>2372</v>
      </c>
      <c r="Q9" s="2">
        <v>1.17</v>
      </c>
      <c r="R9" s="2">
        <v>0</v>
      </c>
      <c r="S9" s="2">
        <v>0</v>
      </c>
      <c r="T9" t="s">
        <v>2377</v>
      </c>
      <c r="U9" s="6">
        <v>37464</v>
      </c>
      <c r="V9" s="2">
        <v>47037010502</v>
      </c>
      <c r="W9" s="2" t="s">
        <v>38</v>
      </c>
      <c r="X9" s="1">
        <v>45658</v>
      </c>
      <c r="Y9" s="2">
        <v>88500</v>
      </c>
      <c r="Z9" s="2">
        <v>0</v>
      </c>
      <c r="AA9" s="2">
        <v>88500</v>
      </c>
    </row>
    <row r="10" spans="1:27" x14ac:dyDescent="0.3">
      <c r="A10" s="3">
        <v>11</v>
      </c>
      <c r="B10" s="2" t="str">
        <f>"05315005000"</f>
        <v>05315005000</v>
      </c>
      <c r="C10" s="2" t="s">
        <v>2378</v>
      </c>
      <c r="D10" t="s">
        <v>2353</v>
      </c>
      <c r="E10" s="2" t="s">
        <v>30</v>
      </c>
      <c r="F10" s="2">
        <v>37138</v>
      </c>
      <c r="G10" s="2" t="s">
        <v>2379</v>
      </c>
      <c r="H10" t="s">
        <v>32</v>
      </c>
      <c r="I10" s="6">
        <v>40691</v>
      </c>
      <c r="J10" s="2" t="s">
        <v>2354</v>
      </c>
      <c r="K10" s="2">
        <v>0</v>
      </c>
      <c r="L10" t="s">
        <v>35</v>
      </c>
      <c r="M10" t="s">
        <v>29</v>
      </c>
      <c r="N10" t="s">
        <v>30</v>
      </c>
      <c r="O10">
        <v>37219</v>
      </c>
      <c r="P10" t="s">
        <v>2380</v>
      </c>
      <c r="Q10" s="2">
        <v>0.54</v>
      </c>
      <c r="R10" s="2">
        <v>0</v>
      </c>
      <c r="S10" s="2">
        <v>247</v>
      </c>
      <c r="T10" t="s">
        <v>2381</v>
      </c>
      <c r="U10" s="6">
        <v>38555</v>
      </c>
      <c r="V10" s="2">
        <v>47037010502</v>
      </c>
      <c r="W10" s="2" t="s">
        <v>38</v>
      </c>
      <c r="X10" s="1">
        <v>45658</v>
      </c>
      <c r="Y10" s="2">
        <v>285200</v>
      </c>
      <c r="Z10" s="2">
        <v>196700</v>
      </c>
      <c r="AA10" s="2">
        <v>88500</v>
      </c>
    </row>
    <row r="11" spans="1:27" x14ac:dyDescent="0.3">
      <c r="A11" s="3">
        <v>11</v>
      </c>
      <c r="B11" s="2" t="str">
        <f>"05316006300"</f>
        <v>05316006300</v>
      </c>
      <c r="C11" s="2" t="s">
        <v>28</v>
      </c>
      <c r="D11" t="s">
        <v>2353</v>
      </c>
      <c r="E11" s="2" t="s">
        <v>30</v>
      </c>
      <c r="F11" s="2">
        <v>37138</v>
      </c>
      <c r="G11" s="2" t="s">
        <v>200</v>
      </c>
      <c r="H11" t="s">
        <v>32</v>
      </c>
      <c r="I11" s="6">
        <v>40691</v>
      </c>
      <c r="J11" s="2" t="s">
        <v>2354</v>
      </c>
      <c r="K11" s="2" t="s">
        <v>34</v>
      </c>
      <c r="L11" t="s">
        <v>35</v>
      </c>
      <c r="M11" t="s">
        <v>29</v>
      </c>
      <c r="N11" t="s">
        <v>30</v>
      </c>
      <c r="O11">
        <v>37219</v>
      </c>
      <c r="P11" t="s">
        <v>2382</v>
      </c>
      <c r="Q11" s="2">
        <v>4.24</v>
      </c>
      <c r="R11" s="2">
        <v>0</v>
      </c>
      <c r="S11" s="2">
        <v>0</v>
      </c>
      <c r="T11" t="s">
        <v>2383</v>
      </c>
      <c r="U11" s="6">
        <v>25283</v>
      </c>
      <c r="V11" s="2">
        <v>47037010502</v>
      </c>
      <c r="W11" s="2" t="s">
        <v>38</v>
      </c>
      <c r="X11" s="1">
        <v>45658</v>
      </c>
      <c r="Y11" s="2">
        <v>1292900</v>
      </c>
      <c r="Z11" s="2">
        <v>0</v>
      </c>
      <c r="AA11" s="2">
        <v>1292900</v>
      </c>
    </row>
    <row r="12" spans="1:27" x14ac:dyDescent="0.3">
      <c r="A12" s="3">
        <v>11</v>
      </c>
      <c r="B12" s="2" t="str">
        <f>"05315000301"</f>
        <v>05315000301</v>
      </c>
      <c r="C12" s="2" t="s">
        <v>2384</v>
      </c>
      <c r="D12" t="s">
        <v>2353</v>
      </c>
      <c r="E12" s="2" t="s">
        <v>30</v>
      </c>
      <c r="F12" s="2">
        <v>37138</v>
      </c>
      <c r="G12" s="2" t="s">
        <v>64</v>
      </c>
      <c r="H12" t="s">
        <v>32</v>
      </c>
      <c r="I12" s="6">
        <v>40691</v>
      </c>
      <c r="J12" s="2" t="s">
        <v>2354</v>
      </c>
      <c r="K12" s="2">
        <v>0</v>
      </c>
      <c r="L12" t="s">
        <v>35</v>
      </c>
      <c r="M12" t="s">
        <v>29</v>
      </c>
      <c r="N12" t="s">
        <v>30</v>
      </c>
      <c r="O12">
        <v>37219</v>
      </c>
      <c r="P12" t="s">
        <v>2385</v>
      </c>
      <c r="Q12" s="2">
        <v>1.31</v>
      </c>
      <c r="R12" s="2">
        <v>294</v>
      </c>
      <c r="S12" s="2">
        <v>172</v>
      </c>
      <c r="T12" t="s">
        <v>2386</v>
      </c>
      <c r="U12" s="6">
        <v>20184</v>
      </c>
      <c r="V12" s="2">
        <v>47037010502</v>
      </c>
      <c r="W12" s="2" t="s">
        <v>38</v>
      </c>
      <c r="X12" s="1">
        <v>45658</v>
      </c>
      <c r="Y12" s="2">
        <v>197300</v>
      </c>
      <c r="Z12" s="2">
        <v>0</v>
      </c>
      <c r="AA12" s="2">
        <v>197300</v>
      </c>
    </row>
    <row r="13" spans="1:27" x14ac:dyDescent="0.3">
      <c r="A13" s="3">
        <v>11</v>
      </c>
      <c r="B13" s="2" t="str">
        <f>"05315000300"</f>
        <v>05315000300</v>
      </c>
      <c r="C13" s="2" t="s">
        <v>2387</v>
      </c>
      <c r="D13" t="s">
        <v>2353</v>
      </c>
      <c r="E13" s="2" t="s">
        <v>30</v>
      </c>
      <c r="F13" s="2">
        <v>37138</v>
      </c>
      <c r="G13" s="2" t="s">
        <v>31</v>
      </c>
      <c r="H13" t="s">
        <v>32</v>
      </c>
      <c r="I13" s="6">
        <v>40691</v>
      </c>
      <c r="J13" s="2" t="s">
        <v>2354</v>
      </c>
      <c r="K13" s="2">
        <v>0</v>
      </c>
      <c r="L13" t="s">
        <v>35</v>
      </c>
      <c r="M13" t="s">
        <v>29</v>
      </c>
      <c r="N13" t="s">
        <v>30</v>
      </c>
      <c r="O13">
        <v>37219</v>
      </c>
      <c r="P13" t="s">
        <v>2388</v>
      </c>
      <c r="Q13" s="2">
        <v>8.24</v>
      </c>
      <c r="R13" s="2">
        <v>0</v>
      </c>
      <c r="S13" s="2">
        <v>0</v>
      </c>
      <c r="T13" t="s">
        <v>2389</v>
      </c>
      <c r="U13" s="6">
        <v>24559</v>
      </c>
      <c r="V13" s="2">
        <v>47037010501</v>
      </c>
      <c r="W13" s="2" t="s">
        <v>38</v>
      </c>
      <c r="X13" s="1">
        <v>45658</v>
      </c>
      <c r="Y13" s="2">
        <v>190200</v>
      </c>
      <c r="Z13" s="2">
        <v>0</v>
      </c>
      <c r="AA13" s="2">
        <v>190200</v>
      </c>
    </row>
    <row r="14" spans="1:27" x14ac:dyDescent="0.3">
      <c r="A14" s="3">
        <v>11</v>
      </c>
      <c r="B14" s="2" t="str">
        <f>"04406000200"</f>
        <v>04406000200</v>
      </c>
      <c r="C14" s="2" t="s">
        <v>2390</v>
      </c>
      <c r="D14" t="s">
        <v>2353</v>
      </c>
      <c r="E14" s="2" t="s">
        <v>30</v>
      </c>
      <c r="F14" s="2">
        <v>37138</v>
      </c>
      <c r="G14" s="2" t="s">
        <v>41</v>
      </c>
      <c r="H14" t="s">
        <v>99</v>
      </c>
      <c r="I14" s="6">
        <v>34836</v>
      </c>
      <c r="J14" s="2" t="s">
        <v>2391</v>
      </c>
      <c r="K14" s="2">
        <v>772</v>
      </c>
      <c r="L14" t="s">
        <v>35</v>
      </c>
      <c r="M14" t="s">
        <v>29</v>
      </c>
      <c r="N14" t="s">
        <v>30</v>
      </c>
      <c r="O14">
        <v>37219</v>
      </c>
      <c r="P14" t="s">
        <v>2392</v>
      </c>
      <c r="Q14" s="2">
        <v>0.05</v>
      </c>
      <c r="R14" s="2">
        <v>116</v>
      </c>
      <c r="S14" s="2">
        <v>119</v>
      </c>
      <c r="T14" t="s">
        <v>2393</v>
      </c>
      <c r="U14" s="6">
        <v>7732</v>
      </c>
      <c r="V14" s="2">
        <v>47037010501</v>
      </c>
      <c r="W14" s="2" t="s">
        <v>38</v>
      </c>
      <c r="X14" s="1">
        <v>45658</v>
      </c>
      <c r="Y14" s="2">
        <v>5900</v>
      </c>
      <c r="Z14" s="2">
        <v>0</v>
      </c>
      <c r="AA14" s="2">
        <v>5900</v>
      </c>
    </row>
    <row r="15" spans="1:27" x14ac:dyDescent="0.3">
      <c r="A15" s="3">
        <v>11</v>
      </c>
      <c r="B15" s="2" t="str">
        <f>"06404007100"</f>
        <v>06404007100</v>
      </c>
      <c r="C15" s="2" t="s">
        <v>2394</v>
      </c>
      <c r="D15" t="s">
        <v>2353</v>
      </c>
      <c r="E15" s="2" t="s">
        <v>30</v>
      </c>
      <c r="F15" s="2">
        <v>37138</v>
      </c>
      <c r="G15" s="2" t="s">
        <v>64</v>
      </c>
      <c r="H15" t="s">
        <v>99</v>
      </c>
      <c r="I15" s="6">
        <v>32898</v>
      </c>
      <c r="J15" s="2" t="s">
        <v>2395</v>
      </c>
      <c r="K15" s="2">
        <v>348</v>
      </c>
      <c r="L15" t="s">
        <v>35</v>
      </c>
      <c r="M15" t="s">
        <v>29</v>
      </c>
      <c r="N15" t="s">
        <v>30</v>
      </c>
      <c r="O15">
        <v>37219</v>
      </c>
      <c r="P15" t="s">
        <v>2396</v>
      </c>
      <c r="Q15" s="2">
        <v>0.09</v>
      </c>
      <c r="R15" s="2">
        <v>762</v>
      </c>
      <c r="S15" s="2">
        <v>10</v>
      </c>
      <c r="T15" t="s">
        <v>2397</v>
      </c>
      <c r="U15" s="6">
        <v>30627</v>
      </c>
      <c r="V15" s="2">
        <v>47037015401</v>
      </c>
      <c r="W15" s="2" t="s">
        <v>38</v>
      </c>
      <c r="X15" s="1">
        <v>45658</v>
      </c>
      <c r="Y15" s="2">
        <v>2900</v>
      </c>
      <c r="Z15" s="2">
        <v>0</v>
      </c>
      <c r="AA15" s="2">
        <v>2900</v>
      </c>
    </row>
    <row r="16" spans="1:27" x14ac:dyDescent="0.3">
      <c r="A16" s="3">
        <v>11</v>
      </c>
      <c r="B16" s="2" t="str">
        <f>"06308003400"</f>
        <v>06308003400</v>
      </c>
      <c r="C16" s="2" t="s">
        <v>2398</v>
      </c>
      <c r="D16" t="s">
        <v>2353</v>
      </c>
      <c r="E16" s="2" t="s">
        <v>30</v>
      </c>
      <c r="F16" s="2">
        <v>37138</v>
      </c>
      <c r="G16" s="2" t="s">
        <v>64</v>
      </c>
      <c r="H16" t="s">
        <v>99</v>
      </c>
      <c r="I16" s="6">
        <v>41297</v>
      </c>
      <c r="J16" s="2" t="s">
        <v>2399</v>
      </c>
      <c r="K16" s="2">
        <v>525</v>
      </c>
      <c r="L16" t="s">
        <v>35</v>
      </c>
      <c r="M16" t="s">
        <v>29</v>
      </c>
      <c r="N16" t="s">
        <v>30</v>
      </c>
      <c r="O16">
        <v>37219</v>
      </c>
      <c r="P16" t="s">
        <v>2400</v>
      </c>
      <c r="Q16" s="2">
        <v>0.09</v>
      </c>
      <c r="R16" s="2">
        <v>25</v>
      </c>
      <c r="S16" s="2">
        <v>150</v>
      </c>
      <c r="T16" t="s">
        <v>2401</v>
      </c>
      <c r="U16" s="6">
        <v>22388</v>
      </c>
      <c r="V16" s="2">
        <v>47037010502</v>
      </c>
      <c r="W16" s="2" t="s">
        <v>38</v>
      </c>
      <c r="X16" s="1">
        <v>45658</v>
      </c>
      <c r="Y16" s="2">
        <v>3000</v>
      </c>
      <c r="Z16" s="2">
        <v>0</v>
      </c>
      <c r="AA16" s="2">
        <v>3000</v>
      </c>
    </row>
    <row r="17" spans="1:27" x14ac:dyDescent="0.3">
      <c r="A17" s="3">
        <v>11</v>
      </c>
      <c r="B17" s="2" t="str">
        <f>"06409027900"</f>
        <v>06409027900</v>
      </c>
      <c r="C17" s="2" t="s">
        <v>28</v>
      </c>
      <c r="D17" t="s">
        <v>2353</v>
      </c>
      <c r="E17" s="2" t="s">
        <v>30</v>
      </c>
      <c r="F17" s="2">
        <v>37138</v>
      </c>
      <c r="G17" s="2" t="s">
        <v>64</v>
      </c>
      <c r="H17" t="s">
        <v>99</v>
      </c>
      <c r="I17" s="6">
        <v>42139</v>
      </c>
      <c r="J17" s="2" t="s">
        <v>2402</v>
      </c>
      <c r="K17" s="2">
        <v>567</v>
      </c>
      <c r="L17" t="s">
        <v>35</v>
      </c>
      <c r="M17" t="s">
        <v>29</v>
      </c>
      <c r="N17" t="s">
        <v>30</v>
      </c>
      <c r="O17">
        <v>37219</v>
      </c>
      <c r="P17" t="s">
        <v>2403</v>
      </c>
      <c r="Q17" s="2">
        <v>0.11</v>
      </c>
      <c r="R17" s="2">
        <v>20</v>
      </c>
      <c r="S17" s="2">
        <v>244</v>
      </c>
      <c r="T17" t="s">
        <v>2404</v>
      </c>
      <c r="U17" s="6">
        <v>31135</v>
      </c>
      <c r="V17" s="2">
        <v>47037010502</v>
      </c>
      <c r="W17" s="2" t="s">
        <v>38</v>
      </c>
      <c r="X17" s="1">
        <v>45658</v>
      </c>
      <c r="Y17" s="2">
        <v>1500</v>
      </c>
      <c r="Z17" s="2">
        <v>0</v>
      </c>
      <c r="AA17" s="2">
        <v>1500</v>
      </c>
    </row>
    <row r="18" spans="1:27" x14ac:dyDescent="0.3">
      <c r="A18" s="3">
        <v>11</v>
      </c>
      <c r="B18" s="2" t="str">
        <f>"04411020600"</f>
        <v>04411020600</v>
      </c>
      <c r="C18" s="2" t="s">
        <v>2405</v>
      </c>
      <c r="D18" t="s">
        <v>2353</v>
      </c>
      <c r="E18" s="2" t="s">
        <v>30</v>
      </c>
      <c r="F18" s="2">
        <v>37138</v>
      </c>
      <c r="G18" s="2" t="s">
        <v>147</v>
      </c>
      <c r="H18" t="s">
        <v>2406</v>
      </c>
      <c r="I18" s="6">
        <v>31545</v>
      </c>
      <c r="J18" s="2" t="s">
        <v>2407</v>
      </c>
      <c r="K18" s="2" t="s">
        <v>34</v>
      </c>
      <c r="L18" t="s">
        <v>35</v>
      </c>
      <c r="M18" t="s">
        <v>29</v>
      </c>
      <c r="N18" t="s">
        <v>30</v>
      </c>
      <c r="O18">
        <v>37219</v>
      </c>
      <c r="P18" t="s">
        <v>2408</v>
      </c>
      <c r="Q18" s="2">
        <v>0.85</v>
      </c>
      <c r="R18" s="2">
        <v>144</v>
      </c>
      <c r="S18" s="2">
        <v>240</v>
      </c>
      <c r="T18" t="s">
        <v>2407</v>
      </c>
      <c r="U18" s="6">
        <v>31545</v>
      </c>
      <c r="V18" s="2">
        <v>47037010501</v>
      </c>
      <c r="W18" s="2" t="s">
        <v>38</v>
      </c>
      <c r="X18" s="1">
        <v>45658</v>
      </c>
      <c r="Y18" s="2">
        <v>207300</v>
      </c>
      <c r="Z18" s="2">
        <v>0</v>
      </c>
      <c r="AA18" s="2">
        <v>207300</v>
      </c>
    </row>
    <row r="19" spans="1:27" x14ac:dyDescent="0.3">
      <c r="A19" s="3">
        <v>11</v>
      </c>
      <c r="B19" s="2" t="str">
        <f>"04415032500"</f>
        <v>04415032500</v>
      </c>
      <c r="C19" s="2" t="s">
        <v>2409</v>
      </c>
      <c r="D19" t="s">
        <v>2353</v>
      </c>
      <c r="E19" s="2" t="s">
        <v>30</v>
      </c>
      <c r="F19" s="2">
        <v>37138</v>
      </c>
      <c r="G19" s="2" t="s">
        <v>901</v>
      </c>
      <c r="H19" t="s">
        <v>2410</v>
      </c>
      <c r="I19" s="6">
        <v>29081</v>
      </c>
      <c r="J19" s="2" t="s">
        <v>2411</v>
      </c>
      <c r="K19" s="2" t="s">
        <v>34</v>
      </c>
      <c r="L19" t="s">
        <v>35</v>
      </c>
      <c r="M19" t="s">
        <v>29</v>
      </c>
      <c r="N19" t="s">
        <v>30</v>
      </c>
      <c r="O19">
        <v>37219</v>
      </c>
      <c r="P19" t="s">
        <v>2412</v>
      </c>
      <c r="Q19" s="2">
        <v>0.46</v>
      </c>
      <c r="R19" s="2">
        <v>146</v>
      </c>
      <c r="S19" s="2">
        <v>137</v>
      </c>
      <c r="T19" t="s">
        <v>2411</v>
      </c>
      <c r="U19" s="6">
        <v>29081</v>
      </c>
      <c r="V19" s="2">
        <v>47037010501</v>
      </c>
      <c r="W19" s="2" t="s">
        <v>38</v>
      </c>
      <c r="X19" s="1">
        <v>45658</v>
      </c>
      <c r="Y19" s="2">
        <v>120000</v>
      </c>
      <c r="Z19" s="2">
        <v>0</v>
      </c>
      <c r="AA19" s="2">
        <v>120000</v>
      </c>
    </row>
    <row r="20" spans="1:27" x14ac:dyDescent="0.3">
      <c r="A20" s="3">
        <v>11</v>
      </c>
      <c r="B20" s="2" t="str">
        <f>"05303000300"</f>
        <v>05303000300</v>
      </c>
      <c r="C20" s="2" t="s">
        <v>2413</v>
      </c>
      <c r="D20" t="s">
        <v>2353</v>
      </c>
      <c r="E20" s="2" t="s">
        <v>30</v>
      </c>
      <c r="F20" s="2">
        <v>37138</v>
      </c>
      <c r="G20" s="2" t="s">
        <v>152</v>
      </c>
      <c r="H20" t="s">
        <v>176</v>
      </c>
      <c r="I20" s="6">
        <v>21114</v>
      </c>
      <c r="J20" s="2" t="s">
        <v>2414</v>
      </c>
      <c r="K20" s="2" t="s">
        <v>34</v>
      </c>
      <c r="L20" t="s">
        <v>178</v>
      </c>
      <c r="M20" t="s">
        <v>29</v>
      </c>
      <c r="N20" t="s">
        <v>30</v>
      </c>
      <c r="O20">
        <v>37246</v>
      </c>
      <c r="P20" t="s">
        <v>2415</v>
      </c>
      <c r="Q20" s="2">
        <v>1.63</v>
      </c>
      <c r="R20" s="2">
        <v>278</v>
      </c>
      <c r="S20" s="2">
        <v>314</v>
      </c>
      <c r="T20" t="s">
        <v>2414</v>
      </c>
      <c r="U20" s="6">
        <v>21114</v>
      </c>
      <c r="V20" s="2">
        <v>47037010501</v>
      </c>
      <c r="W20" s="2" t="s">
        <v>38</v>
      </c>
      <c r="X20" s="1">
        <v>45658</v>
      </c>
      <c r="Y20" s="2">
        <v>369400</v>
      </c>
      <c r="Z20" s="2">
        <v>0</v>
      </c>
      <c r="AA20" s="2">
        <v>369400</v>
      </c>
    </row>
    <row r="21" spans="1:27" x14ac:dyDescent="0.3">
      <c r="A21" s="3">
        <v>11</v>
      </c>
      <c r="B21" s="2" t="str">
        <f>"05312019700"</f>
        <v>05312019700</v>
      </c>
      <c r="C21" s="2" t="s">
        <v>2416</v>
      </c>
      <c r="D21" t="s">
        <v>2353</v>
      </c>
      <c r="E21" s="2" t="s">
        <v>30</v>
      </c>
      <c r="F21" s="2">
        <v>37138</v>
      </c>
      <c r="G21" s="2" t="s">
        <v>152</v>
      </c>
      <c r="H21" t="s">
        <v>176</v>
      </c>
      <c r="I21" s="6">
        <v>19077</v>
      </c>
      <c r="J21" s="2" t="s">
        <v>2417</v>
      </c>
      <c r="K21" s="2">
        <v>875</v>
      </c>
      <c r="L21" t="s">
        <v>178</v>
      </c>
      <c r="M21" t="s">
        <v>29</v>
      </c>
      <c r="N21" t="s">
        <v>30</v>
      </c>
      <c r="O21">
        <v>37246</v>
      </c>
      <c r="P21" t="s">
        <v>2418</v>
      </c>
      <c r="Q21" s="2">
        <v>0.25</v>
      </c>
      <c r="R21" s="2">
        <v>75</v>
      </c>
      <c r="S21" s="2">
        <v>145</v>
      </c>
      <c r="T21" t="s">
        <v>2419</v>
      </c>
      <c r="U21" s="6">
        <v>27689</v>
      </c>
      <c r="V21" s="2">
        <v>47037010502</v>
      </c>
      <c r="W21" s="2" t="s">
        <v>38</v>
      </c>
      <c r="X21" s="1">
        <v>45658</v>
      </c>
      <c r="Y21" s="2">
        <v>108800</v>
      </c>
      <c r="Z21" s="2">
        <v>0</v>
      </c>
      <c r="AA21" s="2">
        <v>108800</v>
      </c>
    </row>
    <row r="22" spans="1:27" x14ac:dyDescent="0.3">
      <c r="A22" s="3">
        <v>11</v>
      </c>
      <c r="B22" s="2" t="str">
        <f>"05316012700"</f>
        <v>05316012700</v>
      </c>
      <c r="C22" s="2" t="s">
        <v>2420</v>
      </c>
      <c r="D22" t="s">
        <v>2353</v>
      </c>
      <c r="E22" s="2" t="s">
        <v>30</v>
      </c>
      <c r="F22" s="2">
        <v>37138</v>
      </c>
      <c r="G22" s="2" t="s">
        <v>64</v>
      </c>
      <c r="H22" t="s">
        <v>206</v>
      </c>
      <c r="I22" s="6">
        <v>40691</v>
      </c>
      <c r="J22" s="2" t="s">
        <v>2354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2421</v>
      </c>
      <c r="Q22" s="2">
        <v>1.19</v>
      </c>
      <c r="R22" s="2">
        <v>0</v>
      </c>
      <c r="S22" s="2">
        <v>0</v>
      </c>
      <c r="T22" t="s">
        <v>2422</v>
      </c>
      <c r="U22" s="6">
        <v>27341</v>
      </c>
      <c r="V22" s="2">
        <v>47037010502</v>
      </c>
      <c r="W22" s="2" t="s">
        <v>38</v>
      </c>
      <c r="X22" s="1">
        <v>45658</v>
      </c>
      <c r="Y22" s="2">
        <v>188700</v>
      </c>
      <c r="Z22" s="2">
        <v>0</v>
      </c>
      <c r="AA22" s="2">
        <v>188700</v>
      </c>
    </row>
    <row r="23" spans="1:27" x14ac:dyDescent="0.3">
      <c r="A23" s="3">
        <v>11</v>
      </c>
      <c r="B23" s="2" t="str">
        <f>"05307000100"</f>
        <v>05307000100</v>
      </c>
      <c r="C23" s="2" t="s">
        <v>2423</v>
      </c>
      <c r="D23" t="s">
        <v>2353</v>
      </c>
      <c r="E23" s="2" t="s">
        <v>30</v>
      </c>
      <c r="F23" s="2">
        <v>37138</v>
      </c>
      <c r="G23" s="2" t="s">
        <v>64</v>
      </c>
      <c r="H23" t="s">
        <v>211</v>
      </c>
      <c r="I23" s="6">
        <v>41438</v>
      </c>
      <c r="J23" s="2" t="s">
        <v>2424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2425</v>
      </c>
      <c r="Q23" s="2">
        <v>6.01</v>
      </c>
      <c r="R23" s="2">
        <v>500</v>
      </c>
      <c r="S23" s="2">
        <v>134</v>
      </c>
      <c r="T23" t="s">
        <v>2426</v>
      </c>
      <c r="U23" s="6">
        <v>21503</v>
      </c>
      <c r="V23" s="2">
        <v>47037010501</v>
      </c>
      <c r="W23" s="2" t="s">
        <v>38</v>
      </c>
      <c r="X23" s="1">
        <v>45658</v>
      </c>
      <c r="Y23" s="2">
        <v>356400</v>
      </c>
      <c r="Z23" s="2">
        <v>0</v>
      </c>
      <c r="AA23" s="2">
        <v>356400</v>
      </c>
    </row>
    <row r="24" spans="1:27" x14ac:dyDescent="0.3">
      <c r="A24" s="3">
        <v>11</v>
      </c>
      <c r="B24" s="2" t="str">
        <f>"06308003100"</f>
        <v>06308003100</v>
      </c>
      <c r="C24" s="2" t="s">
        <v>2427</v>
      </c>
      <c r="D24" t="s">
        <v>2353</v>
      </c>
      <c r="E24" s="2" t="s">
        <v>30</v>
      </c>
      <c r="F24" s="2">
        <v>37138</v>
      </c>
      <c r="G24" s="2" t="s">
        <v>64</v>
      </c>
      <c r="H24" t="s">
        <v>211</v>
      </c>
      <c r="I24" s="6">
        <v>28789</v>
      </c>
      <c r="J24" s="2" t="s">
        <v>2428</v>
      </c>
      <c r="K24" s="2">
        <v>127</v>
      </c>
      <c r="L24" t="s">
        <v>35</v>
      </c>
      <c r="M24" t="s">
        <v>29</v>
      </c>
      <c r="N24" t="s">
        <v>30</v>
      </c>
      <c r="O24">
        <v>37219</v>
      </c>
      <c r="P24" t="s">
        <v>2429</v>
      </c>
      <c r="Q24" s="2">
        <v>0.09</v>
      </c>
      <c r="R24" s="2">
        <v>25</v>
      </c>
      <c r="S24" s="2">
        <v>150</v>
      </c>
      <c r="T24" t="s">
        <v>2430</v>
      </c>
      <c r="U24" s="6">
        <v>26737</v>
      </c>
      <c r="V24" s="2">
        <v>47037010502</v>
      </c>
      <c r="W24" s="2" t="s">
        <v>38</v>
      </c>
      <c r="X24" s="1">
        <v>45658</v>
      </c>
      <c r="Y24" s="2">
        <v>3000</v>
      </c>
      <c r="Z24" s="2">
        <v>0</v>
      </c>
      <c r="AA24" s="2">
        <v>3000</v>
      </c>
    </row>
    <row r="25" spans="1:27" x14ac:dyDescent="0.3">
      <c r="A25" s="3">
        <v>11</v>
      </c>
      <c r="B25" s="2" t="str">
        <f>"06308003200"</f>
        <v>06308003200</v>
      </c>
      <c r="C25" s="2" t="s">
        <v>2427</v>
      </c>
      <c r="D25" t="s">
        <v>2353</v>
      </c>
      <c r="E25" s="2" t="s">
        <v>30</v>
      </c>
      <c r="F25" s="2">
        <v>37138</v>
      </c>
      <c r="G25" s="2" t="s">
        <v>64</v>
      </c>
      <c r="H25" t="s">
        <v>211</v>
      </c>
      <c r="I25" s="6">
        <v>27011</v>
      </c>
      <c r="J25" s="2" t="s">
        <v>2431</v>
      </c>
      <c r="K25" s="2">
        <v>127</v>
      </c>
      <c r="L25" t="s">
        <v>35</v>
      </c>
      <c r="M25" t="s">
        <v>29</v>
      </c>
      <c r="N25" t="s">
        <v>30</v>
      </c>
      <c r="O25">
        <v>37219</v>
      </c>
      <c r="P25" t="s">
        <v>2432</v>
      </c>
      <c r="Q25" s="2">
        <v>0.09</v>
      </c>
      <c r="R25" s="2">
        <v>50</v>
      </c>
      <c r="S25" s="2">
        <v>75</v>
      </c>
      <c r="T25" t="s">
        <v>2401</v>
      </c>
      <c r="U25" s="6">
        <v>22418</v>
      </c>
      <c r="V25" s="2">
        <v>47037010502</v>
      </c>
      <c r="W25" s="2" t="s">
        <v>38</v>
      </c>
      <c r="X25" s="1">
        <v>45658</v>
      </c>
      <c r="Y25" s="2">
        <v>3000</v>
      </c>
      <c r="Z25" s="2">
        <v>0</v>
      </c>
      <c r="AA25" s="2">
        <v>3000</v>
      </c>
    </row>
    <row r="26" spans="1:27" x14ac:dyDescent="0.3">
      <c r="A26" s="3">
        <v>11</v>
      </c>
      <c r="B26" s="2" t="str">
        <f>"06312002400"</f>
        <v>06312002400</v>
      </c>
      <c r="C26" s="2" t="s">
        <v>2433</v>
      </c>
      <c r="D26" t="s">
        <v>2353</v>
      </c>
      <c r="E26" s="2" t="s">
        <v>30</v>
      </c>
      <c r="F26" s="2">
        <v>37138</v>
      </c>
      <c r="G26" s="2" t="s">
        <v>64</v>
      </c>
      <c r="H26" t="s">
        <v>211</v>
      </c>
      <c r="I26" s="6">
        <v>33374</v>
      </c>
      <c r="J26" s="2" t="s">
        <v>2434</v>
      </c>
      <c r="K26" s="2">
        <v>585</v>
      </c>
      <c r="L26" t="s">
        <v>35</v>
      </c>
      <c r="M26" t="s">
        <v>29</v>
      </c>
      <c r="N26" t="s">
        <v>30</v>
      </c>
      <c r="O26">
        <v>37219</v>
      </c>
      <c r="P26" t="s">
        <v>2435</v>
      </c>
      <c r="Q26" s="2">
        <v>0.1</v>
      </c>
      <c r="R26" s="2">
        <v>20</v>
      </c>
      <c r="S26" s="2">
        <v>102</v>
      </c>
      <c r="T26" t="s">
        <v>2436</v>
      </c>
      <c r="U26" s="6">
        <v>31135</v>
      </c>
      <c r="V26" s="2">
        <v>47037010502</v>
      </c>
      <c r="W26" s="2" t="s">
        <v>38</v>
      </c>
      <c r="X26" s="1">
        <v>45658</v>
      </c>
      <c r="Y26" s="2">
        <v>3000</v>
      </c>
      <c r="Z26" s="2">
        <v>0</v>
      </c>
      <c r="AA26" s="2">
        <v>3000</v>
      </c>
    </row>
    <row r="27" spans="1:27" x14ac:dyDescent="0.3">
      <c r="A27" s="3">
        <v>11</v>
      </c>
      <c r="B27" s="2" t="str">
        <f>"05315002400"</f>
        <v>05315002400</v>
      </c>
      <c r="C27" s="2" t="s">
        <v>2437</v>
      </c>
      <c r="D27" t="s">
        <v>2353</v>
      </c>
      <c r="E27" s="2" t="s">
        <v>30</v>
      </c>
      <c r="F27" s="2">
        <v>37138</v>
      </c>
      <c r="G27" s="2" t="s">
        <v>31</v>
      </c>
      <c r="H27" t="s">
        <v>211</v>
      </c>
      <c r="I27" s="6">
        <v>40691</v>
      </c>
      <c r="J27" s="2" t="s">
        <v>2354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2438</v>
      </c>
      <c r="Q27" s="2">
        <v>42.92</v>
      </c>
      <c r="R27" s="2">
        <v>0</v>
      </c>
      <c r="S27" s="2">
        <v>0</v>
      </c>
      <c r="T27" t="s">
        <v>2362</v>
      </c>
      <c r="U27" s="6">
        <v>39636</v>
      </c>
      <c r="V27" s="2">
        <v>47037010502</v>
      </c>
      <c r="W27" s="2" t="s">
        <v>38</v>
      </c>
      <c r="X27" s="1">
        <v>45658</v>
      </c>
      <c r="Y27" s="2">
        <v>733200</v>
      </c>
      <c r="Z27" s="2">
        <v>0</v>
      </c>
      <c r="AA27" s="2">
        <v>733200</v>
      </c>
    </row>
    <row r="28" spans="1:27" x14ac:dyDescent="0.3">
      <c r="A28" s="3">
        <v>11</v>
      </c>
      <c r="B28" s="2" t="str">
        <f>"06400002000"</f>
        <v>06400002000</v>
      </c>
      <c r="C28" s="2" t="s">
        <v>2439</v>
      </c>
      <c r="D28" t="s">
        <v>2353</v>
      </c>
      <c r="E28" s="2" t="s">
        <v>30</v>
      </c>
      <c r="F28" s="2">
        <v>37138</v>
      </c>
      <c r="G28" s="2" t="s">
        <v>253</v>
      </c>
      <c r="H28" t="s">
        <v>2440</v>
      </c>
      <c r="I28" s="6">
        <v>19486</v>
      </c>
      <c r="J28" s="2" t="s">
        <v>2441</v>
      </c>
      <c r="K28" s="2" t="s">
        <v>34</v>
      </c>
      <c r="L28" t="s">
        <v>35</v>
      </c>
      <c r="M28" t="s">
        <v>29</v>
      </c>
      <c r="N28" t="s">
        <v>30</v>
      </c>
      <c r="O28">
        <v>37219</v>
      </c>
      <c r="P28" t="s">
        <v>2442</v>
      </c>
      <c r="Q28" s="2">
        <v>15.09</v>
      </c>
      <c r="R28" s="2">
        <v>0</v>
      </c>
      <c r="S28" s="2">
        <v>0</v>
      </c>
      <c r="T28" t="s">
        <v>278</v>
      </c>
      <c r="U28" s="6">
        <v>34997</v>
      </c>
      <c r="V28" s="2">
        <v>47037015401</v>
      </c>
      <c r="W28" s="2" t="s">
        <v>38</v>
      </c>
      <c r="X28" s="1">
        <v>45658</v>
      </c>
      <c r="Y28" s="2">
        <v>572000</v>
      </c>
      <c r="Z28" s="2">
        <v>0</v>
      </c>
      <c r="AA28" s="2">
        <v>572000</v>
      </c>
    </row>
    <row r="29" spans="1:27" x14ac:dyDescent="0.3">
      <c r="A29" s="3">
        <v>11</v>
      </c>
      <c r="B29" s="2" t="str">
        <f>"05307006000"</f>
        <v>05307006000</v>
      </c>
      <c r="C29" s="2" t="s">
        <v>2443</v>
      </c>
      <c r="D29" t="s">
        <v>2353</v>
      </c>
      <c r="E29" s="2" t="s">
        <v>30</v>
      </c>
      <c r="F29" s="2">
        <v>37138</v>
      </c>
      <c r="G29" s="2" t="s">
        <v>253</v>
      </c>
      <c r="H29" t="s">
        <v>2444</v>
      </c>
      <c r="I29" s="6">
        <v>13395</v>
      </c>
      <c r="J29" s="2" t="s">
        <v>2445</v>
      </c>
      <c r="K29" s="2" t="s">
        <v>34</v>
      </c>
      <c r="L29" t="s">
        <v>35</v>
      </c>
      <c r="M29" t="s">
        <v>29</v>
      </c>
      <c r="N29" t="s">
        <v>30</v>
      </c>
      <c r="O29">
        <v>37219</v>
      </c>
      <c r="P29" t="s">
        <v>2446</v>
      </c>
      <c r="Q29" s="2">
        <v>11.54</v>
      </c>
      <c r="R29" s="2">
        <v>0</v>
      </c>
      <c r="S29" s="2">
        <v>0</v>
      </c>
      <c r="T29" t="s">
        <v>2447</v>
      </c>
      <c r="U29" s="6">
        <v>27684</v>
      </c>
      <c r="V29" s="2">
        <v>47037010501</v>
      </c>
      <c r="W29" s="2" t="s">
        <v>38</v>
      </c>
      <c r="X29" s="1">
        <v>45658</v>
      </c>
      <c r="Y29" s="2">
        <v>535400</v>
      </c>
      <c r="Z29" s="2">
        <v>0</v>
      </c>
      <c r="AA29" s="2">
        <v>535400</v>
      </c>
    </row>
    <row r="30" spans="1:27" x14ac:dyDescent="0.3">
      <c r="A30" s="3">
        <v>11</v>
      </c>
      <c r="B30" s="2" t="str">
        <f>"04414013100"</f>
        <v>04414013100</v>
      </c>
      <c r="C30" s="2" t="s">
        <v>2448</v>
      </c>
      <c r="D30" t="s">
        <v>2353</v>
      </c>
      <c r="E30" s="2" t="s">
        <v>30</v>
      </c>
      <c r="F30" s="2">
        <v>37138</v>
      </c>
      <c r="G30" s="2" t="s">
        <v>253</v>
      </c>
      <c r="H30" t="s">
        <v>2444</v>
      </c>
      <c r="I30" s="6">
        <v>17547</v>
      </c>
      <c r="J30" s="2" t="s">
        <v>2449</v>
      </c>
      <c r="K30" s="2" t="s">
        <v>34</v>
      </c>
      <c r="L30" t="s">
        <v>35</v>
      </c>
      <c r="M30" t="s">
        <v>29</v>
      </c>
      <c r="N30" t="s">
        <v>30</v>
      </c>
      <c r="O30">
        <v>37219</v>
      </c>
      <c r="P30" t="s">
        <v>2450</v>
      </c>
      <c r="Q30" s="2">
        <v>9.8000000000000007</v>
      </c>
      <c r="R30" s="2">
        <v>0</v>
      </c>
      <c r="S30" s="2">
        <v>0</v>
      </c>
      <c r="T30" t="s">
        <v>2449</v>
      </c>
      <c r="U30" s="6">
        <v>17547</v>
      </c>
      <c r="V30" s="2">
        <v>47037010501</v>
      </c>
      <c r="W30" s="2" t="s">
        <v>38</v>
      </c>
      <c r="X30" s="1">
        <v>45658</v>
      </c>
      <c r="Y30" s="2">
        <v>472800</v>
      </c>
      <c r="Z30" s="2">
        <v>0</v>
      </c>
      <c r="AA30" s="2">
        <v>472800</v>
      </c>
    </row>
    <row r="31" spans="1:27" x14ac:dyDescent="0.3">
      <c r="A31" s="3">
        <v>11</v>
      </c>
      <c r="B31" s="2" t="str">
        <f>"04410001800"</f>
        <v>04410001800</v>
      </c>
      <c r="C31" s="2" t="s">
        <v>2451</v>
      </c>
      <c r="D31" t="s">
        <v>2353</v>
      </c>
      <c r="E31" s="2" t="s">
        <v>30</v>
      </c>
      <c r="F31" s="2">
        <v>37138</v>
      </c>
      <c r="G31" s="2" t="s">
        <v>152</v>
      </c>
      <c r="H31" t="s">
        <v>280</v>
      </c>
      <c r="I31" s="6">
        <v>41438</v>
      </c>
      <c r="J31" s="2" t="s">
        <v>2424</v>
      </c>
      <c r="K31" s="2">
        <v>0</v>
      </c>
      <c r="L31" t="s">
        <v>35</v>
      </c>
      <c r="M31" t="s">
        <v>29</v>
      </c>
      <c r="N31" t="s">
        <v>30</v>
      </c>
      <c r="O31">
        <v>37219</v>
      </c>
      <c r="P31" t="s">
        <v>2452</v>
      </c>
      <c r="Q31" s="2">
        <v>1.1399999999999999</v>
      </c>
      <c r="R31" s="2">
        <v>0</v>
      </c>
      <c r="S31" s="2">
        <v>0</v>
      </c>
      <c r="T31" t="s">
        <v>2453</v>
      </c>
      <c r="U31" s="6">
        <v>23036</v>
      </c>
      <c r="V31" s="2">
        <v>47037010501</v>
      </c>
      <c r="W31" s="2" t="s">
        <v>38</v>
      </c>
      <c r="X31" s="1">
        <v>45658</v>
      </c>
      <c r="Y31" s="2">
        <v>337700</v>
      </c>
      <c r="Z31" s="2">
        <v>0</v>
      </c>
      <c r="AA31" s="2">
        <v>337700</v>
      </c>
    </row>
    <row r="32" spans="1:27" x14ac:dyDescent="0.3">
      <c r="A32" s="3">
        <v>11</v>
      </c>
      <c r="B32" s="2" t="str">
        <f>"04411001100"</f>
        <v>04411001100</v>
      </c>
      <c r="C32" s="2" t="s">
        <v>2454</v>
      </c>
      <c r="D32" t="s">
        <v>2353</v>
      </c>
      <c r="E32" s="2" t="s">
        <v>30</v>
      </c>
      <c r="F32" s="2">
        <v>37138</v>
      </c>
      <c r="G32" s="2" t="s">
        <v>152</v>
      </c>
      <c r="H32" t="s">
        <v>280</v>
      </c>
      <c r="I32" s="6">
        <v>41438</v>
      </c>
      <c r="J32" s="2" t="s">
        <v>2424</v>
      </c>
      <c r="K32" s="2">
        <v>0</v>
      </c>
      <c r="L32" t="s">
        <v>35</v>
      </c>
      <c r="M32" t="s">
        <v>29</v>
      </c>
      <c r="N32" t="s">
        <v>30</v>
      </c>
      <c r="O32">
        <v>37219</v>
      </c>
      <c r="P32" t="s">
        <v>2455</v>
      </c>
      <c r="Q32" s="2">
        <v>11.09</v>
      </c>
      <c r="R32" s="2">
        <v>0</v>
      </c>
      <c r="S32" s="2">
        <v>0</v>
      </c>
      <c r="T32" t="s">
        <v>2407</v>
      </c>
      <c r="U32" s="6">
        <v>31545</v>
      </c>
      <c r="V32" s="2">
        <v>47037010501</v>
      </c>
      <c r="W32" s="2" t="s">
        <v>38</v>
      </c>
      <c r="X32" s="1">
        <v>45658</v>
      </c>
      <c r="Y32" s="2">
        <v>2033900</v>
      </c>
      <c r="Z32" s="2">
        <v>0</v>
      </c>
      <c r="AA32" s="2">
        <v>2033900</v>
      </c>
    </row>
    <row r="33" spans="1:27" x14ac:dyDescent="0.3">
      <c r="A33" s="3">
        <v>11</v>
      </c>
      <c r="B33" s="2" t="str">
        <f>"04411000700"</f>
        <v>04411000700</v>
      </c>
      <c r="C33" s="2" t="s">
        <v>2456</v>
      </c>
      <c r="D33" t="s">
        <v>2353</v>
      </c>
      <c r="E33" s="2" t="s">
        <v>30</v>
      </c>
      <c r="F33" s="2">
        <v>37138</v>
      </c>
      <c r="G33" s="2" t="s">
        <v>152</v>
      </c>
      <c r="H33" t="s">
        <v>280</v>
      </c>
      <c r="I33" s="6">
        <v>41438</v>
      </c>
      <c r="J33" s="2" t="s">
        <v>2424</v>
      </c>
      <c r="K33" s="2">
        <v>0</v>
      </c>
      <c r="L33" t="s">
        <v>35</v>
      </c>
      <c r="M33" t="s">
        <v>29</v>
      </c>
      <c r="N33" t="s">
        <v>30</v>
      </c>
      <c r="O33">
        <v>37219</v>
      </c>
      <c r="P33" t="s">
        <v>2457</v>
      </c>
      <c r="Q33" s="2">
        <v>1.35</v>
      </c>
      <c r="R33" s="2">
        <v>0</v>
      </c>
      <c r="S33" s="2">
        <v>0</v>
      </c>
      <c r="T33" t="s">
        <v>2458</v>
      </c>
      <c r="U33" s="6">
        <v>18947</v>
      </c>
      <c r="V33" s="2">
        <v>47037010501</v>
      </c>
      <c r="W33" s="2" t="s">
        <v>38</v>
      </c>
      <c r="X33" s="1">
        <v>45658</v>
      </c>
      <c r="Y33" s="2">
        <v>329300</v>
      </c>
      <c r="Z33" s="2">
        <v>0</v>
      </c>
      <c r="AA33" s="2">
        <v>329300</v>
      </c>
    </row>
    <row r="34" spans="1:27" x14ac:dyDescent="0.3">
      <c r="A34" s="3">
        <v>11</v>
      </c>
      <c r="B34" s="2" t="str">
        <f>"05300000800"</f>
        <v>05300000800</v>
      </c>
      <c r="C34" s="2" t="s">
        <v>2459</v>
      </c>
      <c r="D34" t="s">
        <v>2353</v>
      </c>
      <c r="E34" s="2" t="s">
        <v>30</v>
      </c>
      <c r="F34" s="2">
        <v>37138</v>
      </c>
      <c r="G34" s="2" t="s">
        <v>152</v>
      </c>
      <c r="H34" t="s">
        <v>280</v>
      </c>
      <c r="I34" s="6">
        <v>41438</v>
      </c>
      <c r="J34" s="2" t="s">
        <v>2424</v>
      </c>
      <c r="K34" s="2">
        <v>0</v>
      </c>
      <c r="L34" t="s">
        <v>35</v>
      </c>
      <c r="M34" t="s">
        <v>29</v>
      </c>
      <c r="N34" t="s">
        <v>30</v>
      </c>
      <c r="O34">
        <v>37219</v>
      </c>
      <c r="P34" t="s">
        <v>2460</v>
      </c>
      <c r="Q34" s="2">
        <v>5.8</v>
      </c>
      <c r="R34" s="2">
        <v>0</v>
      </c>
      <c r="S34" s="2">
        <v>0</v>
      </c>
      <c r="T34" t="s">
        <v>2458</v>
      </c>
      <c r="U34" s="6">
        <v>18947</v>
      </c>
      <c r="V34" s="2">
        <v>47037010501</v>
      </c>
      <c r="W34" s="2" t="s">
        <v>38</v>
      </c>
      <c r="X34" s="1">
        <v>45658</v>
      </c>
      <c r="Y34" s="2">
        <v>1414900</v>
      </c>
      <c r="Z34" s="2">
        <v>0</v>
      </c>
      <c r="AA34" s="2">
        <v>1414900</v>
      </c>
    </row>
    <row r="35" spans="1:27" x14ac:dyDescent="0.3">
      <c r="A35" s="3">
        <v>11</v>
      </c>
      <c r="B35" s="2" t="str">
        <f>"06400011200"</f>
        <v>06400011200</v>
      </c>
      <c r="C35" s="2" t="s">
        <v>2461</v>
      </c>
      <c r="D35" t="s">
        <v>2353</v>
      </c>
      <c r="E35" s="2" t="s">
        <v>30</v>
      </c>
      <c r="F35" s="2">
        <v>37138</v>
      </c>
      <c r="G35" s="2" t="s">
        <v>64</v>
      </c>
      <c r="H35" t="s">
        <v>280</v>
      </c>
      <c r="I35" s="6">
        <v>37825</v>
      </c>
      <c r="J35" s="2" t="s">
        <v>2462</v>
      </c>
      <c r="K35" s="2">
        <v>0</v>
      </c>
      <c r="L35" t="s">
        <v>35</v>
      </c>
      <c r="M35" t="s">
        <v>29</v>
      </c>
      <c r="N35" t="s">
        <v>30</v>
      </c>
      <c r="O35">
        <v>37219</v>
      </c>
      <c r="P35" t="s">
        <v>2463</v>
      </c>
      <c r="Q35" s="2">
        <v>0.24</v>
      </c>
      <c r="R35" s="2">
        <v>0</v>
      </c>
      <c r="S35" s="2">
        <v>0</v>
      </c>
      <c r="T35" t="s">
        <v>2464</v>
      </c>
      <c r="U35" s="6">
        <v>34471</v>
      </c>
      <c r="V35" s="2">
        <v>47037010502</v>
      </c>
      <c r="W35" s="2" t="s">
        <v>38</v>
      </c>
      <c r="X35" s="1">
        <v>45658</v>
      </c>
      <c r="Y35" s="2">
        <v>120000</v>
      </c>
      <c r="Z35" s="2">
        <v>0</v>
      </c>
      <c r="AA35" s="2">
        <v>120000</v>
      </c>
    </row>
    <row r="36" spans="1:27" x14ac:dyDescent="0.3">
      <c r="A36" s="3">
        <v>11</v>
      </c>
      <c r="B36" s="2" t="str">
        <f>"06408005300"</f>
        <v>06408005300</v>
      </c>
      <c r="C36" s="2" t="s">
        <v>2465</v>
      </c>
      <c r="D36" t="s">
        <v>2353</v>
      </c>
      <c r="E36" s="2" t="s">
        <v>30</v>
      </c>
      <c r="F36" s="2">
        <v>37138</v>
      </c>
      <c r="G36" s="2" t="s">
        <v>1253</v>
      </c>
      <c r="H36" t="s">
        <v>280</v>
      </c>
      <c r="I36" s="6">
        <v>34170</v>
      </c>
      <c r="J36" s="2" t="s">
        <v>2466</v>
      </c>
      <c r="K36" s="2">
        <v>0</v>
      </c>
      <c r="L36" t="s">
        <v>2247</v>
      </c>
      <c r="M36" t="s">
        <v>29</v>
      </c>
      <c r="N36" t="s">
        <v>30</v>
      </c>
      <c r="O36">
        <v>37219</v>
      </c>
      <c r="P36" t="s">
        <v>2467</v>
      </c>
      <c r="Q36" s="2">
        <v>0.28000000000000003</v>
      </c>
      <c r="R36" s="2">
        <v>29</v>
      </c>
      <c r="S36" s="2">
        <v>259</v>
      </c>
      <c r="T36" t="s">
        <v>2468</v>
      </c>
      <c r="U36" s="6">
        <v>28349</v>
      </c>
      <c r="V36" s="2">
        <v>47037015401</v>
      </c>
      <c r="W36" s="2" t="s">
        <v>38</v>
      </c>
      <c r="X36" s="1">
        <v>45658</v>
      </c>
      <c r="Y36" s="2">
        <v>2900</v>
      </c>
      <c r="Z36" s="2">
        <v>0</v>
      </c>
      <c r="AA36" s="2">
        <v>2900</v>
      </c>
    </row>
    <row r="37" spans="1:27" x14ac:dyDescent="0.3">
      <c r="A37" s="3">
        <v>11</v>
      </c>
      <c r="B37" s="2" t="str">
        <f>"06409009100"</f>
        <v>06409009100</v>
      </c>
      <c r="C37" s="2" t="s">
        <v>2469</v>
      </c>
      <c r="D37" t="s">
        <v>2353</v>
      </c>
      <c r="E37" s="2" t="s">
        <v>30</v>
      </c>
      <c r="F37" s="2">
        <v>37138</v>
      </c>
      <c r="G37" s="2" t="s">
        <v>64</v>
      </c>
      <c r="H37" t="s">
        <v>280</v>
      </c>
      <c r="I37" s="6">
        <v>43089</v>
      </c>
      <c r="J37" s="2" t="s">
        <v>2470</v>
      </c>
      <c r="K37" s="2" t="s">
        <v>34</v>
      </c>
      <c r="L37" t="s">
        <v>343</v>
      </c>
      <c r="M37" t="s">
        <v>29</v>
      </c>
      <c r="N37" t="s">
        <v>30</v>
      </c>
      <c r="O37">
        <v>37201</v>
      </c>
      <c r="P37" t="s">
        <v>2471</v>
      </c>
      <c r="Q37" s="2">
        <v>0.17</v>
      </c>
      <c r="R37" s="2">
        <v>54</v>
      </c>
      <c r="S37" s="2">
        <v>140</v>
      </c>
      <c r="T37" t="s">
        <v>2472</v>
      </c>
      <c r="U37" s="6">
        <v>17966</v>
      </c>
      <c r="V37" s="2">
        <v>47037010502</v>
      </c>
      <c r="W37" s="2" t="s">
        <v>38</v>
      </c>
      <c r="X37" s="1">
        <v>45658</v>
      </c>
      <c r="Y37" s="2">
        <v>71300</v>
      </c>
      <c r="Z37" s="2">
        <v>0</v>
      </c>
      <c r="AA37" s="2">
        <v>71300</v>
      </c>
    </row>
    <row r="38" spans="1:27" x14ac:dyDescent="0.3">
      <c r="A38" s="3">
        <v>11</v>
      </c>
      <c r="B38" s="2" t="str">
        <f>"04415043600"</f>
        <v>04415043600</v>
      </c>
      <c r="C38" s="2" t="s">
        <v>2473</v>
      </c>
      <c r="D38" t="s">
        <v>2353</v>
      </c>
      <c r="E38" s="2" t="s">
        <v>30</v>
      </c>
      <c r="F38" s="2">
        <v>37138</v>
      </c>
      <c r="G38" s="2" t="s">
        <v>152</v>
      </c>
      <c r="H38" t="s">
        <v>280</v>
      </c>
      <c r="I38" s="6">
        <v>41438</v>
      </c>
      <c r="J38" s="2" t="s">
        <v>2424</v>
      </c>
      <c r="K38" s="2">
        <v>0</v>
      </c>
      <c r="L38" t="s">
        <v>35</v>
      </c>
      <c r="M38" t="s">
        <v>29</v>
      </c>
      <c r="N38" t="s">
        <v>30</v>
      </c>
      <c r="O38">
        <v>37219</v>
      </c>
      <c r="P38" t="s">
        <v>2474</v>
      </c>
      <c r="Q38" s="2">
        <v>0.27</v>
      </c>
      <c r="R38" s="2">
        <v>0</v>
      </c>
      <c r="S38" s="2">
        <v>117</v>
      </c>
      <c r="T38" t="s">
        <v>209</v>
      </c>
      <c r="U38" s="6">
        <v>37091</v>
      </c>
      <c r="V38" s="2">
        <v>47037010501</v>
      </c>
      <c r="W38" s="2" t="s">
        <v>38</v>
      </c>
      <c r="X38" s="1">
        <v>45658</v>
      </c>
      <c r="Y38" s="2">
        <v>120000</v>
      </c>
      <c r="Z38" s="2">
        <v>0</v>
      </c>
      <c r="AA38" s="2">
        <v>120000</v>
      </c>
    </row>
    <row r="39" spans="1:27" x14ac:dyDescent="0.3">
      <c r="A39" s="3">
        <v>11</v>
      </c>
      <c r="B39" s="2" t="str">
        <f>"04415031800"</f>
        <v>04415031800</v>
      </c>
      <c r="C39" s="2" t="s">
        <v>2475</v>
      </c>
      <c r="D39" t="s">
        <v>2353</v>
      </c>
      <c r="E39" s="2" t="s">
        <v>30</v>
      </c>
      <c r="F39" s="2">
        <v>37138</v>
      </c>
      <c r="G39" s="2" t="s">
        <v>152</v>
      </c>
      <c r="H39" t="s">
        <v>280</v>
      </c>
      <c r="I39" s="6">
        <v>41438</v>
      </c>
      <c r="J39" s="2" t="s">
        <v>2424</v>
      </c>
      <c r="K39" s="2">
        <v>0</v>
      </c>
      <c r="L39" t="s">
        <v>35</v>
      </c>
      <c r="M39" t="s">
        <v>29</v>
      </c>
      <c r="N39" t="s">
        <v>30</v>
      </c>
      <c r="O39">
        <v>37219</v>
      </c>
      <c r="P39" t="s">
        <v>2476</v>
      </c>
      <c r="Q39" s="2">
        <v>0.53</v>
      </c>
      <c r="R39" s="2">
        <v>167</v>
      </c>
      <c r="S39" s="2">
        <v>135</v>
      </c>
      <c r="T39" t="s">
        <v>2477</v>
      </c>
      <c r="U39" s="6">
        <v>21503</v>
      </c>
      <c r="V39" s="2">
        <v>47037010501</v>
      </c>
      <c r="W39" s="2" t="s">
        <v>38</v>
      </c>
      <c r="X39" s="1">
        <v>45658</v>
      </c>
      <c r="Y39" s="2">
        <v>144000</v>
      </c>
      <c r="Z39" s="2">
        <v>0</v>
      </c>
      <c r="AA39" s="2">
        <v>144000</v>
      </c>
    </row>
    <row r="40" spans="1:27" x14ac:dyDescent="0.3">
      <c r="A40" s="3">
        <v>11</v>
      </c>
      <c r="B40" s="2" t="str">
        <f>"05302002300"</f>
        <v>05302002300</v>
      </c>
      <c r="C40" s="2" t="s">
        <v>2478</v>
      </c>
      <c r="D40" t="s">
        <v>2353</v>
      </c>
      <c r="E40" s="2" t="s">
        <v>30</v>
      </c>
      <c r="F40" s="2">
        <v>37138</v>
      </c>
      <c r="G40" s="2" t="s">
        <v>152</v>
      </c>
      <c r="H40" t="s">
        <v>280</v>
      </c>
      <c r="I40" s="6">
        <v>41438</v>
      </c>
      <c r="J40" s="2" t="s">
        <v>2424</v>
      </c>
      <c r="K40" s="2">
        <v>0</v>
      </c>
      <c r="L40" t="s">
        <v>35</v>
      </c>
      <c r="M40" t="s">
        <v>29</v>
      </c>
      <c r="N40" t="s">
        <v>30</v>
      </c>
      <c r="O40">
        <v>37219</v>
      </c>
      <c r="P40" t="s">
        <v>2479</v>
      </c>
      <c r="Q40" s="2">
        <v>1.61</v>
      </c>
      <c r="R40" s="2">
        <v>40</v>
      </c>
      <c r="S40" s="2">
        <v>359</v>
      </c>
      <c r="T40" t="s">
        <v>2426</v>
      </c>
      <c r="U40" s="6">
        <v>21503</v>
      </c>
      <c r="V40" s="2">
        <v>47037010501</v>
      </c>
      <c r="W40" s="2" t="s">
        <v>38</v>
      </c>
      <c r="X40" s="1">
        <v>45658</v>
      </c>
      <c r="Y40" s="2">
        <v>199900</v>
      </c>
      <c r="Z40" s="2">
        <v>0</v>
      </c>
      <c r="AA40" s="2">
        <v>199900</v>
      </c>
    </row>
    <row r="41" spans="1:27" x14ac:dyDescent="0.3">
      <c r="A41" s="3">
        <v>11</v>
      </c>
      <c r="B41" s="2" t="str">
        <f>"05303003000"</f>
        <v>05303003000</v>
      </c>
      <c r="C41" s="2" t="s">
        <v>2480</v>
      </c>
      <c r="D41" t="s">
        <v>2353</v>
      </c>
      <c r="E41" s="2" t="s">
        <v>30</v>
      </c>
      <c r="F41" s="2">
        <v>37138</v>
      </c>
      <c r="G41" s="2" t="s">
        <v>64</v>
      </c>
      <c r="H41" t="s">
        <v>280</v>
      </c>
      <c r="I41" s="6">
        <v>41438</v>
      </c>
      <c r="J41" s="2" t="s">
        <v>2424</v>
      </c>
      <c r="K41" s="2">
        <v>0</v>
      </c>
      <c r="L41" t="s">
        <v>35</v>
      </c>
      <c r="M41" t="s">
        <v>29</v>
      </c>
      <c r="N41" t="s">
        <v>30</v>
      </c>
      <c r="O41">
        <v>37219</v>
      </c>
      <c r="P41" t="s">
        <v>2481</v>
      </c>
      <c r="Q41" s="2">
        <v>1.33</v>
      </c>
      <c r="R41" s="2">
        <v>397</v>
      </c>
      <c r="S41" s="2">
        <v>133</v>
      </c>
      <c r="T41" t="s">
        <v>2426</v>
      </c>
      <c r="U41" s="6">
        <v>21488</v>
      </c>
      <c r="V41" s="2">
        <v>47037010501</v>
      </c>
      <c r="W41" s="2" t="s">
        <v>38</v>
      </c>
      <c r="X41" s="1">
        <v>45658</v>
      </c>
      <c r="Y41" s="2">
        <v>179800</v>
      </c>
      <c r="Z41" s="2">
        <v>0</v>
      </c>
      <c r="AA41" s="2">
        <v>179800</v>
      </c>
    </row>
    <row r="42" spans="1:27" x14ac:dyDescent="0.3">
      <c r="A42" s="3">
        <v>11</v>
      </c>
      <c r="B42" s="2" t="str">
        <f>"05303002901"</f>
        <v>05303002901</v>
      </c>
      <c r="C42" s="2" t="s">
        <v>2482</v>
      </c>
      <c r="D42" t="s">
        <v>2353</v>
      </c>
      <c r="E42" s="2" t="s">
        <v>30</v>
      </c>
      <c r="F42" s="2">
        <v>37138</v>
      </c>
      <c r="G42" s="2" t="s">
        <v>64</v>
      </c>
      <c r="H42" t="s">
        <v>280</v>
      </c>
      <c r="I42" s="6">
        <v>41438</v>
      </c>
      <c r="J42" s="2" t="s">
        <v>2424</v>
      </c>
      <c r="K42" s="2">
        <v>0</v>
      </c>
      <c r="L42" t="s">
        <v>35</v>
      </c>
      <c r="M42" t="s">
        <v>29</v>
      </c>
      <c r="N42" t="s">
        <v>30</v>
      </c>
      <c r="O42">
        <v>37219</v>
      </c>
      <c r="P42" t="s">
        <v>2483</v>
      </c>
      <c r="Q42" s="2">
        <v>0.53</v>
      </c>
      <c r="R42" s="2">
        <v>55</v>
      </c>
      <c r="S42" s="2">
        <v>528</v>
      </c>
      <c r="T42" t="s">
        <v>2484</v>
      </c>
      <c r="U42" s="6">
        <v>21868</v>
      </c>
      <c r="V42" s="2">
        <v>47037010501</v>
      </c>
      <c r="W42" s="2" t="s">
        <v>38</v>
      </c>
      <c r="X42" s="1">
        <v>45658</v>
      </c>
      <c r="Y42" s="2">
        <v>144000</v>
      </c>
      <c r="Z42" s="2">
        <v>0</v>
      </c>
      <c r="AA42" s="2">
        <v>144000</v>
      </c>
    </row>
    <row r="43" spans="1:27" x14ac:dyDescent="0.3">
      <c r="A43" s="3">
        <v>11</v>
      </c>
      <c r="B43" s="2" t="str">
        <f>"07505005200"</f>
        <v>07505005200</v>
      </c>
      <c r="C43" s="2" t="s">
        <v>28</v>
      </c>
      <c r="D43" t="s">
        <v>2353</v>
      </c>
      <c r="E43" s="2" t="s">
        <v>30</v>
      </c>
      <c r="F43" s="2">
        <v>37138</v>
      </c>
      <c r="G43" s="2" t="s">
        <v>64</v>
      </c>
      <c r="H43" t="s">
        <v>2485</v>
      </c>
      <c r="I43" s="6">
        <v>43665</v>
      </c>
      <c r="J43" s="2" t="s">
        <v>2486</v>
      </c>
      <c r="K43" s="2">
        <v>355</v>
      </c>
      <c r="L43" t="s">
        <v>893</v>
      </c>
      <c r="M43" t="s">
        <v>29</v>
      </c>
      <c r="N43" t="s">
        <v>30</v>
      </c>
      <c r="O43">
        <v>37219</v>
      </c>
      <c r="P43" t="s">
        <v>2487</v>
      </c>
      <c r="Q43" s="2">
        <v>0.02</v>
      </c>
      <c r="R43" s="2">
        <v>32</v>
      </c>
      <c r="S43" s="2">
        <v>10</v>
      </c>
      <c r="T43" t="s">
        <v>2488</v>
      </c>
      <c r="U43" s="6">
        <v>6687</v>
      </c>
      <c r="V43" s="2">
        <v>47037015401</v>
      </c>
      <c r="W43" s="2" t="s">
        <v>38</v>
      </c>
      <c r="X43" s="1">
        <v>45658</v>
      </c>
      <c r="Y43" s="2">
        <v>1000</v>
      </c>
      <c r="Z43" s="2">
        <v>0</v>
      </c>
      <c r="AA43" s="2">
        <v>1000</v>
      </c>
    </row>
    <row r="44" spans="1:27" x14ac:dyDescent="0.3">
      <c r="A44" s="3">
        <v>11</v>
      </c>
      <c r="B44" s="2" t="str">
        <f>"05312027100"</f>
        <v>05312027100</v>
      </c>
      <c r="C44" s="2" t="s">
        <v>2489</v>
      </c>
      <c r="D44" t="s">
        <v>2353</v>
      </c>
      <c r="E44" s="2" t="s">
        <v>30</v>
      </c>
      <c r="F44" s="2">
        <v>37138</v>
      </c>
      <c r="G44" s="2" t="s">
        <v>2490</v>
      </c>
      <c r="H44" t="s">
        <v>2491</v>
      </c>
      <c r="I44" s="6">
        <v>40691</v>
      </c>
      <c r="J44" s="2" t="s">
        <v>2354</v>
      </c>
      <c r="K44" s="2">
        <v>0</v>
      </c>
      <c r="L44" t="s">
        <v>35</v>
      </c>
      <c r="M44" t="s">
        <v>29</v>
      </c>
      <c r="N44" t="s">
        <v>30</v>
      </c>
      <c r="O44">
        <v>37219</v>
      </c>
      <c r="P44" t="s">
        <v>2492</v>
      </c>
      <c r="Q44" s="2">
        <v>0.86</v>
      </c>
      <c r="R44" s="2">
        <v>121</v>
      </c>
      <c r="S44" s="2">
        <v>227</v>
      </c>
      <c r="T44" t="s">
        <v>2493</v>
      </c>
      <c r="U44" s="6">
        <v>38302</v>
      </c>
      <c r="V44" s="2">
        <v>47037010502</v>
      </c>
      <c r="W44" s="2" t="s">
        <v>38</v>
      </c>
      <c r="X44" s="1">
        <v>45658</v>
      </c>
      <c r="Y44" s="2">
        <v>242700</v>
      </c>
      <c r="Z44" s="2">
        <v>46100</v>
      </c>
      <c r="AA44" s="2">
        <v>196600</v>
      </c>
    </row>
    <row r="45" spans="1:27" x14ac:dyDescent="0.3">
      <c r="A45" s="3">
        <v>11</v>
      </c>
      <c r="B45" s="2" t="str">
        <f>"05312021300"</f>
        <v>05312021300</v>
      </c>
      <c r="C45" s="2" t="s">
        <v>2494</v>
      </c>
      <c r="D45" t="s">
        <v>2353</v>
      </c>
      <c r="E45" s="2" t="s">
        <v>30</v>
      </c>
      <c r="F45" s="2">
        <v>37138</v>
      </c>
      <c r="G45" s="2" t="s">
        <v>2495</v>
      </c>
      <c r="H45" t="s">
        <v>2491</v>
      </c>
      <c r="I45" s="6">
        <v>40691</v>
      </c>
      <c r="J45" s="2" t="s">
        <v>2354</v>
      </c>
      <c r="K45" s="2">
        <v>0</v>
      </c>
      <c r="L45" t="s">
        <v>35</v>
      </c>
      <c r="M45" t="s">
        <v>29</v>
      </c>
      <c r="N45" t="s">
        <v>30</v>
      </c>
      <c r="O45">
        <v>37219</v>
      </c>
      <c r="P45" t="s">
        <v>2496</v>
      </c>
      <c r="Q45" s="2">
        <v>1.02</v>
      </c>
      <c r="R45" s="2">
        <v>0</v>
      </c>
      <c r="S45" s="2">
        <v>351</v>
      </c>
      <c r="T45" t="s">
        <v>278</v>
      </c>
      <c r="U45" s="6">
        <v>29752</v>
      </c>
      <c r="V45" s="2">
        <v>47037010502</v>
      </c>
      <c r="W45" s="2" t="s">
        <v>38</v>
      </c>
      <c r="X45" s="1">
        <v>45658</v>
      </c>
      <c r="Y45" s="2">
        <v>333200</v>
      </c>
      <c r="Z45" s="2">
        <v>0</v>
      </c>
      <c r="AA45" s="2">
        <v>333200</v>
      </c>
    </row>
    <row r="46" spans="1:27" x14ac:dyDescent="0.3">
      <c r="A46" s="3">
        <v>11</v>
      </c>
      <c r="B46" s="2" t="str">
        <f>"05316002900"</f>
        <v>05316002900</v>
      </c>
      <c r="C46" s="2" t="s">
        <v>2352</v>
      </c>
      <c r="D46" t="s">
        <v>2353</v>
      </c>
      <c r="E46" s="2" t="s">
        <v>30</v>
      </c>
      <c r="F46" s="2">
        <v>37138</v>
      </c>
      <c r="G46" s="2" t="s">
        <v>64</v>
      </c>
      <c r="H46" t="s">
        <v>379</v>
      </c>
      <c r="I46" s="6">
        <v>43531</v>
      </c>
      <c r="J46" s="2" t="s">
        <v>2497</v>
      </c>
      <c r="K46" s="2" t="s">
        <v>34</v>
      </c>
      <c r="L46" t="s">
        <v>315</v>
      </c>
      <c r="M46" t="s">
        <v>29</v>
      </c>
      <c r="N46" t="s">
        <v>30</v>
      </c>
      <c r="O46">
        <v>37208</v>
      </c>
      <c r="P46" t="s">
        <v>2498</v>
      </c>
      <c r="Q46" s="2">
        <v>1.81</v>
      </c>
      <c r="R46" s="2">
        <v>234</v>
      </c>
      <c r="S46" s="2">
        <v>372</v>
      </c>
      <c r="T46" t="s">
        <v>2499</v>
      </c>
      <c r="U46" s="6">
        <v>21605</v>
      </c>
      <c r="V46" s="2">
        <v>47037010502</v>
      </c>
      <c r="W46" s="2" t="s">
        <v>38</v>
      </c>
      <c r="X46" s="1">
        <v>45658</v>
      </c>
      <c r="Y46" s="2">
        <v>233300</v>
      </c>
      <c r="Z46" s="2">
        <v>0</v>
      </c>
      <c r="AA46" s="2">
        <v>233300</v>
      </c>
    </row>
    <row r="47" spans="1:27" x14ac:dyDescent="0.3">
      <c r="A47" s="3">
        <v>11</v>
      </c>
      <c r="B47" s="2" t="str">
        <f>"06409008900"</f>
        <v>06409008900</v>
      </c>
      <c r="C47" s="2" t="s">
        <v>2500</v>
      </c>
      <c r="D47" t="s">
        <v>2353</v>
      </c>
      <c r="E47" s="2" t="s">
        <v>30</v>
      </c>
      <c r="F47" s="2">
        <v>37138</v>
      </c>
      <c r="G47" s="2" t="s">
        <v>64</v>
      </c>
      <c r="H47" t="s">
        <v>379</v>
      </c>
      <c r="I47" s="6">
        <v>43406</v>
      </c>
      <c r="J47" s="2" t="s">
        <v>2501</v>
      </c>
      <c r="K47" s="2" t="s">
        <v>34</v>
      </c>
      <c r="L47" t="s">
        <v>343</v>
      </c>
      <c r="M47" t="s">
        <v>29</v>
      </c>
      <c r="N47" t="s">
        <v>30</v>
      </c>
      <c r="O47">
        <v>37201</v>
      </c>
      <c r="P47" t="s">
        <v>2502</v>
      </c>
      <c r="Q47" s="2">
        <v>0.17</v>
      </c>
      <c r="R47" s="2">
        <v>54</v>
      </c>
      <c r="S47" s="2">
        <v>143</v>
      </c>
      <c r="T47" t="s">
        <v>2503</v>
      </c>
      <c r="U47" s="6">
        <v>19028</v>
      </c>
      <c r="V47" s="2">
        <v>47037010502</v>
      </c>
      <c r="W47" s="2" t="s">
        <v>38</v>
      </c>
      <c r="X47" s="1">
        <v>45658</v>
      </c>
      <c r="Y47" s="2">
        <v>71300</v>
      </c>
      <c r="Z47" s="2">
        <v>0</v>
      </c>
      <c r="AA47" s="2">
        <v>71300</v>
      </c>
    </row>
    <row r="48" spans="1:27" x14ac:dyDescent="0.3">
      <c r="A48" s="3">
        <v>11</v>
      </c>
      <c r="B48" s="2" t="str">
        <f>"06409009000"</f>
        <v>06409009000</v>
      </c>
      <c r="C48" s="2" t="s">
        <v>2504</v>
      </c>
      <c r="D48" t="s">
        <v>2353</v>
      </c>
      <c r="E48" s="2" t="s">
        <v>30</v>
      </c>
      <c r="F48" s="2">
        <v>37138</v>
      </c>
      <c r="G48" s="2" t="s">
        <v>64</v>
      </c>
      <c r="H48" t="s">
        <v>379</v>
      </c>
      <c r="I48" s="6">
        <v>43465</v>
      </c>
      <c r="J48" s="2" t="s">
        <v>2505</v>
      </c>
      <c r="K48" s="2" t="s">
        <v>34</v>
      </c>
      <c r="L48" t="s">
        <v>343</v>
      </c>
      <c r="M48" t="s">
        <v>29</v>
      </c>
      <c r="N48" t="s">
        <v>30</v>
      </c>
      <c r="O48">
        <v>37201</v>
      </c>
      <c r="P48" t="s">
        <v>2506</v>
      </c>
      <c r="Q48" s="2">
        <v>0.17</v>
      </c>
      <c r="R48" s="2">
        <v>54</v>
      </c>
      <c r="S48" s="2">
        <v>140</v>
      </c>
      <c r="T48" t="s">
        <v>2507</v>
      </c>
      <c r="U48" s="6">
        <v>26886</v>
      </c>
      <c r="V48" s="2">
        <v>47037010502</v>
      </c>
      <c r="W48" s="2" t="s">
        <v>38</v>
      </c>
      <c r="X48" s="1">
        <v>45658</v>
      </c>
      <c r="Y48" s="2">
        <v>71300</v>
      </c>
      <c r="Z48" s="2">
        <v>0</v>
      </c>
      <c r="AA48" s="2">
        <v>71300</v>
      </c>
    </row>
    <row r="49" spans="1:27" x14ac:dyDescent="0.3">
      <c r="A49" s="3">
        <v>11</v>
      </c>
      <c r="B49" s="2" t="str">
        <f>"06409009200"</f>
        <v>06409009200</v>
      </c>
      <c r="C49" s="2" t="s">
        <v>2508</v>
      </c>
      <c r="D49" t="s">
        <v>2353</v>
      </c>
      <c r="E49" s="2" t="s">
        <v>30</v>
      </c>
      <c r="F49" s="2">
        <v>37138</v>
      </c>
      <c r="G49" s="2" t="s">
        <v>64</v>
      </c>
      <c r="H49" t="s">
        <v>379</v>
      </c>
      <c r="I49" s="6">
        <v>43475</v>
      </c>
      <c r="J49" s="2" t="s">
        <v>2509</v>
      </c>
      <c r="K49" s="2" t="s">
        <v>34</v>
      </c>
      <c r="L49" t="s">
        <v>315</v>
      </c>
      <c r="M49" t="s">
        <v>29</v>
      </c>
      <c r="N49" t="s">
        <v>30</v>
      </c>
      <c r="O49">
        <v>37208</v>
      </c>
      <c r="P49" t="s">
        <v>2510</v>
      </c>
      <c r="Q49" s="2">
        <v>0.73</v>
      </c>
      <c r="R49" s="2">
        <v>72</v>
      </c>
      <c r="S49" s="2">
        <v>295</v>
      </c>
      <c r="T49" t="s">
        <v>278</v>
      </c>
      <c r="U49" s="6">
        <v>30313</v>
      </c>
      <c r="V49" s="2">
        <v>47037010502</v>
      </c>
      <c r="W49" s="2" t="s">
        <v>38</v>
      </c>
      <c r="X49" s="1">
        <v>45658</v>
      </c>
      <c r="Y49" s="2">
        <v>43100</v>
      </c>
      <c r="Z49" s="2">
        <v>0</v>
      </c>
      <c r="AA49" s="2">
        <v>43100</v>
      </c>
    </row>
    <row r="50" spans="1:27" x14ac:dyDescent="0.3">
      <c r="A50" s="3">
        <v>11</v>
      </c>
      <c r="B50" s="2" t="str">
        <f>"07605005000"</f>
        <v>07605005000</v>
      </c>
      <c r="C50" s="2" t="s">
        <v>2511</v>
      </c>
      <c r="D50" t="s">
        <v>2512</v>
      </c>
      <c r="E50" s="2" t="s">
        <v>30</v>
      </c>
      <c r="F50" s="2">
        <v>37076</v>
      </c>
      <c r="G50" s="2" t="s">
        <v>64</v>
      </c>
      <c r="H50" t="s">
        <v>379</v>
      </c>
      <c r="I50" s="6">
        <v>44635</v>
      </c>
      <c r="J50" s="2" t="s">
        <v>2513</v>
      </c>
      <c r="K50" s="2" t="s">
        <v>34</v>
      </c>
      <c r="L50" t="s">
        <v>315</v>
      </c>
      <c r="M50" t="s">
        <v>29</v>
      </c>
      <c r="N50" t="s">
        <v>30</v>
      </c>
      <c r="O50">
        <v>37208</v>
      </c>
      <c r="P50" t="s">
        <v>2514</v>
      </c>
      <c r="Q50" s="2">
        <v>0.28000000000000003</v>
      </c>
      <c r="R50" s="2">
        <v>80</v>
      </c>
      <c r="S50" s="2">
        <v>146</v>
      </c>
      <c r="T50" t="s">
        <v>2515</v>
      </c>
      <c r="U50" s="6">
        <v>27610</v>
      </c>
      <c r="V50" s="2">
        <v>47037015405</v>
      </c>
      <c r="W50" s="2" t="s">
        <v>38</v>
      </c>
      <c r="X50" s="1">
        <v>45658</v>
      </c>
      <c r="Y50" s="2">
        <v>80000</v>
      </c>
      <c r="Z50" s="2">
        <v>0</v>
      </c>
      <c r="AA50" s="2">
        <v>80000</v>
      </c>
    </row>
    <row r="51" spans="1:27" x14ac:dyDescent="0.3">
      <c r="A51" s="3">
        <v>11</v>
      </c>
      <c r="B51" s="2" t="str">
        <f>"07605005100"</f>
        <v>07605005100</v>
      </c>
      <c r="C51" s="2" t="s">
        <v>2516</v>
      </c>
      <c r="D51" t="s">
        <v>2512</v>
      </c>
      <c r="E51" s="2" t="s">
        <v>30</v>
      </c>
      <c r="F51" s="2">
        <v>37076</v>
      </c>
      <c r="G51" s="2" t="s">
        <v>64</v>
      </c>
      <c r="H51" t="s">
        <v>379</v>
      </c>
      <c r="I51" s="6">
        <v>44635</v>
      </c>
      <c r="J51" s="2" t="s">
        <v>2517</v>
      </c>
      <c r="K51" s="2" t="s">
        <v>34</v>
      </c>
      <c r="L51" t="s">
        <v>315</v>
      </c>
      <c r="M51" t="s">
        <v>29</v>
      </c>
      <c r="N51" t="s">
        <v>30</v>
      </c>
      <c r="O51">
        <v>37208</v>
      </c>
      <c r="P51" t="s">
        <v>2518</v>
      </c>
      <c r="Q51" s="2">
        <v>0.27</v>
      </c>
      <c r="R51" s="2">
        <v>174</v>
      </c>
      <c r="S51" s="2">
        <v>211</v>
      </c>
      <c r="T51" t="s">
        <v>2515</v>
      </c>
      <c r="U51" s="6">
        <v>27610</v>
      </c>
      <c r="V51" s="2">
        <v>47037015405</v>
      </c>
      <c r="W51" s="2" t="s">
        <v>38</v>
      </c>
      <c r="X51" s="1">
        <v>45658</v>
      </c>
      <c r="Y51" s="2">
        <v>2900</v>
      </c>
      <c r="Z51" s="2">
        <v>0</v>
      </c>
      <c r="AA51" s="2">
        <v>2900</v>
      </c>
    </row>
    <row r="52" spans="1:27" x14ac:dyDescent="0.3">
      <c r="A52" s="3">
        <v>11</v>
      </c>
      <c r="B52" s="2" t="str">
        <f>"07605004900"</f>
        <v>07605004900</v>
      </c>
      <c r="C52" s="2" t="s">
        <v>2519</v>
      </c>
      <c r="D52" t="s">
        <v>2512</v>
      </c>
      <c r="E52" s="2" t="s">
        <v>30</v>
      </c>
      <c r="F52" s="2">
        <v>37076</v>
      </c>
      <c r="G52" s="2" t="s">
        <v>64</v>
      </c>
      <c r="H52" t="s">
        <v>379</v>
      </c>
      <c r="I52" s="6">
        <v>44652</v>
      </c>
      <c r="J52" s="2" t="s">
        <v>2520</v>
      </c>
      <c r="K52" s="2" t="s">
        <v>34</v>
      </c>
      <c r="L52" t="s">
        <v>315</v>
      </c>
      <c r="M52" t="s">
        <v>29</v>
      </c>
      <c r="N52" t="s">
        <v>30</v>
      </c>
      <c r="O52">
        <v>37208</v>
      </c>
      <c r="P52" t="s">
        <v>2521</v>
      </c>
      <c r="Q52" s="2">
        <v>0.28000000000000003</v>
      </c>
      <c r="R52" s="2">
        <v>80</v>
      </c>
      <c r="S52" s="2">
        <v>153</v>
      </c>
      <c r="T52" t="s">
        <v>2515</v>
      </c>
      <c r="U52" s="6">
        <v>27610</v>
      </c>
      <c r="V52" s="2">
        <v>47037015405</v>
      </c>
      <c r="W52" s="2" t="s">
        <v>38</v>
      </c>
      <c r="X52" s="1">
        <v>45658</v>
      </c>
      <c r="Y52" s="2">
        <v>80000</v>
      </c>
      <c r="Z52" s="2">
        <v>0</v>
      </c>
      <c r="AA52" s="2">
        <v>80000</v>
      </c>
    </row>
    <row r="53" spans="1:27" x14ac:dyDescent="0.3">
      <c r="A53" s="3">
        <v>11</v>
      </c>
      <c r="B53" s="2" t="str">
        <f>"07605004800"</f>
        <v>07605004800</v>
      </c>
      <c r="C53" s="2" t="s">
        <v>2522</v>
      </c>
      <c r="D53" t="s">
        <v>2512</v>
      </c>
      <c r="E53" s="2" t="s">
        <v>30</v>
      </c>
      <c r="F53" s="2">
        <v>37076</v>
      </c>
      <c r="G53" s="2" t="s">
        <v>64</v>
      </c>
      <c r="H53" t="s">
        <v>379</v>
      </c>
      <c r="I53" s="6">
        <v>44118</v>
      </c>
      <c r="J53" s="2" t="s">
        <v>2523</v>
      </c>
      <c r="K53" s="2" t="s">
        <v>34</v>
      </c>
      <c r="L53" t="s">
        <v>315</v>
      </c>
      <c r="M53" t="s">
        <v>29</v>
      </c>
      <c r="N53" t="s">
        <v>30</v>
      </c>
      <c r="O53">
        <v>37208</v>
      </c>
      <c r="P53" t="s">
        <v>2524</v>
      </c>
      <c r="Q53" s="2">
        <v>0.27</v>
      </c>
      <c r="R53" s="2">
        <v>72</v>
      </c>
      <c r="S53" s="2">
        <v>153</v>
      </c>
      <c r="T53" t="s">
        <v>2515</v>
      </c>
      <c r="U53" s="6">
        <v>27610</v>
      </c>
      <c r="V53" s="2">
        <v>47037015405</v>
      </c>
      <c r="W53" s="2" t="s">
        <v>38</v>
      </c>
      <c r="X53" s="1">
        <v>45658</v>
      </c>
      <c r="Y53" s="2">
        <v>80000</v>
      </c>
      <c r="Z53" s="2">
        <v>0</v>
      </c>
      <c r="AA53" s="2">
        <v>80000</v>
      </c>
    </row>
    <row r="54" spans="1:27" x14ac:dyDescent="0.3">
      <c r="A54" s="3">
        <v>11</v>
      </c>
      <c r="B54" s="2" t="str">
        <f>"07605004700"</f>
        <v>07605004700</v>
      </c>
      <c r="C54" s="2" t="s">
        <v>2525</v>
      </c>
      <c r="D54" t="s">
        <v>2512</v>
      </c>
      <c r="E54" s="2" t="s">
        <v>30</v>
      </c>
      <c r="F54" s="2">
        <v>37076</v>
      </c>
      <c r="G54" s="2" t="s">
        <v>64</v>
      </c>
      <c r="H54" t="s">
        <v>379</v>
      </c>
      <c r="I54" s="6">
        <v>42873</v>
      </c>
      <c r="J54" s="2" t="s">
        <v>2526</v>
      </c>
      <c r="K54" s="2">
        <v>0</v>
      </c>
      <c r="L54" t="s">
        <v>651</v>
      </c>
      <c r="M54" t="s">
        <v>29</v>
      </c>
      <c r="N54" t="s">
        <v>30</v>
      </c>
      <c r="O54">
        <v>37208</v>
      </c>
      <c r="P54" t="s">
        <v>2527</v>
      </c>
      <c r="Q54" s="2">
        <v>0.28000000000000003</v>
      </c>
      <c r="R54" s="2">
        <v>79</v>
      </c>
      <c r="S54" s="2">
        <v>150</v>
      </c>
      <c r="T54" t="s">
        <v>2515</v>
      </c>
      <c r="U54" s="6">
        <v>27610</v>
      </c>
      <c r="V54" s="2">
        <v>47037015405</v>
      </c>
      <c r="W54" s="2" t="s">
        <v>38</v>
      </c>
      <c r="X54" s="1">
        <v>45658</v>
      </c>
      <c r="Y54" s="2">
        <v>80000</v>
      </c>
      <c r="Z54" s="2">
        <v>0</v>
      </c>
      <c r="AA54" s="2">
        <v>80000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609E-B705-4D71-99C3-8CD1259CB866}">
  <sheetPr>
    <tabColor rgb="FF002060"/>
  </sheetPr>
  <dimension ref="A1:AA24"/>
  <sheetViews>
    <sheetView workbookViewId="0">
      <selection activeCell="E33" sqref="E33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12</v>
      </c>
      <c r="B2" s="2" t="str">
        <f>"08600034800"</f>
        <v>08600034800</v>
      </c>
      <c r="C2" s="2" t="s">
        <v>2528</v>
      </c>
      <c r="D2" t="s">
        <v>2512</v>
      </c>
      <c r="E2" s="2" t="s">
        <v>30</v>
      </c>
      <c r="F2" s="2">
        <v>37076</v>
      </c>
      <c r="G2" s="2" t="s">
        <v>194</v>
      </c>
      <c r="H2" t="s">
        <v>32</v>
      </c>
      <c r="I2" s="6">
        <v>44956</v>
      </c>
      <c r="J2" s="2" t="s">
        <v>2529</v>
      </c>
      <c r="K2" s="2" t="s">
        <v>34</v>
      </c>
      <c r="L2" t="s">
        <v>85</v>
      </c>
      <c r="M2" t="s">
        <v>29</v>
      </c>
      <c r="N2" t="s">
        <v>30</v>
      </c>
      <c r="O2">
        <v>37219</v>
      </c>
      <c r="P2" t="s">
        <v>2530</v>
      </c>
      <c r="Q2" s="2">
        <v>4.58</v>
      </c>
      <c r="R2" s="2">
        <v>417</v>
      </c>
      <c r="S2" s="2">
        <v>0</v>
      </c>
      <c r="T2" t="s">
        <v>2531</v>
      </c>
      <c r="U2" s="6">
        <v>44729</v>
      </c>
      <c r="V2" s="2">
        <v>47037015622</v>
      </c>
      <c r="W2" s="2" t="s">
        <v>38</v>
      </c>
      <c r="X2" s="1">
        <v>45658</v>
      </c>
      <c r="Y2" s="2">
        <v>665200</v>
      </c>
      <c r="Z2" s="2">
        <v>38200</v>
      </c>
      <c r="AA2" s="2">
        <v>627000</v>
      </c>
    </row>
    <row r="3" spans="1:27" x14ac:dyDescent="0.3">
      <c r="A3" s="3">
        <v>12</v>
      </c>
      <c r="B3" s="2" t="str">
        <f>"08600032700"</f>
        <v>08600032700</v>
      </c>
      <c r="C3" s="2" t="s">
        <v>2528</v>
      </c>
      <c r="D3" t="s">
        <v>2512</v>
      </c>
      <c r="E3" s="2" t="s">
        <v>30</v>
      </c>
      <c r="F3" s="2">
        <v>37076</v>
      </c>
      <c r="G3" s="2" t="s">
        <v>64</v>
      </c>
      <c r="H3" t="s">
        <v>32</v>
      </c>
      <c r="I3" s="6">
        <v>44956</v>
      </c>
      <c r="J3" s="2" t="s">
        <v>2529</v>
      </c>
      <c r="K3" s="2" t="s">
        <v>34</v>
      </c>
      <c r="L3" t="s">
        <v>85</v>
      </c>
      <c r="M3" t="s">
        <v>29</v>
      </c>
      <c r="N3" t="s">
        <v>30</v>
      </c>
      <c r="O3">
        <v>37219</v>
      </c>
      <c r="P3" t="s">
        <v>2530</v>
      </c>
      <c r="Q3" s="2">
        <v>1.78</v>
      </c>
      <c r="R3" s="2">
        <v>518</v>
      </c>
      <c r="S3" s="2">
        <v>73</v>
      </c>
      <c r="T3" t="s">
        <v>2531</v>
      </c>
      <c r="U3" s="6">
        <v>44729</v>
      </c>
      <c r="V3" s="2">
        <v>47037015622</v>
      </c>
      <c r="W3" s="2" t="s">
        <v>38</v>
      </c>
      <c r="X3" s="1">
        <v>45658</v>
      </c>
      <c r="Y3" s="2">
        <v>231000</v>
      </c>
      <c r="Z3" s="2">
        <v>0</v>
      </c>
      <c r="AA3" s="2">
        <v>231000</v>
      </c>
    </row>
    <row r="4" spans="1:27" x14ac:dyDescent="0.3">
      <c r="A4" s="3">
        <v>12</v>
      </c>
      <c r="B4" s="2" t="str">
        <f>"08600011300"</f>
        <v>08600011300</v>
      </c>
      <c r="C4" s="2" t="s">
        <v>2528</v>
      </c>
      <c r="D4" t="s">
        <v>2512</v>
      </c>
      <c r="E4" s="2" t="s">
        <v>30</v>
      </c>
      <c r="F4" s="2">
        <v>37076</v>
      </c>
      <c r="G4" s="2" t="s">
        <v>64</v>
      </c>
      <c r="H4" t="s">
        <v>32</v>
      </c>
      <c r="I4" s="6">
        <v>44956</v>
      </c>
      <c r="J4" s="2" t="s">
        <v>2529</v>
      </c>
      <c r="K4" s="2" t="s">
        <v>34</v>
      </c>
      <c r="L4" t="s">
        <v>85</v>
      </c>
      <c r="M4" t="s">
        <v>29</v>
      </c>
      <c r="N4" t="s">
        <v>30</v>
      </c>
      <c r="O4">
        <v>37219</v>
      </c>
      <c r="P4" t="s">
        <v>2532</v>
      </c>
      <c r="Q4" s="2">
        <v>3.21</v>
      </c>
      <c r="R4" s="2">
        <v>0</v>
      </c>
      <c r="S4" s="2">
        <v>0</v>
      </c>
      <c r="T4" t="s">
        <v>2533</v>
      </c>
      <c r="U4" s="6">
        <v>44960</v>
      </c>
      <c r="V4" s="2">
        <v>47037015622</v>
      </c>
      <c r="W4" s="2" t="s">
        <v>38</v>
      </c>
      <c r="X4" s="1">
        <v>45658</v>
      </c>
      <c r="Y4" s="2">
        <v>528000</v>
      </c>
      <c r="Z4" s="2">
        <v>0</v>
      </c>
      <c r="AA4" s="2">
        <v>528000</v>
      </c>
    </row>
    <row r="5" spans="1:27" x14ac:dyDescent="0.3">
      <c r="A5" s="3">
        <v>12</v>
      </c>
      <c r="B5" s="2" t="str">
        <f>"09700015300"</f>
        <v>09700015300</v>
      </c>
      <c r="C5" s="2" t="s">
        <v>2534</v>
      </c>
      <c r="D5" t="s">
        <v>2512</v>
      </c>
      <c r="E5" s="2" t="s">
        <v>30</v>
      </c>
      <c r="F5" s="2">
        <v>37076</v>
      </c>
      <c r="G5" s="2" t="s">
        <v>870</v>
      </c>
      <c r="H5" t="s">
        <v>32</v>
      </c>
      <c r="I5" s="6">
        <v>36595</v>
      </c>
      <c r="J5" s="2" t="s">
        <v>2535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2536</v>
      </c>
      <c r="Q5" s="2">
        <v>16.079999999999998</v>
      </c>
      <c r="R5" s="2">
        <v>0</v>
      </c>
      <c r="S5" s="2">
        <v>0</v>
      </c>
      <c r="T5" t="s">
        <v>2537</v>
      </c>
      <c r="U5" s="6">
        <v>36587</v>
      </c>
      <c r="V5" s="2">
        <v>47037015610</v>
      </c>
      <c r="W5" s="2" t="s">
        <v>38</v>
      </c>
      <c r="X5" s="1">
        <v>45658</v>
      </c>
      <c r="Y5" s="2">
        <v>3625000</v>
      </c>
      <c r="Z5" s="2">
        <v>0</v>
      </c>
      <c r="AA5" s="2">
        <v>3625000</v>
      </c>
    </row>
    <row r="6" spans="1:27" x14ac:dyDescent="0.3">
      <c r="A6" s="3">
        <v>12</v>
      </c>
      <c r="B6" s="2" t="str">
        <f>"09805014100"</f>
        <v>09805014100</v>
      </c>
      <c r="C6" s="2" t="s">
        <v>2538</v>
      </c>
      <c r="D6" t="s">
        <v>2512</v>
      </c>
      <c r="E6" s="2" t="s">
        <v>30</v>
      </c>
      <c r="F6" s="2">
        <v>37076</v>
      </c>
      <c r="G6" s="2" t="s">
        <v>64</v>
      </c>
      <c r="H6" t="s">
        <v>99</v>
      </c>
      <c r="I6" s="6">
        <v>39617</v>
      </c>
      <c r="J6" s="2" t="s">
        <v>2539</v>
      </c>
      <c r="K6" s="2" t="s">
        <v>34</v>
      </c>
      <c r="L6" t="s">
        <v>35</v>
      </c>
      <c r="M6" t="s">
        <v>29</v>
      </c>
      <c r="N6" t="s">
        <v>30</v>
      </c>
      <c r="O6">
        <v>37219</v>
      </c>
      <c r="P6" t="s">
        <v>2540</v>
      </c>
      <c r="Q6" s="2">
        <v>0.32</v>
      </c>
      <c r="R6" s="2">
        <v>237</v>
      </c>
      <c r="S6" s="2">
        <v>111</v>
      </c>
      <c r="T6" t="s">
        <v>2541</v>
      </c>
      <c r="U6" s="6">
        <v>30767</v>
      </c>
      <c r="V6" s="2">
        <v>47037015610</v>
      </c>
      <c r="W6" s="2" t="s">
        <v>38</v>
      </c>
      <c r="X6" s="1">
        <v>45658</v>
      </c>
      <c r="Y6" s="2">
        <v>500</v>
      </c>
      <c r="Z6" s="2">
        <v>0</v>
      </c>
      <c r="AA6" s="2">
        <v>500</v>
      </c>
    </row>
    <row r="7" spans="1:27" x14ac:dyDescent="0.3">
      <c r="A7" s="3">
        <v>12</v>
      </c>
      <c r="B7" s="2" t="str">
        <f>"08700019900"</f>
        <v>08700019900</v>
      </c>
      <c r="C7" s="2" t="s">
        <v>2542</v>
      </c>
      <c r="D7" t="s">
        <v>2512</v>
      </c>
      <c r="E7" s="2" t="s">
        <v>30</v>
      </c>
      <c r="F7" s="2">
        <v>37076</v>
      </c>
      <c r="G7" s="2" t="s">
        <v>2543</v>
      </c>
      <c r="H7" t="s">
        <v>176</v>
      </c>
      <c r="I7" s="6">
        <v>42185</v>
      </c>
      <c r="J7" s="2" t="s">
        <v>2544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2545</v>
      </c>
      <c r="Q7" s="2">
        <v>5.69</v>
      </c>
      <c r="R7" s="2">
        <v>75</v>
      </c>
      <c r="S7" s="2">
        <v>0</v>
      </c>
      <c r="T7" t="s">
        <v>2544</v>
      </c>
      <c r="U7" s="6">
        <v>42185</v>
      </c>
      <c r="V7" s="2">
        <v>47037015622</v>
      </c>
      <c r="W7" s="2" t="s">
        <v>38</v>
      </c>
      <c r="X7" s="1">
        <v>45658</v>
      </c>
      <c r="Y7" s="2">
        <v>337000</v>
      </c>
      <c r="Z7" s="2">
        <v>0</v>
      </c>
      <c r="AA7" s="2">
        <v>337000</v>
      </c>
    </row>
    <row r="8" spans="1:27" x14ac:dyDescent="0.3">
      <c r="A8" s="3">
        <v>12</v>
      </c>
      <c r="B8" s="2" t="str">
        <f>"08600017200"</f>
        <v>08600017200</v>
      </c>
      <c r="C8" s="2" t="s">
        <v>2546</v>
      </c>
      <c r="D8" t="s">
        <v>2512</v>
      </c>
      <c r="E8" s="2" t="s">
        <v>30</v>
      </c>
      <c r="F8" s="2">
        <v>37076</v>
      </c>
      <c r="G8" s="2" t="s">
        <v>253</v>
      </c>
      <c r="H8" t="s">
        <v>2547</v>
      </c>
      <c r="I8" s="6">
        <v>34549</v>
      </c>
      <c r="J8" s="2" t="s">
        <v>2548</v>
      </c>
      <c r="K8" s="2" t="s">
        <v>34</v>
      </c>
      <c r="L8" t="s">
        <v>35</v>
      </c>
      <c r="M8" t="s">
        <v>29</v>
      </c>
      <c r="N8" t="s">
        <v>30</v>
      </c>
      <c r="O8">
        <v>37219</v>
      </c>
      <c r="P8" t="s">
        <v>2549</v>
      </c>
      <c r="Q8" s="2">
        <v>12.39</v>
      </c>
      <c r="R8" s="2">
        <v>0</v>
      </c>
      <c r="S8" s="2">
        <v>0</v>
      </c>
      <c r="T8" t="s">
        <v>2548</v>
      </c>
      <c r="U8" s="6">
        <v>34549</v>
      </c>
      <c r="V8" s="2">
        <v>47037015623</v>
      </c>
      <c r="W8" s="2" t="s">
        <v>38</v>
      </c>
      <c r="X8" s="1">
        <v>45658</v>
      </c>
      <c r="Y8" s="2">
        <v>570500</v>
      </c>
      <c r="Z8" s="2">
        <v>0</v>
      </c>
      <c r="AA8" s="2">
        <v>570500</v>
      </c>
    </row>
    <row r="9" spans="1:27" x14ac:dyDescent="0.3">
      <c r="A9" s="3">
        <v>12</v>
      </c>
      <c r="B9" s="2" t="str">
        <f>"09800016300"</f>
        <v>09800016300</v>
      </c>
      <c r="C9" s="2" t="s">
        <v>2550</v>
      </c>
      <c r="D9" t="s">
        <v>2512</v>
      </c>
      <c r="E9" s="2" t="s">
        <v>30</v>
      </c>
      <c r="F9" s="2">
        <v>37076</v>
      </c>
      <c r="G9" s="2" t="s">
        <v>64</v>
      </c>
      <c r="H9" t="s">
        <v>2551</v>
      </c>
      <c r="I9" s="6">
        <v>37406</v>
      </c>
      <c r="J9" s="2" t="s">
        <v>2552</v>
      </c>
      <c r="K9" s="2">
        <v>640000</v>
      </c>
      <c r="L9" t="s">
        <v>35</v>
      </c>
      <c r="M9" t="s">
        <v>29</v>
      </c>
      <c r="N9" t="s">
        <v>30</v>
      </c>
      <c r="O9">
        <v>37219</v>
      </c>
      <c r="P9" t="s">
        <v>2553</v>
      </c>
      <c r="Q9" s="2">
        <v>5.5</v>
      </c>
      <c r="R9" s="2">
        <v>0</v>
      </c>
      <c r="S9" s="2">
        <v>0</v>
      </c>
      <c r="T9" t="s">
        <v>2554</v>
      </c>
      <c r="U9" s="6">
        <v>29783</v>
      </c>
      <c r="V9" s="2">
        <v>47037015610</v>
      </c>
      <c r="W9" s="2" t="s">
        <v>38</v>
      </c>
      <c r="X9" s="1">
        <v>45658</v>
      </c>
      <c r="Y9" s="2">
        <v>480900</v>
      </c>
      <c r="Z9" s="2">
        <v>0</v>
      </c>
      <c r="AA9" s="2">
        <v>480900</v>
      </c>
    </row>
    <row r="10" spans="1:27" x14ac:dyDescent="0.3">
      <c r="A10" s="3">
        <v>12</v>
      </c>
      <c r="B10" s="2" t="str">
        <f>"09800010100"</f>
        <v>09800010100</v>
      </c>
      <c r="C10" s="2" t="s">
        <v>2555</v>
      </c>
      <c r="D10" t="s">
        <v>2512</v>
      </c>
      <c r="E10" s="2" t="s">
        <v>30</v>
      </c>
      <c r="F10" s="2">
        <v>37076</v>
      </c>
      <c r="G10" s="2" t="s">
        <v>64</v>
      </c>
      <c r="H10" t="s">
        <v>2551</v>
      </c>
      <c r="I10" s="6">
        <v>37406</v>
      </c>
      <c r="J10" s="2" t="s">
        <v>2552</v>
      </c>
      <c r="K10" s="2">
        <v>640000</v>
      </c>
      <c r="L10" t="s">
        <v>35</v>
      </c>
      <c r="M10" t="s">
        <v>29</v>
      </c>
      <c r="N10" t="s">
        <v>30</v>
      </c>
      <c r="O10">
        <v>37219</v>
      </c>
      <c r="P10" t="s">
        <v>2556</v>
      </c>
      <c r="Q10" s="2">
        <v>26.45</v>
      </c>
      <c r="R10" s="2">
        <v>0</v>
      </c>
      <c r="S10" s="2">
        <v>0</v>
      </c>
      <c r="T10" t="s">
        <v>2557</v>
      </c>
      <c r="U10" s="6">
        <v>25020</v>
      </c>
      <c r="V10" s="2">
        <v>47037015610</v>
      </c>
      <c r="W10" s="2" t="s">
        <v>38</v>
      </c>
      <c r="X10" s="1">
        <v>45658</v>
      </c>
      <c r="Y10" s="2">
        <v>1355300</v>
      </c>
      <c r="Z10" s="2">
        <v>0</v>
      </c>
      <c r="AA10" s="2">
        <v>1355300</v>
      </c>
    </row>
    <row r="11" spans="1:27" x14ac:dyDescent="0.3">
      <c r="A11" s="3">
        <v>12</v>
      </c>
      <c r="B11" s="2" t="str">
        <f>"10900019900"</f>
        <v>10900019900</v>
      </c>
      <c r="C11" s="2" t="s">
        <v>2558</v>
      </c>
      <c r="D11" t="s">
        <v>29</v>
      </c>
      <c r="E11" s="2" t="s">
        <v>30</v>
      </c>
      <c r="F11" s="2">
        <v>37214</v>
      </c>
      <c r="G11" s="2" t="s">
        <v>64</v>
      </c>
      <c r="H11" t="s">
        <v>280</v>
      </c>
      <c r="I11" s="6">
        <v>27894</v>
      </c>
      <c r="J11" s="2" t="s">
        <v>2559</v>
      </c>
      <c r="K11" s="2" t="s">
        <v>34</v>
      </c>
      <c r="L11" t="s">
        <v>35</v>
      </c>
      <c r="M11" t="s">
        <v>29</v>
      </c>
      <c r="N11" t="s">
        <v>30</v>
      </c>
      <c r="O11">
        <v>37219</v>
      </c>
      <c r="P11" t="s">
        <v>2560</v>
      </c>
      <c r="Q11" s="2">
        <v>0.46</v>
      </c>
      <c r="R11" s="2">
        <v>100</v>
      </c>
      <c r="S11" s="2">
        <v>200</v>
      </c>
      <c r="T11" t="s">
        <v>2561</v>
      </c>
      <c r="U11" s="6">
        <v>30760</v>
      </c>
      <c r="V11" s="2">
        <v>47037015624</v>
      </c>
      <c r="W11" s="2" t="s">
        <v>38</v>
      </c>
      <c r="X11" s="1">
        <v>45658</v>
      </c>
      <c r="Y11" s="2">
        <v>2500</v>
      </c>
      <c r="Z11" s="2">
        <v>0</v>
      </c>
      <c r="AA11" s="2">
        <v>2500</v>
      </c>
    </row>
    <row r="12" spans="1:27" x14ac:dyDescent="0.3">
      <c r="A12" s="3">
        <v>12</v>
      </c>
      <c r="B12" s="2" t="str">
        <f>"09805010600"</f>
        <v>09805010600</v>
      </c>
      <c r="C12" s="2" t="s">
        <v>2562</v>
      </c>
      <c r="D12" t="s">
        <v>2512</v>
      </c>
      <c r="E12" s="2" t="s">
        <v>30</v>
      </c>
      <c r="F12" s="2">
        <v>37076</v>
      </c>
      <c r="G12" s="2" t="s">
        <v>64</v>
      </c>
      <c r="H12" t="s">
        <v>280</v>
      </c>
      <c r="I12" s="6">
        <v>34485</v>
      </c>
      <c r="J12" s="2" t="s">
        <v>2563</v>
      </c>
      <c r="K12" s="2">
        <v>0</v>
      </c>
      <c r="L12" t="s">
        <v>35</v>
      </c>
      <c r="M12" t="s">
        <v>29</v>
      </c>
      <c r="N12" t="s">
        <v>30</v>
      </c>
      <c r="O12">
        <v>37219</v>
      </c>
      <c r="P12" t="s">
        <v>2564</v>
      </c>
      <c r="Q12" s="2">
        <v>0.35</v>
      </c>
      <c r="R12" s="2">
        <v>90</v>
      </c>
      <c r="S12" s="2">
        <v>171</v>
      </c>
      <c r="T12" t="s">
        <v>2541</v>
      </c>
      <c r="U12" s="6">
        <v>30767</v>
      </c>
      <c r="V12" s="2">
        <v>47037015610</v>
      </c>
      <c r="W12" s="2" t="s">
        <v>38</v>
      </c>
      <c r="X12" s="1">
        <v>45658</v>
      </c>
      <c r="Y12" s="2">
        <v>80000</v>
      </c>
      <c r="Z12" s="2">
        <v>0</v>
      </c>
      <c r="AA12" s="2">
        <v>80000</v>
      </c>
    </row>
    <row r="13" spans="1:27" x14ac:dyDescent="0.3">
      <c r="A13" s="3">
        <v>12</v>
      </c>
      <c r="B13" s="2" t="str">
        <f>"09802005900"</f>
        <v>09802005900</v>
      </c>
      <c r="C13" s="2" t="s">
        <v>2565</v>
      </c>
      <c r="D13" t="s">
        <v>2512</v>
      </c>
      <c r="E13" s="2" t="s">
        <v>30</v>
      </c>
      <c r="F13" s="2">
        <v>37076</v>
      </c>
      <c r="G13" s="2" t="s">
        <v>64</v>
      </c>
      <c r="H13" t="s">
        <v>280</v>
      </c>
      <c r="I13" s="6">
        <v>37825</v>
      </c>
      <c r="J13" s="2" t="s">
        <v>2566</v>
      </c>
      <c r="K13" s="2">
        <v>0</v>
      </c>
      <c r="L13" t="s">
        <v>35</v>
      </c>
      <c r="M13" t="s">
        <v>29</v>
      </c>
      <c r="N13" t="s">
        <v>30</v>
      </c>
      <c r="O13">
        <v>37219</v>
      </c>
      <c r="P13" t="s">
        <v>2567</v>
      </c>
      <c r="Q13" s="2">
        <v>0.26</v>
      </c>
      <c r="R13" s="2">
        <v>69</v>
      </c>
      <c r="S13" s="2">
        <v>243</v>
      </c>
      <c r="T13" t="s">
        <v>2568</v>
      </c>
      <c r="U13" s="6">
        <v>33744</v>
      </c>
      <c r="V13" s="2">
        <v>47037015610</v>
      </c>
      <c r="W13" s="2" t="s">
        <v>38</v>
      </c>
      <c r="X13" s="1">
        <v>45658</v>
      </c>
      <c r="Y13" s="2">
        <v>200</v>
      </c>
      <c r="Z13" s="2">
        <v>0</v>
      </c>
      <c r="AA13" s="2">
        <v>200</v>
      </c>
    </row>
    <row r="14" spans="1:27" x14ac:dyDescent="0.3">
      <c r="A14" s="3">
        <v>12</v>
      </c>
      <c r="B14" s="2" t="str">
        <f>"09802005800"</f>
        <v>09802005800</v>
      </c>
      <c r="C14" s="2" t="s">
        <v>2569</v>
      </c>
      <c r="D14" t="s">
        <v>2512</v>
      </c>
      <c r="E14" s="2" t="s">
        <v>30</v>
      </c>
      <c r="F14" s="2">
        <v>37076</v>
      </c>
      <c r="G14" s="2" t="s">
        <v>64</v>
      </c>
      <c r="H14" t="s">
        <v>280</v>
      </c>
      <c r="I14" s="6">
        <v>37825</v>
      </c>
      <c r="J14" s="2" t="s">
        <v>2570</v>
      </c>
      <c r="K14" s="2">
        <v>0</v>
      </c>
      <c r="L14" t="s">
        <v>35</v>
      </c>
      <c r="M14" t="s">
        <v>29</v>
      </c>
      <c r="N14" t="s">
        <v>30</v>
      </c>
      <c r="O14">
        <v>37219</v>
      </c>
      <c r="P14" t="s">
        <v>2571</v>
      </c>
      <c r="Q14" s="2">
        <v>0.12</v>
      </c>
      <c r="R14" s="2">
        <v>105</v>
      </c>
      <c r="S14" s="2">
        <v>73</v>
      </c>
      <c r="T14" t="s">
        <v>2568</v>
      </c>
      <c r="U14" s="6">
        <v>33744</v>
      </c>
      <c r="V14" s="2">
        <v>47037015610</v>
      </c>
      <c r="W14" s="2" t="s">
        <v>38</v>
      </c>
      <c r="X14" s="1">
        <v>45658</v>
      </c>
      <c r="Y14" s="2">
        <v>200</v>
      </c>
      <c r="Z14" s="2">
        <v>0</v>
      </c>
      <c r="AA14" s="2">
        <v>200</v>
      </c>
    </row>
    <row r="15" spans="1:27" x14ac:dyDescent="0.3">
      <c r="A15" s="3">
        <v>12</v>
      </c>
      <c r="B15" s="2" t="str">
        <f>"09700012300"</f>
        <v>09700012300</v>
      </c>
      <c r="C15" s="2" t="s">
        <v>2572</v>
      </c>
      <c r="D15" t="s">
        <v>2512</v>
      </c>
      <c r="E15" s="2" t="s">
        <v>30</v>
      </c>
      <c r="F15" s="2">
        <v>37076</v>
      </c>
      <c r="G15" s="2" t="s">
        <v>64</v>
      </c>
      <c r="H15" t="s">
        <v>280</v>
      </c>
      <c r="I15" s="6">
        <v>37825</v>
      </c>
      <c r="J15" s="2" t="s">
        <v>2573</v>
      </c>
      <c r="K15" s="2">
        <v>0</v>
      </c>
      <c r="L15" t="s">
        <v>35</v>
      </c>
      <c r="M15" t="s">
        <v>29</v>
      </c>
      <c r="N15" t="s">
        <v>30</v>
      </c>
      <c r="O15">
        <v>37219</v>
      </c>
      <c r="P15" t="s">
        <v>2574</v>
      </c>
      <c r="Q15" s="2">
        <v>0.06</v>
      </c>
      <c r="R15" s="2">
        <v>40</v>
      </c>
      <c r="S15" s="2">
        <v>60</v>
      </c>
      <c r="T15" t="s">
        <v>2575</v>
      </c>
      <c r="U15" s="6">
        <v>27527</v>
      </c>
      <c r="V15" s="2">
        <v>47037015610</v>
      </c>
      <c r="W15" s="2" t="s">
        <v>38</v>
      </c>
      <c r="X15" s="1">
        <v>45658</v>
      </c>
      <c r="Y15" s="2">
        <v>5600</v>
      </c>
      <c r="Z15" s="2">
        <v>0</v>
      </c>
      <c r="AA15" s="2">
        <v>5600</v>
      </c>
    </row>
    <row r="16" spans="1:27" x14ac:dyDescent="0.3">
      <c r="A16" s="3">
        <v>12</v>
      </c>
      <c r="B16" s="2" t="str">
        <f>"09805018000"</f>
        <v>09805018000</v>
      </c>
      <c r="C16" s="2" t="s">
        <v>2576</v>
      </c>
      <c r="D16" t="s">
        <v>2512</v>
      </c>
      <c r="E16" s="2" t="s">
        <v>30</v>
      </c>
      <c r="F16" s="2">
        <v>37076</v>
      </c>
      <c r="G16" s="2" t="s">
        <v>64</v>
      </c>
      <c r="H16" t="s">
        <v>280</v>
      </c>
      <c r="I16" s="6">
        <v>43003</v>
      </c>
      <c r="J16" s="2" t="s">
        <v>2577</v>
      </c>
      <c r="K16" s="2" t="s">
        <v>34</v>
      </c>
      <c r="L16" t="s">
        <v>343</v>
      </c>
      <c r="M16" t="s">
        <v>29</v>
      </c>
      <c r="N16" t="s">
        <v>30</v>
      </c>
      <c r="O16">
        <v>37201</v>
      </c>
      <c r="P16" t="s">
        <v>2578</v>
      </c>
      <c r="Q16" s="2">
        <v>0.18</v>
      </c>
      <c r="R16" s="2">
        <v>56</v>
      </c>
      <c r="S16" s="2">
        <v>205</v>
      </c>
      <c r="T16" t="s">
        <v>2579</v>
      </c>
      <c r="U16" s="6">
        <v>31421</v>
      </c>
      <c r="V16" s="2">
        <v>47037015610</v>
      </c>
      <c r="W16" s="2" t="s">
        <v>38</v>
      </c>
      <c r="X16" s="1">
        <v>45658</v>
      </c>
      <c r="Y16" s="2">
        <v>72000</v>
      </c>
      <c r="Z16" s="2">
        <v>0</v>
      </c>
      <c r="AA16" s="2">
        <v>72000</v>
      </c>
    </row>
    <row r="17" spans="1:27" x14ac:dyDescent="0.3">
      <c r="A17" s="3">
        <v>12</v>
      </c>
      <c r="B17" s="2" t="str">
        <f>"09805010700"</f>
        <v>09805010700</v>
      </c>
      <c r="C17" s="2" t="s">
        <v>2580</v>
      </c>
      <c r="D17" t="s">
        <v>2512</v>
      </c>
      <c r="E17" s="2" t="s">
        <v>30</v>
      </c>
      <c r="F17" s="2">
        <v>37076</v>
      </c>
      <c r="G17" s="2" t="s">
        <v>64</v>
      </c>
      <c r="H17" t="s">
        <v>280</v>
      </c>
      <c r="I17" s="6">
        <v>34485</v>
      </c>
      <c r="J17" s="2" t="s">
        <v>2563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2581</v>
      </c>
      <c r="Q17" s="2">
        <v>0.35</v>
      </c>
      <c r="R17" s="2">
        <v>90</v>
      </c>
      <c r="S17" s="2">
        <v>171</v>
      </c>
      <c r="T17" t="s">
        <v>2541</v>
      </c>
      <c r="U17" s="6">
        <v>30767</v>
      </c>
      <c r="V17" s="2">
        <v>47037015610</v>
      </c>
      <c r="W17" s="2" t="s">
        <v>38</v>
      </c>
      <c r="X17" s="1">
        <v>45658</v>
      </c>
      <c r="Y17" s="2">
        <v>80000</v>
      </c>
      <c r="Z17" s="2">
        <v>0</v>
      </c>
      <c r="AA17" s="2">
        <v>80000</v>
      </c>
    </row>
    <row r="18" spans="1:27" x14ac:dyDescent="0.3">
      <c r="A18" s="3">
        <v>12</v>
      </c>
      <c r="B18" s="2" t="str">
        <f>"09805010800"</f>
        <v>09805010800</v>
      </c>
      <c r="C18" s="2" t="s">
        <v>2582</v>
      </c>
      <c r="D18" t="s">
        <v>2512</v>
      </c>
      <c r="E18" s="2" t="s">
        <v>30</v>
      </c>
      <c r="F18" s="2">
        <v>37076</v>
      </c>
      <c r="G18" s="2" t="s">
        <v>64</v>
      </c>
      <c r="H18" t="s">
        <v>280</v>
      </c>
      <c r="I18" s="6">
        <v>34485</v>
      </c>
      <c r="J18" s="2" t="s">
        <v>2563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2583</v>
      </c>
      <c r="Q18" s="2">
        <v>0.36</v>
      </c>
      <c r="R18" s="2">
        <v>92</v>
      </c>
      <c r="S18" s="2">
        <v>171</v>
      </c>
      <c r="T18" t="s">
        <v>2541</v>
      </c>
      <c r="U18" s="6">
        <v>30767</v>
      </c>
      <c r="V18" s="2">
        <v>47037015610</v>
      </c>
      <c r="W18" s="2" t="s">
        <v>38</v>
      </c>
      <c r="X18" s="1">
        <v>45658</v>
      </c>
      <c r="Y18" s="2">
        <v>80000</v>
      </c>
      <c r="Z18" s="2">
        <v>0</v>
      </c>
      <c r="AA18" s="2">
        <v>80000</v>
      </c>
    </row>
    <row r="19" spans="1:27" x14ac:dyDescent="0.3">
      <c r="A19" s="3">
        <v>12</v>
      </c>
      <c r="B19" s="2" t="str">
        <f>"09805015000"</f>
        <v>09805015000</v>
      </c>
      <c r="C19" s="2" t="s">
        <v>2584</v>
      </c>
      <c r="D19" t="s">
        <v>2512</v>
      </c>
      <c r="E19" s="2" t="s">
        <v>30</v>
      </c>
      <c r="F19" s="2">
        <v>37076</v>
      </c>
      <c r="G19" s="2" t="s">
        <v>64</v>
      </c>
      <c r="H19" t="s">
        <v>280</v>
      </c>
      <c r="I19" s="6">
        <v>34485</v>
      </c>
      <c r="J19" s="2" t="s">
        <v>2563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2585</v>
      </c>
      <c r="Q19" s="2">
        <v>0.35</v>
      </c>
      <c r="R19" s="2">
        <v>108</v>
      </c>
      <c r="S19" s="2">
        <v>140</v>
      </c>
      <c r="T19" t="s">
        <v>2541</v>
      </c>
      <c r="U19" s="6">
        <v>30767</v>
      </c>
      <c r="V19" s="2">
        <v>47037015610</v>
      </c>
      <c r="W19" s="2" t="s">
        <v>38</v>
      </c>
      <c r="X19" s="1">
        <v>45658</v>
      </c>
      <c r="Y19" s="2">
        <v>80000</v>
      </c>
      <c r="Z19" s="2">
        <v>0</v>
      </c>
      <c r="AA19" s="2">
        <v>80000</v>
      </c>
    </row>
    <row r="20" spans="1:27" x14ac:dyDescent="0.3">
      <c r="A20" s="3">
        <v>12</v>
      </c>
      <c r="B20" s="2" t="str">
        <f>"09805015100"</f>
        <v>09805015100</v>
      </c>
      <c r="C20" s="2" t="s">
        <v>2586</v>
      </c>
      <c r="D20" t="s">
        <v>2512</v>
      </c>
      <c r="E20" s="2" t="s">
        <v>30</v>
      </c>
      <c r="F20" s="2">
        <v>37076</v>
      </c>
      <c r="G20" s="2" t="s">
        <v>64</v>
      </c>
      <c r="H20" t="s">
        <v>280</v>
      </c>
      <c r="I20" s="6">
        <v>34485</v>
      </c>
      <c r="J20" s="2" t="s">
        <v>2563</v>
      </c>
      <c r="K20" s="2">
        <v>0</v>
      </c>
      <c r="L20" t="s">
        <v>35</v>
      </c>
      <c r="M20" t="s">
        <v>29</v>
      </c>
      <c r="N20" t="s">
        <v>30</v>
      </c>
      <c r="O20">
        <v>37219</v>
      </c>
      <c r="P20" t="s">
        <v>2587</v>
      </c>
      <c r="Q20" s="2">
        <v>0.35</v>
      </c>
      <c r="R20" s="2">
        <v>110</v>
      </c>
      <c r="S20" s="2">
        <v>139</v>
      </c>
      <c r="T20" t="s">
        <v>2541</v>
      </c>
      <c r="U20" s="6">
        <v>30767</v>
      </c>
      <c r="V20" s="2">
        <v>47037015610</v>
      </c>
      <c r="W20" s="2" t="s">
        <v>38</v>
      </c>
      <c r="X20" s="1">
        <v>45658</v>
      </c>
      <c r="Y20" s="2">
        <v>80000</v>
      </c>
      <c r="Z20" s="2">
        <v>0</v>
      </c>
      <c r="AA20" s="2">
        <v>80000</v>
      </c>
    </row>
    <row r="21" spans="1:27" x14ac:dyDescent="0.3">
      <c r="A21" s="3">
        <v>12</v>
      </c>
      <c r="B21" s="2" t="str">
        <f>"09805012900"</f>
        <v>09805012900</v>
      </c>
      <c r="C21" s="2" t="s">
        <v>2588</v>
      </c>
      <c r="D21" t="s">
        <v>2512</v>
      </c>
      <c r="E21" s="2" t="s">
        <v>30</v>
      </c>
      <c r="F21" s="2">
        <v>37076</v>
      </c>
      <c r="G21" s="2" t="s">
        <v>64</v>
      </c>
      <c r="H21" t="s">
        <v>280</v>
      </c>
      <c r="I21" s="6">
        <v>43003</v>
      </c>
      <c r="J21" s="2" t="s">
        <v>2589</v>
      </c>
      <c r="K21" s="2" t="s">
        <v>34</v>
      </c>
      <c r="L21" t="s">
        <v>343</v>
      </c>
      <c r="M21" t="s">
        <v>29</v>
      </c>
      <c r="N21" t="s">
        <v>30</v>
      </c>
      <c r="O21">
        <v>37201</v>
      </c>
      <c r="P21" t="s">
        <v>2590</v>
      </c>
      <c r="Q21" s="2">
        <v>0.17</v>
      </c>
      <c r="R21" s="2">
        <v>43</v>
      </c>
      <c r="S21" s="2">
        <v>205</v>
      </c>
      <c r="T21" t="s">
        <v>2579</v>
      </c>
      <c r="U21" s="6">
        <v>31421</v>
      </c>
      <c r="V21" s="2">
        <v>47037015610</v>
      </c>
      <c r="W21" s="2" t="s">
        <v>38</v>
      </c>
      <c r="X21" s="1">
        <v>45658</v>
      </c>
      <c r="Y21" s="2">
        <v>72000</v>
      </c>
      <c r="Z21" s="2">
        <v>0</v>
      </c>
      <c r="AA21" s="2">
        <v>72000</v>
      </c>
    </row>
    <row r="22" spans="1:27" x14ac:dyDescent="0.3">
      <c r="A22" s="3">
        <v>12</v>
      </c>
      <c r="B22" s="2" t="str">
        <f>"09805015200"</f>
        <v>09805015200</v>
      </c>
      <c r="C22" s="2" t="s">
        <v>2591</v>
      </c>
      <c r="D22" t="s">
        <v>2512</v>
      </c>
      <c r="E22" s="2" t="s">
        <v>30</v>
      </c>
      <c r="F22" s="2">
        <v>37076</v>
      </c>
      <c r="G22" s="2" t="s">
        <v>64</v>
      </c>
      <c r="H22" t="s">
        <v>280</v>
      </c>
      <c r="I22" s="6">
        <v>40157</v>
      </c>
      <c r="J22" s="2" t="s">
        <v>2592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2593</v>
      </c>
      <c r="Q22" s="2">
        <v>0.35</v>
      </c>
      <c r="R22" s="2">
        <v>110</v>
      </c>
      <c r="S22" s="2">
        <v>139</v>
      </c>
      <c r="T22" t="s">
        <v>2541</v>
      </c>
      <c r="U22" s="6">
        <v>30767</v>
      </c>
      <c r="V22" s="2">
        <v>47037015610</v>
      </c>
      <c r="W22" s="2" t="s">
        <v>38</v>
      </c>
      <c r="X22" s="1">
        <v>45658</v>
      </c>
      <c r="Y22" s="2">
        <v>80000</v>
      </c>
      <c r="Z22" s="2">
        <v>0</v>
      </c>
      <c r="AA22" s="2">
        <v>80000</v>
      </c>
    </row>
    <row r="23" spans="1:27" x14ac:dyDescent="0.3">
      <c r="A23" s="3">
        <v>12</v>
      </c>
      <c r="B23" s="2" t="str">
        <f>"09700016800"</f>
        <v>09700016800</v>
      </c>
      <c r="C23" s="2" t="s">
        <v>2594</v>
      </c>
      <c r="D23" t="s">
        <v>2512</v>
      </c>
      <c r="E23" s="2" t="s">
        <v>30</v>
      </c>
      <c r="F23" s="2">
        <v>37076</v>
      </c>
      <c r="G23" s="2" t="s">
        <v>2595</v>
      </c>
      <c r="H23" t="s">
        <v>379</v>
      </c>
      <c r="I23" s="6">
        <v>38028</v>
      </c>
      <c r="J23" s="2" t="s">
        <v>2596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2597</v>
      </c>
      <c r="Q23" s="2">
        <v>0.26</v>
      </c>
      <c r="R23" s="2">
        <v>0</v>
      </c>
      <c r="S23" s="2">
        <v>0</v>
      </c>
      <c r="T23" t="s">
        <v>2598</v>
      </c>
      <c r="U23" s="6">
        <v>36158</v>
      </c>
      <c r="V23" s="2">
        <v>47037015610</v>
      </c>
      <c r="W23" s="2" t="s">
        <v>2599</v>
      </c>
      <c r="X23" s="1">
        <v>45658</v>
      </c>
      <c r="Y23" s="2">
        <v>301000</v>
      </c>
      <c r="Z23" s="2">
        <v>0</v>
      </c>
      <c r="AA23" s="2">
        <v>301000</v>
      </c>
    </row>
    <row r="24" spans="1:27" x14ac:dyDescent="0.3">
      <c r="A24" s="3">
        <v>12</v>
      </c>
      <c r="B24" s="2" t="str">
        <f>"08600023700"</f>
        <v>08600023700</v>
      </c>
      <c r="C24" s="2" t="s">
        <v>2600</v>
      </c>
      <c r="D24" t="s">
        <v>2512</v>
      </c>
      <c r="E24" s="2" t="s">
        <v>30</v>
      </c>
      <c r="F24" s="2">
        <v>37076</v>
      </c>
      <c r="G24" s="2" t="s">
        <v>2601</v>
      </c>
      <c r="H24" t="s">
        <v>2602</v>
      </c>
      <c r="I24" s="6">
        <v>45735</v>
      </c>
      <c r="J24" s="2" t="s">
        <v>2603</v>
      </c>
      <c r="K24" s="2">
        <v>0</v>
      </c>
      <c r="L24" t="s">
        <v>2604</v>
      </c>
      <c r="M24" t="s">
        <v>29</v>
      </c>
      <c r="N24" t="s">
        <v>30</v>
      </c>
      <c r="O24">
        <v>37206</v>
      </c>
      <c r="P24" t="s">
        <v>2605</v>
      </c>
      <c r="Q24" s="2">
        <v>22.25</v>
      </c>
      <c r="R24" s="2">
        <v>0</v>
      </c>
      <c r="S24" s="2">
        <v>0</v>
      </c>
      <c r="T24" t="s">
        <v>2606</v>
      </c>
      <c r="U24" s="6">
        <v>28364</v>
      </c>
      <c r="V24" s="2">
        <v>47037015623</v>
      </c>
      <c r="W24" s="2" t="s">
        <v>38</v>
      </c>
      <c r="X24" s="1">
        <v>45658</v>
      </c>
      <c r="Y24" s="2">
        <v>39520800</v>
      </c>
      <c r="Z24" s="2">
        <v>32520800</v>
      </c>
      <c r="AA24" s="2">
        <v>7000000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944D-7BF7-44C8-834D-C3D0A398D13A}">
  <sheetPr>
    <tabColor rgb="FF002060"/>
  </sheetPr>
  <dimension ref="A1:AA206"/>
  <sheetViews>
    <sheetView workbookViewId="0">
      <selection activeCell="G25" sqref="G25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13</v>
      </c>
      <c r="B2" s="2" t="str">
        <f>"10808032200"</f>
        <v>10808032200</v>
      </c>
      <c r="C2" s="2" t="s">
        <v>2607</v>
      </c>
      <c r="D2" t="s">
        <v>29</v>
      </c>
      <c r="E2" s="2" t="s">
        <v>30</v>
      </c>
      <c r="F2" s="2">
        <v>37214</v>
      </c>
      <c r="G2" s="2" t="s">
        <v>64</v>
      </c>
      <c r="H2" t="s">
        <v>32</v>
      </c>
      <c r="I2" s="6">
        <v>33984</v>
      </c>
      <c r="J2" s="2" t="s">
        <v>2608</v>
      </c>
      <c r="K2" s="2" t="s">
        <v>34</v>
      </c>
      <c r="L2" t="s">
        <v>35</v>
      </c>
      <c r="M2" t="s">
        <v>29</v>
      </c>
      <c r="N2" t="s">
        <v>30</v>
      </c>
      <c r="O2">
        <v>37219</v>
      </c>
      <c r="P2" t="s">
        <v>2609</v>
      </c>
      <c r="Q2" s="2">
        <v>0.34</v>
      </c>
      <c r="R2" s="2">
        <v>242</v>
      </c>
      <c r="S2" s="2">
        <v>91</v>
      </c>
      <c r="T2" t="s">
        <v>2608</v>
      </c>
      <c r="U2" s="6">
        <v>33984</v>
      </c>
      <c r="V2" s="2">
        <v>47037015625</v>
      </c>
      <c r="W2" s="2" t="s">
        <v>38</v>
      </c>
      <c r="X2" s="1">
        <v>45658</v>
      </c>
      <c r="Y2" s="2">
        <v>1000</v>
      </c>
      <c r="Z2" s="2">
        <v>0</v>
      </c>
      <c r="AA2" s="2">
        <v>1000</v>
      </c>
    </row>
    <row r="3" spans="1:27" x14ac:dyDescent="0.3">
      <c r="A3" s="3">
        <v>13</v>
      </c>
      <c r="B3" s="2" t="str">
        <f>"13500042700"</f>
        <v>13500042700</v>
      </c>
      <c r="C3" s="2" t="s">
        <v>2610</v>
      </c>
      <c r="D3" t="s">
        <v>29</v>
      </c>
      <c r="E3" s="2" t="s">
        <v>30</v>
      </c>
      <c r="F3" s="2">
        <v>37217</v>
      </c>
      <c r="G3" s="2" t="s">
        <v>64</v>
      </c>
      <c r="H3" t="s">
        <v>32</v>
      </c>
      <c r="I3" s="6">
        <v>39001</v>
      </c>
      <c r="J3" s="2" t="s">
        <v>2611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2612</v>
      </c>
      <c r="Q3" s="2">
        <v>24.98</v>
      </c>
      <c r="R3" s="2">
        <v>322</v>
      </c>
      <c r="S3" s="2">
        <v>0</v>
      </c>
      <c r="T3" t="s">
        <v>2613</v>
      </c>
      <c r="U3" s="6">
        <v>38908</v>
      </c>
      <c r="V3" s="2">
        <v>47037015612</v>
      </c>
      <c r="W3" s="2" t="s">
        <v>68</v>
      </c>
      <c r="X3" s="1">
        <v>45658</v>
      </c>
      <c r="Y3" s="2">
        <v>761400</v>
      </c>
      <c r="Z3" s="2">
        <v>0</v>
      </c>
      <c r="AA3" s="2">
        <v>761400</v>
      </c>
    </row>
    <row r="4" spans="1:27" x14ac:dyDescent="0.3">
      <c r="A4" s="3">
        <v>13</v>
      </c>
      <c r="B4" s="2" t="str">
        <f>"13400031900"</f>
        <v>13400031900</v>
      </c>
      <c r="C4" s="2" t="s">
        <v>2614</v>
      </c>
      <c r="D4" t="s">
        <v>29</v>
      </c>
      <c r="E4" s="2" t="s">
        <v>30</v>
      </c>
      <c r="F4" s="2">
        <v>37217</v>
      </c>
      <c r="G4" s="2" t="s">
        <v>1485</v>
      </c>
      <c r="H4" t="s">
        <v>32</v>
      </c>
      <c r="I4" s="6">
        <v>41976</v>
      </c>
      <c r="J4" s="2" t="s">
        <v>2615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2616</v>
      </c>
      <c r="Q4" s="2">
        <v>22.23</v>
      </c>
      <c r="R4" s="2">
        <v>0</v>
      </c>
      <c r="S4" s="2">
        <v>0</v>
      </c>
      <c r="T4" t="s">
        <v>2615</v>
      </c>
      <c r="U4" s="6">
        <v>41976</v>
      </c>
      <c r="V4" s="2">
        <v>47037980100</v>
      </c>
      <c r="W4" s="2" t="s">
        <v>68</v>
      </c>
      <c r="X4" s="1">
        <v>45658</v>
      </c>
      <c r="Y4" s="2">
        <v>1222700</v>
      </c>
      <c r="Z4" s="2">
        <v>0</v>
      </c>
      <c r="AA4" s="2">
        <v>1222700</v>
      </c>
    </row>
    <row r="5" spans="1:27" x14ac:dyDescent="0.3">
      <c r="A5" s="3">
        <v>13</v>
      </c>
      <c r="B5" s="2" t="str">
        <f>"12100021200"</f>
        <v>12100021200</v>
      </c>
      <c r="C5" s="2" t="s">
        <v>2617</v>
      </c>
      <c r="D5" t="s">
        <v>29</v>
      </c>
      <c r="E5" s="2" t="s">
        <v>30</v>
      </c>
      <c r="F5" s="2">
        <v>37214</v>
      </c>
      <c r="G5" s="2" t="s">
        <v>194</v>
      </c>
      <c r="H5" t="s">
        <v>2618</v>
      </c>
      <c r="I5" s="6">
        <v>44180</v>
      </c>
      <c r="J5" s="2" t="s">
        <v>2619</v>
      </c>
      <c r="K5" s="2" t="s">
        <v>34</v>
      </c>
      <c r="L5" t="s">
        <v>2620</v>
      </c>
      <c r="M5" t="s">
        <v>29</v>
      </c>
      <c r="N5" t="s">
        <v>30</v>
      </c>
      <c r="O5">
        <v>37214</v>
      </c>
      <c r="P5" t="s">
        <v>2621</v>
      </c>
      <c r="Q5" s="2">
        <v>2.94</v>
      </c>
      <c r="R5" s="2">
        <v>234</v>
      </c>
      <c r="S5" s="2">
        <v>437</v>
      </c>
      <c r="T5" t="s">
        <v>2622</v>
      </c>
      <c r="U5" s="6">
        <v>28361</v>
      </c>
      <c r="V5" s="2">
        <v>47037015625</v>
      </c>
      <c r="W5" s="2" t="s">
        <v>38</v>
      </c>
      <c r="X5" s="1">
        <v>45658</v>
      </c>
      <c r="Y5" s="2">
        <v>174900</v>
      </c>
      <c r="Z5" s="2">
        <v>0</v>
      </c>
      <c r="AA5" s="2">
        <v>174900</v>
      </c>
    </row>
    <row r="6" spans="1:27" x14ac:dyDescent="0.3">
      <c r="A6" s="3">
        <v>13</v>
      </c>
      <c r="B6" s="2" t="str">
        <f>"10808009100"</f>
        <v>10808009100</v>
      </c>
      <c r="C6" s="2" t="s">
        <v>2623</v>
      </c>
      <c r="D6" t="s">
        <v>29</v>
      </c>
      <c r="E6" s="2" t="s">
        <v>30</v>
      </c>
      <c r="F6" s="2">
        <v>37214</v>
      </c>
      <c r="G6" s="2" t="s">
        <v>64</v>
      </c>
      <c r="H6" t="s">
        <v>99</v>
      </c>
      <c r="I6" s="6">
        <v>40443</v>
      </c>
      <c r="J6" s="2" t="s">
        <v>2624</v>
      </c>
      <c r="K6" s="2">
        <v>669</v>
      </c>
      <c r="L6" t="s">
        <v>35</v>
      </c>
      <c r="M6" t="s">
        <v>29</v>
      </c>
      <c r="N6" t="s">
        <v>30</v>
      </c>
      <c r="O6">
        <v>37219</v>
      </c>
      <c r="P6" t="s">
        <v>2625</v>
      </c>
      <c r="Q6" s="2">
        <v>0.05</v>
      </c>
      <c r="R6" s="2">
        <v>65</v>
      </c>
      <c r="S6" s="2">
        <v>36</v>
      </c>
      <c r="T6" t="s">
        <v>2626</v>
      </c>
      <c r="U6" s="6">
        <v>29117</v>
      </c>
      <c r="V6" s="2">
        <v>47037015624</v>
      </c>
      <c r="W6" s="2" t="s">
        <v>38</v>
      </c>
      <c r="X6" s="1">
        <v>45658</v>
      </c>
      <c r="Y6" s="2">
        <v>1000</v>
      </c>
      <c r="Z6" s="2">
        <v>0</v>
      </c>
      <c r="AA6" s="2">
        <v>1000</v>
      </c>
    </row>
    <row r="7" spans="1:27" x14ac:dyDescent="0.3">
      <c r="A7" s="3">
        <v>13</v>
      </c>
      <c r="B7" s="2" t="str">
        <f>"12000014900"</f>
        <v>12000014900</v>
      </c>
      <c r="C7" s="2" t="s">
        <v>2627</v>
      </c>
      <c r="D7" t="s">
        <v>29</v>
      </c>
      <c r="E7" s="2" t="s">
        <v>30</v>
      </c>
      <c r="F7" s="2">
        <v>37217</v>
      </c>
      <c r="G7" s="2" t="s">
        <v>64</v>
      </c>
      <c r="H7" t="s">
        <v>2628</v>
      </c>
      <c r="I7" s="6">
        <v>41444</v>
      </c>
      <c r="J7" s="2" t="s">
        <v>2629</v>
      </c>
      <c r="K7" s="2">
        <v>1435</v>
      </c>
      <c r="L7" t="s">
        <v>35</v>
      </c>
      <c r="M7" t="s">
        <v>29</v>
      </c>
      <c r="N7" t="s">
        <v>30</v>
      </c>
      <c r="O7">
        <v>37219</v>
      </c>
      <c r="P7" t="s">
        <v>2630</v>
      </c>
      <c r="Q7" s="2">
        <v>0.32</v>
      </c>
      <c r="R7" s="2">
        <v>266</v>
      </c>
      <c r="S7" s="2">
        <v>131</v>
      </c>
      <c r="T7" t="s">
        <v>2631</v>
      </c>
      <c r="U7" s="6">
        <v>33084</v>
      </c>
      <c r="V7" s="2">
        <v>47037015700</v>
      </c>
      <c r="W7" s="2" t="s">
        <v>68</v>
      </c>
      <c r="X7" s="1">
        <v>45658</v>
      </c>
      <c r="Y7" s="2">
        <v>48000</v>
      </c>
      <c r="Z7" s="2">
        <v>0</v>
      </c>
      <c r="AA7" s="2">
        <v>48000</v>
      </c>
    </row>
    <row r="8" spans="1:27" x14ac:dyDescent="0.3">
      <c r="A8" s="3">
        <v>13</v>
      </c>
      <c r="B8" s="2" t="str">
        <f>"12002004900"</f>
        <v>12002004900</v>
      </c>
      <c r="C8" s="2" t="s">
        <v>2632</v>
      </c>
      <c r="D8" t="s">
        <v>29</v>
      </c>
      <c r="E8" s="2" t="s">
        <v>30</v>
      </c>
      <c r="F8" s="2">
        <v>37217</v>
      </c>
      <c r="G8" s="2" t="s">
        <v>147</v>
      </c>
      <c r="H8" t="s">
        <v>2633</v>
      </c>
      <c r="I8" s="6">
        <v>22714</v>
      </c>
      <c r="J8" s="2" t="s">
        <v>2634</v>
      </c>
      <c r="K8" s="2" t="s">
        <v>34</v>
      </c>
      <c r="L8" t="s">
        <v>35</v>
      </c>
      <c r="M8" t="s">
        <v>29</v>
      </c>
      <c r="N8" t="s">
        <v>30</v>
      </c>
      <c r="O8">
        <v>37219</v>
      </c>
      <c r="P8" t="s">
        <v>2635</v>
      </c>
      <c r="Q8" s="2">
        <v>0.49</v>
      </c>
      <c r="R8" s="2">
        <v>100</v>
      </c>
      <c r="S8" s="2">
        <v>180</v>
      </c>
      <c r="T8" t="s">
        <v>2634</v>
      </c>
      <c r="U8" s="6">
        <v>22714</v>
      </c>
      <c r="V8" s="2">
        <v>47037015802</v>
      </c>
      <c r="W8" s="2" t="s">
        <v>68</v>
      </c>
      <c r="X8" s="1">
        <v>45658</v>
      </c>
      <c r="Y8" s="2">
        <v>192100</v>
      </c>
      <c r="Z8" s="2">
        <v>0</v>
      </c>
      <c r="AA8" s="2">
        <v>192100</v>
      </c>
    </row>
    <row r="9" spans="1:27" x14ac:dyDescent="0.3">
      <c r="A9" s="3">
        <v>13</v>
      </c>
      <c r="B9" s="2" t="str">
        <f>"12000015700"</f>
        <v>12000015700</v>
      </c>
      <c r="C9" s="2" t="s">
        <v>2636</v>
      </c>
      <c r="D9" t="s">
        <v>29</v>
      </c>
      <c r="E9" s="2" t="s">
        <v>30</v>
      </c>
      <c r="F9" s="2">
        <v>37217</v>
      </c>
      <c r="G9" s="2" t="s">
        <v>41</v>
      </c>
      <c r="H9" t="s">
        <v>1668</v>
      </c>
      <c r="I9" s="6">
        <v>35856</v>
      </c>
      <c r="J9" s="2" t="s">
        <v>2637</v>
      </c>
      <c r="K9" s="2" t="s">
        <v>34</v>
      </c>
      <c r="L9" t="s">
        <v>35</v>
      </c>
      <c r="M9" t="s">
        <v>29</v>
      </c>
      <c r="N9" t="s">
        <v>30</v>
      </c>
      <c r="O9">
        <v>37219</v>
      </c>
      <c r="P9" t="s">
        <v>2638</v>
      </c>
      <c r="Q9" s="2">
        <v>65.09</v>
      </c>
      <c r="R9" s="2">
        <v>0</v>
      </c>
      <c r="S9" s="2">
        <v>0</v>
      </c>
      <c r="T9" t="s">
        <v>2639</v>
      </c>
      <c r="U9" s="6">
        <v>40388</v>
      </c>
      <c r="V9" s="2">
        <v>47037980100</v>
      </c>
      <c r="W9" s="2" t="s">
        <v>68</v>
      </c>
      <c r="X9" s="1">
        <v>45658</v>
      </c>
      <c r="Y9" s="2">
        <v>7290100</v>
      </c>
      <c r="Z9" s="2">
        <v>0</v>
      </c>
      <c r="AA9" s="2">
        <v>7290100</v>
      </c>
    </row>
    <row r="10" spans="1:27" x14ac:dyDescent="0.3">
      <c r="A10" s="3">
        <v>13</v>
      </c>
      <c r="B10" s="2" t="str">
        <f>"12100000900"</f>
        <v>12100000900</v>
      </c>
      <c r="C10" s="2" t="s">
        <v>2640</v>
      </c>
      <c r="D10" t="s">
        <v>29</v>
      </c>
      <c r="E10" s="2" t="s">
        <v>30</v>
      </c>
      <c r="F10" s="2">
        <v>37214</v>
      </c>
      <c r="G10" s="2" t="s">
        <v>152</v>
      </c>
      <c r="H10" t="s">
        <v>176</v>
      </c>
      <c r="I10" s="6">
        <v>35767</v>
      </c>
      <c r="J10" s="2" t="s">
        <v>2641</v>
      </c>
      <c r="K10" s="2">
        <v>300000</v>
      </c>
      <c r="L10" t="s">
        <v>178</v>
      </c>
      <c r="M10" t="s">
        <v>29</v>
      </c>
      <c r="N10" t="s">
        <v>30</v>
      </c>
      <c r="O10">
        <v>37246</v>
      </c>
      <c r="P10" t="s">
        <v>2642</v>
      </c>
      <c r="Q10" s="2">
        <v>14.86</v>
      </c>
      <c r="R10" s="2">
        <v>0</v>
      </c>
      <c r="S10" s="2">
        <v>0</v>
      </c>
      <c r="T10" t="s">
        <v>2643</v>
      </c>
      <c r="U10" s="6">
        <v>32191</v>
      </c>
      <c r="V10" s="2">
        <v>47037015625</v>
      </c>
      <c r="W10" s="2" t="s">
        <v>38</v>
      </c>
      <c r="X10" s="1">
        <v>45658</v>
      </c>
      <c r="Y10" s="2">
        <v>924400</v>
      </c>
      <c r="Z10" s="2">
        <v>0</v>
      </c>
      <c r="AA10" s="2">
        <v>924400</v>
      </c>
    </row>
    <row r="11" spans="1:27" x14ac:dyDescent="0.3">
      <c r="A11" s="3">
        <v>13</v>
      </c>
      <c r="B11" s="2" t="str">
        <f>"13400001801"</f>
        <v>13400001801</v>
      </c>
      <c r="C11" s="2" t="s">
        <v>2644</v>
      </c>
      <c r="D11" t="s">
        <v>29</v>
      </c>
      <c r="E11" s="2" t="s">
        <v>30</v>
      </c>
      <c r="F11" s="2">
        <v>37217</v>
      </c>
      <c r="G11" s="2" t="s">
        <v>152</v>
      </c>
      <c r="H11" t="s">
        <v>176</v>
      </c>
      <c r="I11" s="6">
        <v>19886</v>
      </c>
      <c r="J11" s="2" t="s">
        <v>2645</v>
      </c>
      <c r="K11" s="2" t="s">
        <v>34</v>
      </c>
      <c r="L11" t="s">
        <v>178</v>
      </c>
      <c r="M11" t="s">
        <v>29</v>
      </c>
      <c r="N11" t="s">
        <v>30</v>
      </c>
      <c r="O11">
        <v>37246</v>
      </c>
      <c r="P11" t="s">
        <v>2646</v>
      </c>
      <c r="Q11" s="2">
        <v>2.75</v>
      </c>
      <c r="R11" s="2">
        <v>0</v>
      </c>
      <c r="S11" s="2">
        <v>0</v>
      </c>
      <c r="T11" t="s">
        <v>2645</v>
      </c>
      <c r="U11" s="6">
        <v>19886</v>
      </c>
      <c r="V11" s="2">
        <v>47037980100</v>
      </c>
      <c r="W11" s="2" t="s">
        <v>68</v>
      </c>
      <c r="X11" s="1">
        <v>45658</v>
      </c>
      <c r="Y11" s="2">
        <v>126500</v>
      </c>
      <c r="Z11" s="2">
        <v>0</v>
      </c>
      <c r="AA11" s="2">
        <v>126500</v>
      </c>
    </row>
    <row r="12" spans="1:27" x14ac:dyDescent="0.3">
      <c r="A12" s="3">
        <v>13</v>
      </c>
      <c r="B12" s="2" t="str">
        <f>"12001013700"</f>
        <v>12001013700</v>
      </c>
      <c r="C12" s="2" t="s">
        <v>2647</v>
      </c>
      <c r="D12" t="s">
        <v>29</v>
      </c>
      <c r="E12" s="2" t="s">
        <v>30</v>
      </c>
      <c r="F12" s="2">
        <v>37217</v>
      </c>
      <c r="G12" s="2" t="s">
        <v>152</v>
      </c>
      <c r="H12" t="s">
        <v>176</v>
      </c>
      <c r="I12" s="6">
        <v>18003</v>
      </c>
      <c r="J12" s="2" t="s">
        <v>2648</v>
      </c>
      <c r="K12" s="2" t="s">
        <v>34</v>
      </c>
      <c r="L12" t="s">
        <v>178</v>
      </c>
      <c r="M12" t="s">
        <v>29</v>
      </c>
      <c r="N12" t="s">
        <v>30</v>
      </c>
      <c r="O12">
        <v>37246</v>
      </c>
      <c r="P12" t="s">
        <v>2649</v>
      </c>
      <c r="Q12" s="2">
        <v>0.19</v>
      </c>
      <c r="R12" s="2">
        <v>20</v>
      </c>
      <c r="S12" s="2">
        <v>208</v>
      </c>
      <c r="T12" t="s">
        <v>62</v>
      </c>
      <c r="U12" s="6">
        <v>35432</v>
      </c>
      <c r="V12" s="2">
        <v>47037015802</v>
      </c>
      <c r="W12" s="2" t="s">
        <v>68</v>
      </c>
      <c r="X12" s="1">
        <v>45658</v>
      </c>
      <c r="Y12" s="2">
        <v>26900</v>
      </c>
      <c r="Z12" s="2">
        <v>0</v>
      </c>
      <c r="AA12" s="2">
        <v>26900</v>
      </c>
    </row>
    <row r="13" spans="1:27" x14ac:dyDescent="0.3">
      <c r="A13" s="3">
        <v>13</v>
      </c>
      <c r="B13" s="2" t="str">
        <f>"10705017500"</f>
        <v>10705017500</v>
      </c>
      <c r="C13" s="2" t="s">
        <v>2650</v>
      </c>
      <c r="D13" t="s">
        <v>29</v>
      </c>
      <c r="E13" s="2" t="s">
        <v>30</v>
      </c>
      <c r="F13" s="2">
        <v>37217</v>
      </c>
      <c r="G13" s="2" t="s">
        <v>152</v>
      </c>
      <c r="H13" t="s">
        <v>176</v>
      </c>
      <c r="I13" s="6">
        <v>21845</v>
      </c>
      <c r="J13" s="2" t="s">
        <v>2651</v>
      </c>
      <c r="K13" s="2" t="s">
        <v>34</v>
      </c>
      <c r="L13" t="s">
        <v>178</v>
      </c>
      <c r="M13" t="s">
        <v>29</v>
      </c>
      <c r="N13" t="s">
        <v>30</v>
      </c>
      <c r="O13">
        <v>37246</v>
      </c>
      <c r="P13" t="s">
        <v>2652</v>
      </c>
      <c r="Q13" s="2">
        <v>0.22</v>
      </c>
      <c r="R13" s="2">
        <v>72</v>
      </c>
      <c r="S13" s="2">
        <v>140</v>
      </c>
      <c r="T13" t="s">
        <v>2651</v>
      </c>
      <c r="U13" s="6">
        <v>21845</v>
      </c>
      <c r="V13" s="2">
        <v>47037015804</v>
      </c>
      <c r="W13" s="2" t="s">
        <v>68</v>
      </c>
      <c r="X13" s="1">
        <v>45658</v>
      </c>
      <c r="Y13" s="2">
        <v>52200</v>
      </c>
      <c r="Z13" s="2">
        <v>0</v>
      </c>
      <c r="AA13" s="2">
        <v>52200</v>
      </c>
    </row>
    <row r="14" spans="1:27" x14ac:dyDescent="0.3">
      <c r="A14" s="3">
        <v>13</v>
      </c>
      <c r="B14" s="2" t="str">
        <f>"12009010000"</f>
        <v>12009010000</v>
      </c>
      <c r="C14" s="2" t="s">
        <v>2653</v>
      </c>
      <c r="D14" t="s">
        <v>29</v>
      </c>
      <c r="E14" s="2" t="s">
        <v>30</v>
      </c>
      <c r="F14" s="2">
        <v>37217</v>
      </c>
      <c r="G14" s="2" t="s">
        <v>152</v>
      </c>
      <c r="H14" t="s">
        <v>176</v>
      </c>
      <c r="I14" s="6">
        <v>22867</v>
      </c>
      <c r="J14" s="2" t="s">
        <v>2654</v>
      </c>
      <c r="K14" s="2" t="s">
        <v>34</v>
      </c>
      <c r="L14" t="s">
        <v>178</v>
      </c>
      <c r="M14" t="s">
        <v>29</v>
      </c>
      <c r="N14" t="s">
        <v>30</v>
      </c>
      <c r="O14">
        <v>37246</v>
      </c>
      <c r="P14" t="s">
        <v>2655</v>
      </c>
      <c r="Q14" s="2">
        <v>0.34</v>
      </c>
      <c r="R14" s="2">
        <v>95</v>
      </c>
      <c r="S14" s="2">
        <v>186</v>
      </c>
      <c r="T14" t="s">
        <v>2654</v>
      </c>
      <c r="U14" s="6">
        <v>22867</v>
      </c>
      <c r="V14" s="2">
        <v>47037015700</v>
      </c>
      <c r="W14" s="2" t="s">
        <v>68</v>
      </c>
      <c r="X14" s="1">
        <v>45658</v>
      </c>
      <c r="Y14" s="2">
        <v>77100</v>
      </c>
      <c r="Z14" s="2">
        <v>0</v>
      </c>
      <c r="AA14" s="2">
        <v>77100</v>
      </c>
    </row>
    <row r="15" spans="1:27" x14ac:dyDescent="0.3">
      <c r="A15" s="3">
        <v>13</v>
      </c>
      <c r="B15" s="2" t="str">
        <f>"12000006200"</f>
        <v>12000006200</v>
      </c>
      <c r="C15" s="2" t="s">
        <v>2656</v>
      </c>
      <c r="D15" t="s">
        <v>29</v>
      </c>
      <c r="E15" s="2" t="s">
        <v>30</v>
      </c>
      <c r="F15" s="2">
        <v>37217</v>
      </c>
      <c r="G15" s="2" t="s">
        <v>200</v>
      </c>
      <c r="H15" t="s">
        <v>2657</v>
      </c>
      <c r="I15" s="6">
        <v>23434</v>
      </c>
      <c r="J15" s="2" t="s">
        <v>2658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2659</v>
      </c>
      <c r="Q15" s="2">
        <v>72.7</v>
      </c>
      <c r="R15" s="2">
        <v>0</v>
      </c>
      <c r="S15" s="2">
        <v>0</v>
      </c>
      <c r="T15" t="s">
        <v>278</v>
      </c>
      <c r="U15" s="6">
        <v>36587</v>
      </c>
      <c r="V15" s="2">
        <v>47037015700</v>
      </c>
      <c r="W15" s="2" t="s">
        <v>68</v>
      </c>
      <c r="X15" s="1">
        <v>45658</v>
      </c>
      <c r="Y15" s="2">
        <v>2912200</v>
      </c>
      <c r="Z15" s="2">
        <v>0</v>
      </c>
      <c r="AA15" s="2">
        <v>2912200</v>
      </c>
    </row>
    <row r="16" spans="1:27" x14ac:dyDescent="0.3">
      <c r="A16" s="3">
        <v>13</v>
      </c>
      <c r="B16" s="2" t="str">
        <f>"12000011900"</f>
        <v>12000011900</v>
      </c>
      <c r="C16" s="2" t="s">
        <v>2627</v>
      </c>
      <c r="D16" t="s">
        <v>29</v>
      </c>
      <c r="E16" s="2" t="s">
        <v>30</v>
      </c>
      <c r="F16" s="2">
        <v>37217</v>
      </c>
      <c r="G16" s="2" t="s">
        <v>200</v>
      </c>
      <c r="H16" t="s">
        <v>2657</v>
      </c>
      <c r="I16" s="6">
        <v>23083</v>
      </c>
      <c r="J16" s="2" t="s">
        <v>2660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2661</v>
      </c>
      <c r="Q16" s="2">
        <v>3.11</v>
      </c>
      <c r="R16" s="2">
        <v>0</v>
      </c>
      <c r="S16" s="2">
        <v>0</v>
      </c>
      <c r="T16" t="s">
        <v>2660</v>
      </c>
      <c r="U16" s="6">
        <v>23083</v>
      </c>
      <c r="V16" s="2">
        <v>47037015700</v>
      </c>
      <c r="W16" s="2" t="s">
        <v>68</v>
      </c>
      <c r="X16" s="1">
        <v>45658</v>
      </c>
      <c r="Y16" s="2">
        <v>147200</v>
      </c>
      <c r="Z16" s="2">
        <v>0</v>
      </c>
      <c r="AA16" s="2">
        <v>147200</v>
      </c>
    </row>
    <row r="17" spans="1:27" x14ac:dyDescent="0.3">
      <c r="A17" s="3">
        <v>13</v>
      </c>
      <c r="B17" s="2" t="str">
        <f>"13500041200"</f>
        <v>13500041200</v>
      </c>
      <c r="C17" s="2" t="s">
        <v>2662</v>
      </c>
      <c r="D17" t="s">
        <v>29</v>
      </c>
      <c r="E17" s="2" t="s">
        <v>30</v>
      </c>
      <c r="F17" s="2">
        <v>37217</v>
      </c>
      <c r="G17" s="2" t="s">
        <v>1471</v>
      </c>
      <c r="H17" t="s">
        <v>1332</v>
      </c>
      <c r="I17" s="6">
        <v>37315</v>
      </c>
      <c r="J17" s="2" t="s">
        <v>2663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2664</v>
      </c>
      <c r="Q17" s="2">
        <v>10</v>
      </c>
      <c r="R17" s="2">
        <v>0</v>
      </c>
      <c r="S17" s="2">
        <v>0</v>
      </c>
      <c r="T17" t="s">
        <v>2665</v>
      </c>
      <c r="U17" s="6">
        <v>36990</v>
      </c>
      <c r="V17" s="2">
        <v>47037015612</v>
      </c>
      <c r="W17" s="2" t="s">
        <v>68</v>
      </c>
      <c r="X17" s="1">
        <v>45658</v>
      </c>
      <c r="Y17" s="2">
        <v>827200</v>
      </c>
      <c r="Z17" s="2">
        <v>195400</v>
      </c>
      <c r="AA17" s="2">
        <v>631800</v>
      </c>
    </row>
    <row r="18" spans="1:27" x14ac:dyDescent="0.3">
      <c r="A18" s="3">
        <v>13</v>
      </c>
      <c r="B18" s="2" t="str">
        <f>"12000002400"</f>
        <v>12000002400</v>
      </c>
      <c r="C18" s="2" t="s">
        <v>2666</v>
      </c>
      <c r="D18" t="s">
        <v>29</v>
      </c>
      <c r="E18" s="2" t="s">
        <v>30</v>
      </c>
      <c r="F18" s="2">
        <v>37217</v>
      </c>
      <c r="G18" s="2" t="s">
        <v>253</v>
      </c>
      <c r="H18" t="s">
        <v>2667</v>
      </c>
      <c r="I18" s="6">
        <v>22658</v>
      </c>
      <c r="J18" s="2" t="s">
        <v>2668</v>
      </c>
      <c r="K18" s="2" t="s">
        <v>34</v>
      </c>
      <c r="L18" t="s">
        <v>35</v>
      </c>
      <c r="M18" t="s">
        <v>29</v>
      </c>
      <c r="N18" t="s">
        <v>30</v>
      </c>
      <c r="O18">
        <v>37219</v>
      </c>
      <c r="P18" t="s">
        <v>2669</v>
      </c>
      <c r="Q18" s="2">
        <v>10.9</v>
      </c>
      <c r="R18" s="2">
        <v>0</v>
      </c>
      <c r="S18" s="2">
        <v>0</v>
      </c>
      <c r="T18" t="s">
        <v>2668</v>
      </c>
      <c r="U18" s="6">
        <v>22658</v>
      </c>
      <c r="V18" s="2">
        <v>47037015700</v>
      </c>
      <c r="W18" s="2" t="s">
        <v>68</v>
      </c>
      <c r="X18" s="1">
        <v>45658</v>
      </c>
      <c r="Y18" s="2">
        <v>740400</v>
      </c>
      <c r="Z18" s="2">
        <v>0</v>
      </c>
      <c r="AA18" s="2">
        <v>740400</v>
      </c>
    </row>
    <row r="19" spans="1:27" x14ac:dyDescent="0.3">
      <c r="A19" s="3">
        <v>13</v>
      </c>
      <c r="B19" s="2" t="str">
        <f>"10713001800"</f>
        <v>10713001800</v>
      </c>
      <c r="C19" s="2" t="s">
        <v>2670</v>
      </c>
      <c r="D19" t="s">
        <v>29</v>
      </c>
      <c r="E19" s="2" t="s">
        <v>30</v>
      </c>
      <c r="F19" s="2">
        <v>37217</v>
      </c>
      <c r="G19" s="2" t="s">
        <v>64</v>
      </c>
      <c r="H19" t="s">
        <v>2671</v>
      </c>
      <c r="I19" s="6">
        <v>40630</v>
      </c>
      <c r="J19" s="2" t="s">
        <v>2672</v>
      </c>
      <c r="K19" s="2">
        <v>125000</v>
      </c>
      <c r="L19" t="s">
        <v>35</v>
      </c>
      <c r="M19" t="s">
        <v>29</v>
      </c>
      <c r="N19" t="s">
        <v>30</v>
      </c>
      <c r="O19">
        <v>37219</v>
      </c>
      <c r="P19" t="s">
        <v>2673</v>
      </c>
      <c r="Q19" s="2">
        <v>0.95</v>
      </c>
      <c r="R19" s="2">
        <v>185</v>
      </c>
      <c r="S19" s="2">
        <v>279</v>
      </c>
      <c r="T19" t="s">
        <v>2674</v>
      </c>
      <c r="U19" s="6">
        <v>20948</v>
      </c>
      <c r="V19" s="2">
        <v>47037015804</v>
      </c>
      <c r="W19" s="2" t="s">
        <v>68</v>
      </c>
      <c r="X19" s="1">
        <v>45658</v>
      </c>
      <c r="Y19" s="2">
        <v>101300</v>
      </c>
      <c r="Z19" s="2">
        <v>0</v>
      </c>
      <c r="AA19" s="2">
        <v>101300</v>
      </c>
    </row>
    <row r="20" spans="1:27" x14ac:dyDescent="0.3">
      <c r="A20" s="3">
        <v>13</v>
      </c>
      <c r="B20" s="2" t="str">
        <f>"10713014600"</f>
        <v>10713014600</v>
      </c>
      <c r="C20" s="2" t="s">
        <v>2675</v>
      </c>
      <c r="D20" t="s">
        <v>29</v>
      </c>
      <c r="E20" s="2" t="s">
        <v>30</v>
      </c>
      <c r="F20" s="2">
        <v>37217</v>
      </c>
      <c r="G20" s="2" t="s">
        <v>253</v>
      </c>
      <c r="H20" t="s">
        <v>2671</v>
      </c>
      <c r="I20" s="6">
        <v>20600</v>
      </c>
      <c r="J20" s="2" t="s">
        <v>2676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2677</v>
      </c>
      <c r="Q20" s="2">
        <v>9.6</v>
      </c>
      <c r="R20" s="2">
        <v>0</v>
      </c>
      <c r="S20" s="2">
        <v>0</v>
      </c>
      <c r="T20" t="s">
        <v>2678</v>
      </c>
      <c r="U20" s="6">
        <v>18154</v>
      </c>
      <c r="V20" s="2">
        <v>47037015804</v>
      </c>
      <c r="W20" s="2" t="s">
        <v>68</v>
      </c>
      <c r="X20" s="1">
        <v>45658</v>
      </c>
      <c r="Y20" s="2">
        <v>748500</v>
      </c>
      <c r="Z20" s="2">
        <v>0</v>
      </c>
      <c r="AA20" s="2">
        <v>748500</v>
      </c>
    </row>
    <row r="21" spans="1:27" x14ac:dyDescent="0.3">
      <c r="A21" s="3">
        <v>13</v>
      </c>
      <c r="B21" s="2" t="str">
        <f>"13500023700"</f>
        <v>13500023700</v>
      </c>
      <c r="C21" s="2" t="s">
        <v>2679</v>
      </c>
      <c r="D21" t="s">
        <v>29</v>
      </c>
      <c r="E21" s="2" t="s">
        <v>30</v>
      </c>
      <c r="F21" s="2">
        <v>37217</v>
      </c>
      <c r="G21" s="2" t="s">
        <v>253</v>
      </c>
      <c r="H21" t="s">
        <v>2680</v>
      </c>
      <c r="I21" s="6">
        <v>18651</v>
      </c>
      <c r="J21" s="2" t="s">
        <v>2681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2682</v>
      </c>
      <c r="Q21" s="2">
        <v>11.72</v>
      </c>
      <c r="R21" s="2">
        <v>0</v>
      </c>
      <c r="S21" s="2">
        <v>0</v>
      </c>
      <c r="T21" t="s">
        <v>2681</v>
      </c>
      <c r="U21" s="6">
        <v>18651</v>
      </c>
      <c r="V21" s="2">
        <v>47037015612</v>
      </c>
      <c r="W21" s="2" t="s">
        <v>68</v>
      </c>
      <c r="X21" s="1">
        <v>45658</v>
      </c>
      <c r="Y21" s="2">
        <v>913000</v>
      </c>
      <c r="Z21" s="2">
        <v>0</v>
      </c>
      <c r="AA21" s="2">
        <v>913000</v>
      </c>
    </row>
    <row r="22" spans="1:27" x14ac:dyDescent="0.3">
      <c r="A22" s="3">
        <v>13</v>
      </c>
      <c r="B22" s="2" t="str">
        <f>"12000016200"</f>
        <v>12000016200</v>
      </c>
      <c r="C22" s="2" t="s">
        <v>2683</v>
      </c>
      <c r="D22" t="s">
        <v>29</v>
      </c>
      <c r="E22" s="2" t="s">
        <v>30</v>
      </c>
      <c r="F22" s="2">
        <v>37217</v>
      </c>
      <c r="G22" s="2" t="s">
        <v>1471</v>
      </c>
      <c r="H22" t="s">
        <v>280</v>
      </c>
      <c r="I22" s="6">
        <v>15915</v>
      </c>
      <c r="J22" s="2" t="s">
        <v>2684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2685</v>
      </c>
      <c r="Q22" s="2">
        <v>2.16</v>
      </c>
      <c r="R22" s="2">
        <v>290</v>
      </c>
      <c r="S22" s="2">
        <v>325</v>
      </c>
      <c r="T22" t="s">
        <v>2684</v>
      </c>
      <c r="U22" s="6">
        <v>15915</v>
      </c>
      <c r="V22" s="2">
        <v>47037980100</v>
      </c>
      <c r="W22" s="2" t="s">
        <v>68</v>
      </c>
      <c r="X22" s="1">
        <v>45658</v>
      </c>
      <c r="Y22" s="2">
        <v>921300</v>
      </c>
      <c r="Z22" s="2">
        <v>74500</v>
      </c>
      <c r="AA22" s="2">
        <v>846800</v>
      </c>
    </row>
    <row r="23" spans="1:27" x14ac:dyDescent="0.3">
      <c r="A23" s="3">
        <v>13</v>
      </c>
      <c r="B23" s="2" t="str">
        <f>"10800022700"</f>
        <v>10800022700</v>
      </c>
      <c r="C23" s="2" t="s">
        <v>2686</v>
      </c>
      <c r="D23" t="s">
        <v>29</v>
      </c>
      <c r="E23" s="2" t="s">
        <v>30</v>
      </c>
      <c r="F23" s="2">
        <v>37214</v>
      </c>
      <c r="G23" s="2" t="s">
        <v>64</v>
      </c>
      <c r="H23" t="s">
        <v>2687</v>
      </c>
      <c r="I23" s="6">
        <v>44082</v>
      </c>
      <c r="J23" s="2" t="s">
        <v>2688</v>
      </c>
      <c r="K23" s="2">
        <v>0</v>
      </c>
      <c r="L23" t="s">
        <v>2689</v>
      </c>
      <c r="M23" t="s">
        <v>29</v>
      </c>
      <c r="N23" t="s">
        <v>30</v>
      </c>
      <c r="O23">
        <v>37214</v>
      </c>
      <c r="P23" t="s">
        <v>2690</v>
      </c>
      <c r="Q23" s="2">
        <v>52.32</v>
      </c>
      <c r="R23" s="2">
        <v>0</v>
      </c>
      <c r="S23" s="2">
        <v>0</v>
      </c>
      <c r="T23" t="s">
        <v>2691</v>
      </c>
      <c r="U23" s="6">
        <v>33764</v>
      </c>
      <c r="V23" s="2">
        <v>47037015625</v>
      </c>
      <c r="W23" s="2" t="s">
        <v>38</v>
      </c>
      <c r="X23" s="1">
        <v>45658</v>
      </c>
      <c r="Y23" s="2">
        <v>1513500</v>
      </c>
      <c r="Z23" s="2">
        <v>0</v>
      </c>
      <c r="AA23" s="2">
        <v>1513500</v>
      </c>
    </row>
    <row r="24" spans="1:27" x14ac:dyDescent="0.3">
      <c r="A24" s="3">
        <v>13</v>
      </c>
      <c r="B24" s="2" t="str">
        <f>"12100001601"</f>
        <v>12100001601</v>
      </c>
      <c r="C24" s="2" t="s">
        <v>2692</v>
      </c>
      <c r="D24" t="s">
        <v>29</v>
      </c>
      <c r="E24" s="2" t="s">
        <v>30</v>
      </c>
      <c r="F24" s="2">
        <v>37214</v>
      </c>
      <c r="G24" s="2" t="s">
        <v>31</v>
      </c>
      <c r="H24" t="s">
        <v>2687</v>
      </c>
      <c r="I24" s="6">
        <v>44740</v>
      </c>
      <c r="J24" s="2" t="s">
        <v>2693</v>
      </c>
      <c r="K24" s="2" t="s">
        <v>34</v>
      </c>
      <c r="L24" t="s">
        <v>2694</v>
      </c>
      <c r="M24" t="s">
        <v>29</v>
      </c>
      <c r="N24" t="s">
        <v>30</v>
      </c>
      <c r="O24">
        <v>37214</v>
      </c>
      <c r="P24" t="s">
        <v>2695</v>
      </c>
      <c r="Q24" s="2">
        <v>4.2300000000000004</v>
      </c>
      <c r="R24" s="2">
        <v>0</v>
      </c>
      <c r="S24" s="2">
        <v>0</v>
      </c>
      <c r="T24" t="s">
        <v>2696</v>
      </c>
      <c r="U24" s="6">
        <v>23586</v>
      </c>
      <c r="V24" s="2">
        <v>47037015625</v>
      </c>
      <c r="W24" s="2" t="s">
        <v>38</v>
      </c>
      <c r="X24" s="1">
        <v>45658</v>
      </c>
      <c r="Y24" s="2">
        <v>186100</v>
      </c>
      <c r="Z24" s="2">
        <v>0</v>
      </c>
      <c r="AA24" s="2">
        <v>186100</v>
      </c>
    </row>
    <row r="25" spans="1:27" x14ac:dyDescent="0.3">
      <c r="A25" s="3">
        <v>13</v>
      </c>
      <c r="B25" s="2" t="str">
        <f>"12100021300"</f>
        <v>12100021300</v>
      </c>
      <c r="C25" s="2" t="s">
        <v>2697</v>
      </c>
      <c r="D25" t="s">
        <v>29</v>
      </c>
      <c r="E25" s="2" t="s">
        <v>30</v>
      </c>
      <c r="F25" s="2">
        <v>37214</v>
      </c>
      <c r="G25" s="2" t="s">
        <v>194</v>
      </c>
      <c r="H25" t="s">
        <v>2687</v>
      </c>
      <c r="I25" s="6">
        <v>44082</v>
      </c>
      <c r="J25" s="2" t="s">
        <v>2688</v>
      </c>
      <c r="K25" s="2">
        <v>0</v>
      </c>
      <c r="L25" t="s">
        <v>2689</v>
      </c>
      <c r="M25" t="s">
        <v>29</v>
      </c>
      <c r="N25" t="s">
        <v>30</v>
      </c>
      <c r="O25">
        <v>37214</v>
      </c>
      <c r="P25" t="s">
        <v>2698</v>
      </c>
      <c r="Q25" s="2">
        <v>5.07</v>
      </c>
      <c r="R25" s="2">
        <v>0</v>
      </c>
      <c r="S25" s="2">
        <v>0</v>
      </c>
      <c r="T25" t="s">
        <v>2643</v>
      </c>
      <c r="U25" s="6">
        <v>32191</v>
      </c>
      <c r="V25" s="2">
        <v>47037015625</v>
      </c>
      <c r="W25" s="2" t="s">
        <v>38</v>
      </c>
      <c r="X25" s="1">
        <v>45658</v>
      </c>
      <c r="Y25" s="2">
        <v>702900</v>
      </c>
      <c r="Z25" s="2">
        <v>380100</v>
      </c>
      <c r="AA25" s="2">
        <v>322800</v>
      </c>
    </row>
    <row r="26" spans="1:27" x14ac:dyDescent="0.3">
      <c r="A26" s="3">
        <v>13</v>
      </c>
      <c r="B26" s="2" t="str">
        <f>"12014018100"</f>
        <v>12014018100</v>
      </c>
      <c r="C26" s="2" t="s">
        <v>2699</v>
      </c>
      <c r="D26" t="s">
        <v>29</v>
      </c>
      <c r="E26" s="2" t="s">
        <v>30</v>
      </c>
      <c r="F26" s="2">
        <v>37217</v>
      </c>
      <c r="G26" s="2" t="s">
        <v>64</v>
      </c>
      <c r="H26" t="s">
        <v>2687</v>
      </c>
      <c r="I26" s="6">
        <v>32245</v>
      </c>
      <c r="J26" s="2" t="s">
        <v>2700</v>
      </c>
      <c r="K26" s="2">
        <v>22000</v>
      </c>
      <c r="L26" t="s">
        <v>2689</v>
      </c>
      <c r="M26" t="s">
        <v>29</v>
      </c>
      <c r="N26" t="s">
        <v>30</v>
      </c>
      <c r="O26">
        <v>37214</v>
      </c>
      <c r="P26" t="s">
        <v>2701</v>
      </c>
      <c r="Q26" s="2">
        <v>0.28000000000000003</v>
      </c>
      <c r="R26" s="2">
        <v>80</v>
      </c>
      <c r="S26" s="2">
        <v>166</v>
      </c>
      <c r="T26" t="s">
        <v>2702</v>
      </c>
      <c r="U26" s="6">
        <v>25992</v>
      </c>
      <c r="V26" s="2">
        <v>47037015700</v>
      </c>
      <c r="W26" s="2" t="s">
        <v>68</v>
      </c>
      <c r="X26" s="1">
        <v>45658</v>
      </c>
      <c r="Y26" s="2">
        <v>57600</v>
      </c>
      <c r="Z26" s="2">
        <v>0</v>
      </c>
      <c r="AA26" s="2">
        <v>57600</v>
      </c>
    </row>
    <row r="27" spans="1:27" x14ac:dyDescent="0.3">
      <c r="A27" s="3">
        <v>13</v>
      </c>
      <c r="B27" s="2" t="str">
        <f>"10616008800"</f>
        <v>10616008800</v>
      </c>
      <c r="C27" s="2" t="s">
        <v>1986</v>
      </c>
      <c r="D27" t="s">
        <v>29</v>
      </c>
      <c r="E27" s="2" t="s">
        <v>30</v>
      </c>
      <c r="F27" s="2">
        <v>37217</v>
      </c>
      <c r="G27" s="2" t="s">
        <v>41</v>
      </c>
      <c r="H27" t="s">
        <v>2213</v>
      </c>
      <c r="I27" s="6">
        <v>41320</v>
      </c>
      <c r="J27" s="2" t="s">
        <v>2703</v>
      </c>
      <c r="K27" s="2">
        <v>840</v>
      </c>
      <c r="L27" t="s">
        <v>2212</v>
      </c>
      <c r="M27" t="s">
        <v>866</v>
      </c>
      <c r="N27" t="s">
        <v>30</v>
      </c>
      <c r="O27">
        <v>37115</v>
      </c>
      <c r="P27" t="s">
        <v>2704</v>
      </c>
      <c r="Q27" s="2">
        <v>0.01</v>
      </c>
      <c r="R27" s="2">
        <v>42</v>
      </c>
      <c r="S27" s="2">
        <v>2</v>
      </c>
      <c r="T27" t="s">
        <v>2703</v>
      </c>
      <c r="U27" s="6">
        <v>41320</v>
      </c>
      <c r="V27" s="2">
        <v>47037015803</v>
      </c>
      <c r="W27" s="2" t="s">
        <v>68</v>
      </c>
      <c r="X27" s="1">
        <v>45658</v>
      </c>
      <c r="Y27" s="2">
        <v>2800</v>
      </c>
      <c r="Z27" s="2">
        <v>0</v>
      </c>
      <c r="AA27" s="2">
        <v>2800</v>
      </c>
    </row>
    <row r="28" spans="1:27" x14ac:dyDescent="0.3">
      <c r="A28" s="3">
        <v>13</v>
      </c>
      <c r="B28" s="2" t="str">
        <f>"10700011700"</f>
        <v>10700011700</v>
      </c>
      <c r="C28" s="2" t="s">
        <v>2705</v>
      </c>
      <c r="D28" t="s">
        <v>29</v>
      </c>
      <c r="E28" s="2" t="s">
        <v>30</v>
      </c>
      <c r="F28" s="2">
        <v>37217</v>
      </c>
      <c r="G28" s="2" t="s">
        <v>2706</v>
      </c>
      <c r="H28" t="s">
        <v>2707</v>
      </c>
      <c r="I28" s="6">
        <v>28313</v>
      </c>
      <c r="J28" s="2" t="s">
        <v>2708</v>
      </c>
      <c r="K28" s="2" t="s">
        <v>34</v>
      </c>
      <c r="L28" t="s">
        <v>2689</v>
      </c>
      <c r="M28" t="s">
        <v>29</v>
      </c>
      <c r="N28" t="s">
        <v>30</v>
      </c>
      <c r="O28">
        <v>37214</v>
      </c>
      <c r="P28" t="s">
        <v>2709</v>
      </c>
      <c r="Q28" s="2">
        <v>12.01</v>
      </c>
      <c r="R28" s="2">
        <v>516</v>
      </c>
      <c r="S28" s="2">
        <v>0</v>
      </c>
      <c r="T28" t="s">
        <v>2710</v>
      </c>
      <c r="U28" s="6">
        <v>41814</v>
      </c>
      <c r="V28" s="2">
        <v>47037980100</v>
      </c>
      <c r="W28" s="2" t="s">
        <v>68</v>
      </c>
      <c r="X28" s="1">
        <v>45658</v>
      </c>
      <c r="Y28" s="2">
        <v>5440800</v>
      </c>
      <c r="Z28" s="2">
        <v>0</v>
      </c>
      <c r="AA28" s="2">
        <v>5440800</v>
      </c>
    </row>
    <row r="29" spans="1:27" x14ac:dyDescent="0.3">
      <c r="A29" s="3">
        <v>13</v>
      </c>
      <c r="B29" s="2" t="str">
        <f>"12000008700"</f>
        <v>12000008700</v>
      </c>
      <c r="C29" s="2" t="s">
        <v>2711</v>
      </c>
      <c r="D29" t="s">
        <v>29</v>
      </c>
      <c r="E29" s="2" t="s">
        <v>30</v>
      </c>
      <c r="F29" s="2">
        <v>37217</v>
      </c>
      <c r="G29" s="2" t="s">
        <v>41</v>
      </c>
      <c r="H29" t="s">
        <v>2707</v>
      </c>
      <c r="I29" s="6">
        <v>25797</v>
      </c>
      <c r="J29" s="2" t="s">
        <v>2712</v>
      </c>
      <c r="K29" s="2" t="s">
        <v>34</v>
      </c>
      <c r="L29" t="s">
        <v>2713</v>
      </c>
      <c r="M29" t="s">
        <v>29</v>
      </c>
      <c r="N29" t="s">
        <v>30</v>
      </c>
      <c r="O29">
        <v>37214</v>
      </c>
      <c r="P29" t="s">
        <v>2714</v>
      </c>
      <c r="Q29" s="2">
        <v>1.53</v>
      </c>
      <c r="R29" s="2">
        <v>180</v>
      </c>
      <c r="S29" s="2">
        <v>225</v>
      </c>
      <c r="T29" t="s">
        <v>278</v>
      </c>
      <c r="U29" s="6">
        <v>35339</v>
      </c>
      <c r="V29" s="2">
        <v>47037980100</v>
      </c>
      <c r="W29" s="2" t="s">
        <v>68</v>
      </c>
      <c r="X29" s="1">
        <v>45658</v>
      </c>
      <c r="Y29" s="2">
        <v>513500</v>
      </c>
      <c r="Z29" s="2">
        <v>0</v>
      </c>
      <c r="AA29" s="2">
        <v>513500</v>
      </c>
    </row>
    <row r="30" spans="1:27" x14ac:dyDescent="0.3">
      <c r="A30" s="3">
        <v>13</v>
      </c>
      <c r="B30" s="2" t="str">
        <f>"12000009600"</f>
        <v>12000009600</v>
      </c>
      <c r="C30" s="2" t="s">
        <v>1986</v>
      </c>
      <c r="D30" t="s">
        <v>29</v>
      </c>
      <c r="E30" s="2" t="s">
        <v>30</v>
      </c>
      <c r="F30" s="2">
        <v>37217</v>
      </c>
      <c r="G30" s="2" t="s">
        <v>41</v>
      </c>
      <c r="H30" t="s">
        <v>2707</v>
      </c>
      <c r="I30" s="6">
        <v>25798</v>
      </c>
      <c r="J30" s="2" t="s">
        <v>2715</v>
      </c>
      <c r="K30" s="2" t="s">
        <v>34</v>
      </c>
      <c r="L30" t="s">
        <v>2689</v>
      </c>
      <c r="M30" t="s">
        <v>29</v>
      </c>
      <c r="N30" t="s">
        <v>30</v>
      </c>
      <c r="O30">
        <v>37214</v>
      </c>
      <c r="P30" t="s">
        <v>2716</v>
      </c>
      <c r="Q30" s="2">
        <v>1.1000000000000001</v>
      </c>
      <c r="R30" s="2">
        <v>0</v>
      </c>
      <c r="S30" s="2">
        <v>0</v>
      </c>
      <c r="T30" t="s">
        <v>2712</v>
      </c>
      <c r="U30" s="6">
        <v>25798</v>
      </c>
      <c r="V30" s="2">
        <v>47037980100</v>
      </c>
      <c r="W30" s="2" t="s">
        <v>68</v>
      </c>
      <c r="X30" s="1">
        <v>45658</v>
      </c>
      <c r="Y30" s="2">
        <v>345000</v>
      </c>
      <c r="Z30" s="2">
        <v>0</v>
      </c>
      <c r="AA30" s="2">
        <v>345000</v>
      </c>
    </row>
    <row r="31" spans="1:27" x14ac:dyDescent="0.3">
      <c r="A31" s="3">
        <v>13</v>
      </c>
      <c r="B31" s="2" t="str">
        <f>"12000005600"</f>
        <v>12000005600</v>
      </c>
      <c r="C31" s="2" t="s">
        <v>2717</v>
      </c>
      <c r="D31" t="s">
        <v>29</v>
      </c>
      <c r="E31" s="2" t="s">
        <v>30</v>
      </c>
      <c r="F31" s="2">
        <v>37217</v>
      </c>
      <c r="G31" s="2" t="s">
        <v>152</v>
      </c>
      <c r="H31" t="s">
        <v>2707</v>
      </c>
      <c r="I31" s="6">
        <v>25798</v>
      </c>
      <c r="J31" s="2" t="s">
        <v>2715</v>
      </c>
      <c r="K31" s="2" t="s">
        <v>34</v>
      </c>
      <c r="L31" t="s">
        <v>2689</v>
      </c>
      <c r="M31" t="s">
        <v>29</v>
      </c>
      <c r="N31" t="s">
        <v>30</v>
      </c>
      <c r="O31">
        <v>37214</v>
      </c>
      <c r="P31" t="s">
        <v>2718</v>
      </c>
      <c r="Q31" s="2">
        <v>51.6</v>
      </c>
      <c r="R31" s="2">
        <v>0</v>
      </c>
      <c r="S31" s="2">
        <v>0</v>
      </c>
      <c r="T31" t="s">
        <v>2719</v>
      </c>
      <c r="U31" s="6">
        <v>31414</v>
      </c>
      <c r="V31" s="2">
        <v>47037015700</v>
      </c>
      <c r="W31" s="2" t="s">
        <v>68</v>
      </c>
      <c r="X31" s="1">
        <v>45658</v>
      </c>
      <c r="Y31" s="2">
        <v>39810400</v>
      </c>
      <c r="Z31" s="2">
        <v>34418200</v>
      </c>
      <c r="AA31" s="2">
        <v>5392200</v>
      </c>
    </row>
    <row r="32" spans="1:27" x14ac:dyDescent="0.3">
      <c r="A32" s="3">
        <v>13</v>
      </c>
      <c r="B32" s="2" t="str">
        <f>"12000006100"</f>
        <v>12000006100</v>
      </c>
      <c r="C32" s="2" t="s">
        <v>2720</v>
      </c>
      <c r="D32" t="s">
        <v>29</v>
      </c>
      <c r="E32" s="2" t="s">
        <v>30</v>
      </c>
      <c r="F32" s="2">
        <v>37217</v>
      </c>
      <c r="G32" s="2" t="s">
        <v>64</v>
      </c>
      <c r="H32" t="s">
        <v>2707</v>
      </c>
      <c r="I32" s="6">
        <v>32916</v>
      </c>
      <c r="J32" s="2" t="s">
        <v>2721</v>
      </c>
      <c r="K32" s="2">
        <v>62000</v>
      </c>
      <c r="L32" t="s">
        <v>2689</v>
      </c>
      <c r="M32" t="s">
        <v>29</v>
      </c>
      <c r="N32" t="s">
        <v>30</v>
      </c>
      <c r="O32">
        <v>37214</v>
      </c>
      <c r="P32" t="s">
        <v>2659</v>
      </c>
      <c r="Q32" s="2">
        <v>0.54</v>
      </c>
      <c r="R32" s="2">
        <v>44</v>
      </c>
      <c r="S32" s="2">
        <v>320</v>
      </c>
      <c r="T32" t="s">
        <v>2722</v>
      </c>
      <c r="U32" s="6">
        <v>21002</v>
      </c>
      <c r="V32" s="2">
        <v>47037015700</v>
      </c>
      <c r="W32" s="2" t="s">
        <v>68</v>
      </c>
      <c r="X32" s="1">
        <v>45658</v>
      </c>
      <c r="Y32" s="2">
        <v>63400</v>
      </c>
      <c r="Z32" s="2">
        <v>0</v>
      </c>
      <c r="AA32" s="2">
        <v>63400</v>
      </c>
    </row>
    <row r="33" spans="1:27" x14ac:dyDescent="0.3">
      <c r="A33" s="3">
        <v>13</v>
      </c>
      <c r="B33" s="2" t="str">
        <f>"12000006000"</f>
        <v>12000006000</v>
      </c>
      <c r="C33" s="2" t="s">
        <v>2723</v>
      </c>
      <c r="D33" t="s">
        <v>29</v>
      </c>
      <c r="E33" s="2" t="s">
        <v>30</v>
      </c>
      <c r="F33" s="2">
        <v>37217</v>
      </c>
      <c r="G33" s="2" t="s">
        <v>64</v>
      </c>
      <c r="H33" t="s">
        <v>2707</v>
      </c>
      <c r="I33" s="6">
        <v>32846</v>
      </c>
      <c r="J33" s="2" t="s">
        <v>2724</v>
      </c>
      <c r="K33" s="2">
        <v>65000</v>
      </c>
      <c r="L33" t="s">
        <v>2689</v>
      </c>
      <c r="M33" t="s">
        <v>29</v>
      </c>
      <c r="N33" t="s">
        <v>30</v>
      </c>
      <c r="O33">
        <v>37214</v>
      </c>
      <c r="P33" t="s">
        <v>2725</v>
      </c>
      <c r="Q33" s="2">
        <v>0.6</v>
      </c>
      <c r="R33" s="2">
        <v>91</v>
      </c>
      <c r="S33" s="2">
        <v>299</v>
      </c>
      <c r="T33" t="s">
        <v>2726</v>
      </c>
      <c r="U33" s="6">
        <v>24128</v>
      </c>
      <c r="V33" s="2">
        <v>47037015700</v>
      </c>
      <c r="W33" s="2" t="s">
        <v>68</v>
      </c>
      <c r="X33" s="1">
        <v>45658</v>
      </c>
      <c r="Y33" s="2">
        <v>63400</v>
      </c>
      <c r="Z33" s="2">
        <v>0</v>
      </c>
      <c r="AA33" s="2">
        <v>63400</v>
      </c>
    </row>
    <row r="34" spans="1:27" x14ac:dyDescent="0.3">
      <c r="A34" s="3">
        <v>13</v>
      </c>
      <c r="B34" s="2" t="str">
        <f>"12000005900"</f>
        <v>12000005900</v>
      </c>
      <c r="C34" s="2" t="s">
        <v>2727</v>
      </c>
      <c r="D34" t="s">
        <v>29</v>
      </c>
      <c r="E34" s="2" t="s">
        <v>30</v>
      </c>
      <c r="F34" s="2">
        <v>37217</v>
      </c>
      <c r="G34" s="2" t="s">
        <v>64</v>
      </c>
      <c r="H34" t="s">
        <v>2707</v>
      </c>
      <c r="I34" s="6">
        <v>32829</v>
      </c>
      <c r="J34" s="2" t="s">
        <v>2728</v>
      </c>
      <c r="K34" s="2">
        <v>73000</v>
      </c>
      <c r="L34" t="s">
        <v>2689</v>
      </c>
      <c r="M34" t="s">
        <v>29</v>
      </c>
      <c r="N34" t="s">
        <v>30</v>
      </c>
      <c r="O34">
        <v>37214</v>
      </c>
      <c r="P34" t="s">
        <v>2729</v>
      </c>
      <c r="Q34" s="2">
        <v>0.56999999999999995</v>
      </c>
      <c r="R34" s="2">
        <v>90</v>
      </c>
      <c r="S34" s="2">
        <v>287</v>
      </c>
      <c r="T34" t="s">
        <v>2730</v>
      </c>
      <c r="U34" s="6">
        <v>19763</v>
      </c>
      <c r="V34" s="2">
        <v>47037015700</v>
      </c>
      <c r="W34" s="2" t="s">
        <v>68</v>
      </c>
      <c r="X34" s="1">
        <v>45658</v>
      </c>
      <c r="Y34" s="2">
        <v>63400</v>
      </c>
      <c r="Z34" s="2">
        <v>0</v>
      </c>
      <c r="AA34" s="2">
        <v>63400</v>
      </c>
    </row>
    <row r="35" spans="1:27" x14ac:dyDescent="0.3">
      <c r="A35" s="3">
        <v>13</v>
      </c>
      <c r="B35" s="2" t="str">
        <f>"12000005800"</f>
        <v>12000005800</v>
      </c>
      <c r="C35" s="2" t="s">
        <v>2731</v>
      </c>
      <c r="D35" t="s">
        <v>29</v>
      </c>
      <c r="E35" s="2" t="s">
        <v>30</v>
      </c>
      <c r="F35" s="2">
        <v>37217</v>
      </c>
      <c r="G35" s="2" t="s">
        <v>64</v>
      </c>
      <c r="H35" t="s">
        <v>2707</v>
      </c>
      <c r="I35" s="6">
        <v>32889</v>
      </c>
      <c r="J35" s="2" t="s">
        <v>2732</v>
      </c>
      <c r="K35" s="2">
        <v>41000</v>
      </c>
      <c r="L35" t="s">
        <v>2689</v>
      </c>
      <c r="M35" t="s">
        <v>29</v>
      </c>
      <c r="N35" t="s">
        <v>30</v>
      </c>
      <c r="O35">
        <v>37214</v>
      </c>
      <c r="P35" t="s">
        <v>2733</v>
      </c>
      <c r="Q35" s="2">
        <v>0.32</v>
      </c>
      <c r="R35" s="2">
        <v>80</v>
      </c>
      <c r="S35" s="2">
        <v>180</v>
      </c>
      <c r="T35" t="s">
        <v>2734</v>
      </c>
      <c r="U35" s="6">
        <v>24338</v>
      </c>
      <c r="V35" s="2">
        <v>47037015700</v>
      </c>
      <c r="W35" s="2" t="s">
        <v>68</v>
      </c>
      <c r="X35" s="1">
        <v>45658</v>
      </c>
      <c r="Y35" s="2">
        <v>57600</v>
      </c>
      <c r="Z35" s="2">
        <v>0</v>
      </c>
      <c r="AA35" s="2">
        <v>57600</v>
      </c>
    </row>
    <row r="36" spans="1:27" x14ac:dyDescent="0.3">
      <c r="A36" s="3">
        <v>13</v>
      </c>
      <c r="B36" s="2" t="str">
        <f>"12000005700"</f>
        <v>12000005700</v>
      </c>
      <c r="C36" s="2" t="s">
        <v>2735</v>
      </c>
      <c r="D36" t="s">
        <v>29</v>
      </c>
      <c r="E36" s="2" t="s">
        <v>30</v>
      </c>
      <c r="F36" s="2">
        <v>37217</v>
      </c>
      <c r="G36" s="2" t="s">
        <v>64</v>
      </c>
      <c r="H36" t="s">
        <v>2707</v>
      </c>
      <c r="I36" s="6">
        <v>32933</v>
      </c>
      <c r="J36" s="2" t="s">
        <v>2736</v>
      </c>
      <c r="K36" s="2">
        <v>65000</v>
      </c>
      <c r="L36" t="s">
        <v>2689</v>
      </c>
      <c r="M36" t="s">
        <v>29</v>
      </c>
      <c r="N36" t="s">
        <v>30</v>
      </c>
      <c r="O36">
        <v>37214</v>
      </c>
      <c r="P36" t="s">
        <v>2659</v>
      </c>
      <c r="Q36" s="2">
        <v>0.61</v>
      </c>
      <c r="R36" s="2">
        <v>102</v>
      </c>
      <c r="S36" s="2">
        <v>180</v>
      </c>
      <c r="T36" t="s">
        <v>2737</v>
      </c>
      <c r="U36" s="6">
        <v>20001</v>
      </c>
      <c r="V36" s="2">
        <v>47037015700</v>
      </c>
      <c r="W36" s="2" t="s">
        <v>68</v>
      </c>
      <c r="X36" s="1">
        <v>45658</v>
      </c>
      <c r="Y36" s="2">
        <v>63400</v>
      </c>
      <c r="Z36" s="2">
        <v>0</v>
      </c>
      <c r="AA36" s="2">
        <v>63400</v>
      </c>
    </row>
    <row r="37" spans="1:27" x14ac:dyDescent="0.3">
      <c r="A37" s="3">
        <v>13</v>
      </c>
      <c r="B37" s="2" t="str">
        <f>"12014002800"</f>
        <v>12014002800</v>
      </c>
      <c r="C37" s="2" t="s">
        <v>2738</v>
      </c>
      <c r="D37" t="s">
        <v>29</v>
      </c>
      <c r="E37" s="2" t="s">
        <v>30</v>
      </c>
      <c r="F37" s="2">
        <v>37217</v>
      </c>
      <c r="G37" s="2" t="s">
        <v>64</v>
      </c>
      <c r="H37" t="s">
        <v>2707</v>
      </c>
      <c r="I37" s="6">
        <v>32549</v>
      </c>
      <c r="J37" s="2" t="s">
        <v>2739</v>
      </c>
      <c r="K37" s="2">
        <v>67000</v>
      </c>
      <c r="L37" t="s">
        <v>2689</v>
      </c>
      <c r="M37" t="s">
        <v>29</v>
      </c>
      <c r="N37" t="s">
        <v>30</v>
      </c>
      <c r="O37">
        <v>37214</v>
      </c>
      <c r="P37" t="s">
        <v>2740</v>
      </c>
      <c r="Q37" s="2">
        <v>0.5</v>
      </c>
      <c r="R37" s="2">
        <v>120</v>
      </c>
      <c r="S37" s="2">
        <v>260</v>
      </c>
      <c r="T37" t="s">
        <v>2741</v>
      </c>
      <c r="U37" s="6">
        <v>24959</v>
      </c>
      <c r="V37" s="2">
        <v>47037015700</v>
      </c>
      <c r="W37" s="2" t="s">
        <v>68</v>
      </c>
      <c r="X37" s="1">
        <v>45658</v>
      </c>
      <c r="Y37" s="2">
        <v>63400</v>
      </c>
      <c r="Z37" s="2">
        <v>0</v>
      </c>
      <c r="AA37" s="2">
        <v>63400</v>
      </c>
    </row>
    <row r="38" spans="1:27" x14ac:dyDescent="0.3">
      <c r="A38" s="3">
        <v>13</v>
      </c>
      <c r="B38" s="2" t="str">
        <f>"12014002900"</f>
        <v>12014002900</v>
      </c>
      <c r="C38" s="2" t="s">
        <v>2742</v>
      </c>
      <c r="D38" t="s">
        <v>29</v>
      </c>
      <c r="E38" s="2" t="s">
        <v>30</v>
      </c>
      <c r="F38" s="2">
        <v>37217</v>
      </c>
      <c r="G38" s="2" t="s">
        <v>152</v>
      </c>
      <c r="H38" t="s">
        <v>2707</v>
      </c>
      <c r="I38" s="6">
        <v>32541</v>
      </c>
      <c r="J38" s="2" t="s">
        <v>2743</v>
      </c>
      <c r="K38" s="2">
        <v>59000</v>
      </c>
      <c r="L38" t="s">
        <v>2689</v>
      </c>
      <c r="M38" t="s">
        <v>29</v>
      </c>
      <c r="N38" t="s">
        <v>30</v>
      </c>
      <c r="O38">
        <v>37214</v>
      </c>
      <c r="P38" t="s">
        <v>2744</v>
      </c>
      <c r="Q38" s="2">
        <v>0.36</v>
      </c>
      <c r="R38" s="2">
        <v>65</v>
      </c>
      <c r="S38" s="2">
        <v>173</v>
      </c>
      <c r="T38" t="s">
        <v>2745</v>
      </c>
      <c r="U38" s="6">
        <v>23435</v>
      </c>
      <c r="V38" s="2">
        <v>47037015700</v>
      </c>
      <c r="W38" s="2" t="s">
        <v>68</v>
      </c>
      <c r="X38" s="1">
        <v>45658</v>
      </c>
      <c r="Y38" s="2">
        <v>57600</v>
      </c>
      <c r="Z38" s="2">
        <v>0</v>
      </c>
      <c r="AA38" s="2">
        <v>57600</v>
      </c>
    </row>
    <row r="39" spans="1:27" x14ac:dyDescent="0.3">
      <c r="A39" s="3">
        <v>13</v>
      </c>
      <c r="B39" s="2" t="str">
        <f>"12014002700"</f>
        <v>12014002700</v>
      </c>
      <c r="C39" s="2" t="s">
        <v>2746</v>
      </c>
      <c r="D39" t="s">
        <v>29</v>
      </c>
      <c r="E39" s="2" t="s">
        <v>30</v>
      </c>
      <c r="F39" s="2">
        <v>37217</v>
      </c>
      <c r="G39" s="2" t="s">
        <v>64</v>
      </c>
      <c r="H39" t="s">
        <v>2707</v>
      </c>
      <c r="I39" s="6">
        <v>32540</v>
      </c>
      <c r="J39" s="2" t="s">
        <v>2747</v>
      </c>
      <c r="K39" s="2">
        <v>58000</v>
      </c>
      <c r="L39" t="s">
        <v>2689</v>
      </c>
      <c r="M39" t="s">
        <v>29</v>
      </c>
      <c r="N39" t="s">
        <v>30</v>
      </c>
      <c r="O39">
        <v>37214</v>
      </c>
      <c r="P39" t="s">
        <v>2748</v>
      </c>
      <c r="Q39" s="2">
        <v>0.31</v>
      </c>
      <c r="R39" s="2">
        <v>85</v>
      </c>
      <c r="S39" s="2">
        <v>260</v>
      </c>
      <c r="T39" t="s">
        <v>2749</v>
      </c>
      <c r="U39" s="6">
        <v>23804</v>
      </c>
      <c r="V39" s="2">
        <v>47037015700</v>
      </c>
      <c r="W39" s="2" t="s">
        <v>68</v>
      </c>
      <c r="X39" s="1">
        <v>45658</v>
      </c>
      <c r="Y39" s="2">
        <v>57600</v>
      </c>
      <c r="Z39" s="2">
        <v>0</v>
      </c>
      <c r="AA39" s="2">
        <v>57600</v>
      </c>
    </row>
    <row r="40" spans="1:27" x14ac:dyDescent="0.3">
      <c r="A40" s="3">
        <v>13</v>
      </c>
      <c r="B40" s="2" t="str">
        <f>"12014003000"</f>
        <v>12014003000</v>
      </c>
      <c r="C40" s="2" t="s">
        <v>2750</v>
      </c>
      <c r="D40" t="s">
        <v>29</v>
      </c>
      <c r="E40" s="2" t="s">
        <v>30</v>
      </c>
      <c r="F40" s="2">
        <v>37217</v>
      </c>
      <c r="G40" s="2" t="s">
        <v>64</v>
      </c>
      <c r="H40" t="s">
        <v>2707</v>
      </c>
      <c r="I40" s="6">
        <v>32363</v>
      </c>
      <c r="J40" s="2" t="s">
        <v>2751</v>
      </c>
      <c r="K40" s="2">
        <v>38000</v>
      </c>
      <c r="L40" t="s">
        <v>2689</v>
      </c>
      <c r="M40" t="s">
        <v>29</v>
      </c>
      <c r="N40" t="s">
        <v>30</v>
      </c>
      <c r="O40">
        <v>37214</v>
      </c>
      <c r="P40" t="s">
        <v>2752</v>
      </c>
      <c r="Q40" s="2">
        <v>0.28000000000000003</v>
      </c>
      <c r="R40" s="2">
        <v>70</v>
      </c>
      <c r="S40" s="2">
        <v>197</v>
      </c>
      <c r="T40" t="s">
        <v>2753</v>
      </c>
      <c r="U40" s="6">
        <v>20497</v>
      </c>
      <c r="V40" s="2">
        <v>47037015700</v>
      </c>
      <c r="W40" s="2" t="s">
        <v>68</v>
      </c>
      <c r="X40" s="1">
        <v>45658</v>
      </c>
      <c r="Y40" s="2">
        <v>57600</v>
      </c>
      <c r="Z40" s="2">
        <v>0</v>
      </c>
      <c r="AA40" s="2">
        <v>57600</v>
      </c>
    </row>
    <row r="41" spans="1:27" x14ac:dyDescent="0.3">
      <c r="A41" s="3">
        <v>13</v>
      </c>
      <c r="B41" s="2" t="str">
        <f>"12014002600"</f>
        <v>12014002600</v>
      </c>
      <c r="C41" s="2" t="s">
        <v>2754</v>
      </c>
      <c r="D41" t="s">
        <v>29</v>
      </c>
      <c r="E41" s="2" t="s">
        <v>30</v>
      </c>
      <c r="F41" s="2">
        <v>37217</v>
      </c>
      <c r="G41" s="2" t="s">
        <v>64</v>
      </c>
      <c r="H41" t="s">
        <v>2707</v>
      </c>
      <c r="I41" s="6">
        <v>32540</v>
      </c>
      <c r="J41" s="2" t="s">
        <v>2755</v>
      </c>
      <c r="K41" s="2">
        <v>50000</v>
      </c>
      <c r="L41" t="s">
        <v>2689</v>
      </c>
      <c r="M41" t="s">
        <v>29</v>
      </c>
      <c r="N41" t="s">
        <v>30</v>
      </c>
      <c r="O41">
        <v>37214</v>
      </c>
      <c r="P41" t="s">
        <v>2756</v>
      </c>
      <c r="Q41" s="2">
        <v>0.27</v>
      </c>
      <c r="R41" s="2">
        <v>70</v>
      </c>
      <c r="S41" s="2">
        <v>252</v>
      </c>
      <c r="T41" t="s">
        <v>2757</v>
      </c>
      <c r="U41" s="6">
        <v>20828</v>
      </c>
      <c r="V41" s="2">
        <v>47037015700</v>
      </c>
      <c r="W41" s="2" t="s">
        <v>68</v>
      </c>
      <c r="X41" s="1">
        <v>45658</v>
      </c>
      <c r="Y41" s="2">
        <v>57600</v>
      </c>
      <c r="Z41" s="2">
        <v>0</v>
      </c>
      <c r="AA41" s="2">
        <v>57600</v>
      </c>
    </row>
    <row r="42" spans="1:27" x14ac:dyDescent="0.3">
      <c r="A42" s="3">
        <v>13</v>
      </c>
      <c r="B42" s="2" t="str">
        <f>"12014003100"</f>
        <v>12014003100</v>
      </c>
      <c r="C42" s="2" t="s">
        <v>2758</v>
      </c>
      <c r="D42" t="s">
        <v>29</v>
      </c>
      <c r="E42" s="2" t="s">
        <v>30</v>
      </c>
      <c r="F42" s="2">
        <v>37217</v>
      </c>
      <c r="G42" s="2" t="s">
        <v>64</v>
      </c>
      <c r="H42" t="s">
        <v>2707</v>
      </c>
      <c r="I42" s="6">
        <v>32342</v>
      </c>
      <c r="J42" s="2" t="s">
        <v>2759</v>
      </c>
      <c r="K42" s="2">
        <v>42500</v>
      </c>
      <c r="L42" t="s">
        <v>2689</v>
      </c>
      <c r="M42" t="s">
        <v>29</v>
      </c>
      <c r="N42" t="s">
        <v>30</v>
      </c>
      <c r="O42">
        <v>37214</v>
      </c>
      <c r="P42" t="s">
        <v>2760</v>
      </c>
      <c r="Q42" s="2">
        <v>0.27</v>
      </c>
      <c r="R42" s="2">
        <v>70</v>
      </c>
      <c r="S42" s="2">
        <v>189</v>
      </c>
      <c r="T42" t="s">
        <v>2761</v>
      </c>
      <c r="U42" s="6">
        <v>27086</v>
      </c>
      <c r="V42" s="2">
        <v>47037015700</v>
      </c>
      <c r="W42" s="2" t="s">
        <v>68</v>
      </c>
      <c r="X42" s="1">
        <v>45658</v>
      </c>
      <c r="Y42" s="2">
        <v>57600</v>
      </c>
      <c r="Z42" s="2">
        <v>0</v>
      </c>
      <c r="AA42" s="2">
        <v>57600</v>
      </c>
    </row>
    <row r="43" spans="1:27" x14ac:dyDescent="0.3">
      <c r="A43" s="3">
        <v>13</v>
      </c>
      <c r="B43" s="2" t="str">
        <f>"12014002500"</f>
        <v>12014002500</v>
      </c>
      <c r="C43" s="2" t="s">
        <v>2762</v>
      </c>
      <c r="D43" t="s">
        <v>29</v>
      </c>
      <c r="E43" s="2" t="s">
        <v>30</v>
      </c>
      <c r="F43" s="2">
        <v>37217</v>
      </c>
      <c r="G43" s="2" t="s">
        <v>64</v>
      </c>
      <c r="H43" t="s">
        <v>2707</v>
      </c>
      <c r="I43" s="6">
        <v>33164</v>
      </c>
      <c r="J43" s="2" t="s">
        <v>2763</v>
      </c>
      <c r="K43" s="2">
        <v>57000</v>
      </c>
      <c r="L43" t="s">
        <v>2689</v>
      </c>
      <c r="M43" t="s">
        <v>29</v>
      </c>
      <c r="N43" t="s">
        <v>30</v>
      </c>
      <c r="O43">
        <v>37214</v>
      </c>
      <c r="P43" t="s">
        <v>2764</v>
      </c>
      <c r="Q43" s="2">
        <v>0.41</v>
      </c>
      <c r="R43" s="2">
        <v>70</v>
      </c>
      <c r="S43" s="2">
        <v>271</v>
      </c>
      <c r="T43" t="s">
        <v>2765</v>
      </c>
      <c r="U43" s="6">
        <v>24632</v>
      </c>
      <c r="V43" s="2">
        <v>47037015700</v>
      </c>
      <c r="W43" s="2" t="s">
        <v>68</v>
      </c>
      <c r="X43" s="1">
        <v>45658</v>
      </c>
      <c r="Y43" s="2">
        <v>57600</v>
      </c>
      <c r="Z43" s="2">
        <v>0</v>
      </c>
      <c r="AA43" s="2">
        <v>57600</v>
      </c>
    </row>
    <row r="44" spans="1:27" x14ac:dyDescent="0.3">
      <c r="A44" s="3">
        <v>13</v>
      </c>
      <c r="B44" s="2" t="str">
        <f>"12014003200"</f>
        <v>12014003200</v>
      </c>
      <c r="C44" s="2" t="s">
        <v>2766</v>
      </c>
      <c r="D44" t="s">
        <v>29</v>
      </c>
      <c r="E44" s="2" t="s">
        <v>30</v>
      </c>
      <c r="F44" s="2">
        <v>37217</v>
      </c>
      <c r="G44" s="2" t="s">
        <v>64</v>
      </c>
      <c r="H44" t="s">
        <v>2707</v>
      </c>
      <c r="I44" s="6">
        <v>32345</v>
      </c>
      <c r="J44" s="2" t="s">
        <v>2767</v>
      </c>
      <c r="K44" s="2">
        <v>39500</v>
      </c>
      <c r="L44" t="s">
        <v>2689</v>
      </c>
      <c r="M44" t="s">
        <v>29</v>
      </c>
      <c r="N44" t="s">
        <v>30</v>
      </c>
      <c r="O44">
        <v>37214</v>
      </c>
      <c r="P44" t="s">
        <v>2768</v>
      </c>
      <c r="Q44" s="2">
        <v>0.25</v>
      </c>
      <c r="R44" s="2">
        <v>70</v>
      </c>
      <c r="S44" s="2">
        <v>175</v>
      </c>
      <c r="T44" t="s">
        <v>2769</v>
      </c>
      <c r="U44" s="6">
        <v>21243</v>
      </c>
      <c r="V44" s="2">
        <v>47037015700</v>
      </c>
      <c r="W44" s="2" t="s">
        <v>68</v>
      </c>
      <c r="X44" s="1">
        <v>45658</v>
      </c>
      <c r="Y44" s="2">
        <v>57600</v>
      </c>
      <c r="Z44" s="2">
        <v>0</v>
      </c>
      <c r="AA44" s="2">
        <v>57600</v>
      </c>
    </row>
    <row r="45" spans="1:27" x14ac:dyDescent="0.3">
      <c r="A45" s="3">
        <v>13</v>
      </c>
      <c r="B45" s="2" t="str">
        <f>"12014003300"</f>
        <v>12014003300</v>
      </c>
      <c r="C45" s="2" t="s">
        <v>2770</v>
      </c>
      <c r="D45" t="s">
        <v>29</v>
      </c>
      <c r="E45" s="2" t="s">
        <v>30</v>
      </c>
      <c r="F45" s="2">
        <v>37217</v>
      </c>
      <c r="G45" s="2" t="s">
        <v>64</v>
      </c>
      <c r="H45" t="s">
        <v>2707</v>
      </c>
      <c r="I45" s="6">
        <v>32314</v>
      </c>
      <c r="J45" s="2" t="s">
        <v>2771</v>
      </c>
      <c r="K45" s="2">
        <v>54000</v>
      </c>
      <c r="L45" t="s">
        <v>2689</v>
      </c>
      <c r="M45" t="s">
        <v>29</v>
      </c>
      <c r="N45" t="s">
        <v>30</v>
      </c>
      <c r="O45">
        <v>37214</v>
      </c>
      <c r="P45" t="s">
        <v>2772</v>
      </c>
      <c r="Q45" s="2">
        <v>0.25</v>
      </c>
      <c r="R45" s="2">
        <v>70</v>
      </c>
      <c r="S45" s="2">
        <v>161</v>
      </c>
      <c r="T45" t="s">
        <v>2773</v>
      </c>
      <c r="U45" s="6">
        <v>22850</v>
      </c>
      <c r="V45" s="2">
        <v>47037015700</v>
      </c>
      <c r="W45" s="2" t="s">
        <v>68</v>
      </c>
      <c r="X45" s="1">
        <v>45658</v>
      </c>
      <c r="Y45" s="2">
        <v>57600</v>
      </c>
      <c r="Z45" s="2">
        <v>0</v>
      </c>
      <c r="AA45" s="2">
        <v>57600</v>
      </c>
    </row>
    <row r="46" spans="1:27" x14ac:dyDescent="0.3">
      <c r="A46" s="3">
        <v>13</v>
      </c>
      <c r="B46" s="2" t="str">
        <f>"12014003400"</f>
        <v>12014003400</v>
      </c>
      <c r="C46" s="2" t="s">
        <v>2774</v>
      </c>
      <c r="D46" t="s">
        <v>29</v>
      </c>
      <c r="E46" s="2" t="s">
        <v>30</v>
      </c>
      <c r="F46" s="2">
        <v>37217</v>
      </c>
      <c r="G46" s="2" t="s">
        <v>64</v>
      </c>
      <c r="H46" t="s">
        <v>2707</v>
      </c>
      <c r="I46" s="6">
        <v>32357</v>
      </c>
      <c r="J46" s="2" t="s">
        <v>2775</v>
      </c>
      <c r="K46" s="2">
        <v>62500</v>
      </c>
      <c r="L46" t="s">
        <v>2689</v>
      </c>
      <c r="M46" t="s">
        <v>29</v>
      </c>
      <c r="N46" t="s">
        <v>30</v>
      </c>
      <c r="O46">
        <v>37214</v>
      </c>
      <c r="P46" t="s">
        <v>2776</v>
      </c>
      <c r="Q46" s="2">
        <v>0.25</v>
      </c>
      <c r="R46" s="2">
        <v>70</v>
      </c>
      <c r="S46" s="2">
        <v>160</v>
      </c>
      <c r="T46" t="s">
        <v>2777</v>
      </c>
      <c r="U46" s="6">
        <v>21440</v>
      </c>
      <c r="V46" s="2">
        <v>47037015700</v>
      </c>
      <c r="W46" s="2" t="s">
        <v>68</v>
      </c>
      <c r="X46" s="1">
        <v>45658</v>
      </c>
      <c r="Y46" s="2">
        <v>57600</v>
      </c>
      <c r="Z46" s="2">
        <v>0</v>
      </c>
      <c r="AA46" s="2">
        <v>57600</v>
      </c>
    </row>
    <row r="47" spans="1:27" x14ac:dyDescent="0.3">
      <c r="A47" s="3">
        <v>13</v>
      </c>
      <c r="B47" s="2" t="str">
        <f>"12014002400"</f>
        <v>12014002400</v>
      </c>
      <c r="C47" s="2" t="s">
        <v>2778</v>
      </c>
      <c r="D47" t="s">
        <v>29</v>
      </c>
      <c r="E47" s="2" t="s">
        <v>30</v>
      </c>
      <c r="F47" s="2">
        <v>37217</v>
      </c>
      <c r="G47" s="2" t="s">
        <v>64</v>
      </c>
      <c r="H47" t="s">
        <v>2707</v>
      </c>
      <c r="I47" s="6">
        <v>32917</v>
      </c>
      <c r="J47" s="2" t="s">
        <v>2779</v>
      </c>
      <c r="K47" s="2">
        <v>52250</v>
      </c>
      <c r="L47" t="s">
        <v>2689</v>
      </c>
      <c r="M47" t="s">
        <v>29</v>
      </c>
      <c r="N47" t="s">
        <v>30</v>
      </c>
      <c r="O47">
        <v>37214</v>
      </c>
      <c r="P47" t="s">
        <v>2780</v>
      </c>
      <c r="Q47" s="2">
        <v>0.33</v>
      </c>
      <c r="R47" s="2">
        <v>70</v>
      </c>
      <c r="S47" s="2">
        <v>271</v>
      </c>
      <c r="T47" t="s">
        <v>2781</v>
      </c>
      <c r="U47" s="6">
        <v>26912</v>
      </c>
      <c r="V47" s="2">
        <v>47037015700</v>
      </c>
      <c r="W47" s="2" t="s">
        <v>68</v>
      </c>
      <c r="X47" s="1">
        <v>45658</v>
      </c>
      <c r="Y47" s="2">
        <v>57600</v>
      </c>
      <c r="Z47" s="2">
        <v>0</v>
      </c>
      <c r="AA47" s="2">
        <v>57600</v>
      </c>
    </row>
    <row r="48" spans="1:27" x14ac:dyDescent="0.3">
      <c r="A48" s="3">
        <v>13</v>
      </c>
      <c r="B48" s="2" t="str">
        <f>"12014003500"</f>
        <v>12014003500</v>
      </c>
      <c r="C48" s="2" t="s">
        <v>2782</v>
      </c>
      <c r="D48" t="s">
        <v>29</v>
      </c>
      <c r="E48" s="2" t="s">
        <v>30</v>
      </c>
      <c r="F48" s="2">
        <v>37217</v>
      </c>
      <c r="G48" s="2" t="s">
        <v>64</v>
      </c>
      <c r="H48" t="s">
        <v>2707</v>
      </c>
      <c r="I48" s="6">
        <v>31775</v>
      </c>
      <c r="J48" s="2" t="s">
        <v>2783</v>
      </c>
      <c r="K48" s="2">
        <v>38000</v>
      </c>
      <c r="L48" t="s">
        <v>2689</v>
      </c>
      <c r="M48" t="s">
        <v>29</v>
      </c>
      <c r="N48" t="s">
        <v>30</v>
      </c>
      <c r="O48">
        <v>37214</v>
      </c>
      <c r="P48" t="s">
        <v>2784</v>
      </c>
      <c r="Q48" s="2">
        <v>0.25</v>
      </c>
      <c r="R48" s="2">
        <v>70</v>
      </c>
      <c r="S48" s="2">
        <v>159</v>
      </c>
      <c r="T48" t="s">
        <v>2785</v>
      </c>
      <c r="U48" s="6">
        <v>18780</v>
      </c>
      <c r="V48" s="2">
        <v>47037015700</v>
      </c>
      <c r="W48" s="2" t="s">
        <v>68</v>
      </c>
      <c r="X48" s="1">
        <v>45658</v>
      </c>
      <c r="Y48" s="2">
        <v>57600</v>
      </c>
      <c r="Z48" s="2">
        <v>0</v>
      </c>
      <c r="AA48" s="2">
        <v>57600</v>
      </c>
    </row>
    <row r="49" spans="1:27" x14ac:dyDescent="0.3">
      <c r="A49" s="3">
        <v>13</v>
      </c>
      <c r="B49" s="2" t="str">
        <f>"12014003600"</f>
        <v>12014003600</v>
      </c>
      <c r="C49" s="2" t="s">
        <v>2786</v>
      </c>
      <c r="D49" t="s">
        <v>29</v>
      </c>
      <c r="E49" s="2" t="s">
        <v>30</v>
      </c>
      <c r="F49" s="2">
        <v>37217</v>
      </c>
      <c r="G49" s="2" t="s">
        <v>64</v>
      </c>
      <c r="H49" t="s">
        <v>2707</v>
      </c>
      <c r="I49" s="6">
        <v>31953</v>
      </c>
      <c r="J49" s="2" t="s">
        <v>2787</v>
      </c>
      <c r="K49" s="2">
        <v>43000</v>
      </c>
      <c r="L49" t="s">
        <v>2689</v>
      </c>
      <c r="M49" t="s">
        <v>29</v>
      </c>
      <c r="N49" t="s">
        <v>30</v>
      </c>
      <c r="O49">
        <v>37214</v>
      </c>
      <c r="P49" t="s">
        <v>2788</v>
      </c>
      <c r="Q49" s="2">
        <v>0.25</v>
      </c>
      <c r="R49" s="2">
        <v>70</v>
      </c>
      <c r="S49" s="2">
        <v>158</v>
      </c>
      <c r="T49" t="s">
        <v>2789</v>
      </c>
      <c r="U49" s="6">
        <v>26989</v>
      </c>
      <c r="V49" s="2">
        <v>47037015700</v>
      </c>
      <c r="W49" s="2" t="s">
        <v>68</v>
      </c>
      <c r="X49" s="1">
        <v>45658</v>
      </c>
      <c r="Y49" s="2">
        <v>57600</v>
      </c>
      <c r="Z49" s="2">
        <v>0</v>
      </c>
      <c r="AA49" s="2">
        <v>57600</v>
      </c>
    </row>
    <row r="50" spans="1:27" x14ac:dyDescent="0.3">
      <c r="A50" s="3">
        <v>13</v>
      </c>
      <c r="B50" s="2" t="str">
        <f>"12014005400"</f>
        <v>12014005400</v>
      </c>
      <c r="C50" s="2" t="s">
        <v>2790</v>
      </c>
      <c r="D50" t="s">
        <v>29</v>
      </c>
      <c r="E50" s="2" t="s">
        <v>30</v>
      </c>
      <c r="F50" s="2">
        <v>37217</v>
      </c>
      <c r="G50" s="2" t="s">
        <v>64</v>
      </c>
      <c r="H50" t="s">
        <v>2707</v>
      </c>
      <c r="I50" s="6">
        <v>32541</v>
      </c>
      <c r="J50" s="2" t="s">
        <v>2791</v>
      </c>
      <c r="K50" s="2">
        <v>55000</v>
      </c>
      <c r="L50" t="s">
        <v>2689</v>
      </c>
      <c r="M50" t="s">
        <v>29</v>
      </c>
      <c r="N50" t="s">
        <v>30</v>
      </c>
      <c r="O50">
        <v>37214</v>
      </c>
      <c r="P50" t="s">
        <v>2792</v>
      </c>
      <c r="Q50" s="2">
        <v>0.39</v>
      </c>
      <c r="R50" s="2">
        <v>76</v>
      </c>
      <c r="S50" s="2">
        <v>173</v>
      </c>
      <c r="T50" t="s">
        <v>2793</v>
      </c>
      <c r="U50" s="6">
        <v>23288</v>
      </c>
      <c r="V50" s="2">
        <v>47037015700</v>
      </c>
      <c r="W50" s="2" t="s">
        <v>68</v>
      </c>
      <c r="X50" s="1">
        <v>45658</v>
      </c>
      <c r="Y50" s="2">
        <v>57600</v>
      </c>
      <c r="Z50" s="2">
        <v>0</v>
      </c>
      <c r="AA50" s="2">
        <v>57600</v>
      </c>
    </row>
    <row r="51" spans="1:27" x14ac:dyDescent="0.3">
      <c r="A51" s="3">
        <v>13</v>
      </c>
      <c r="B51" s="2" t="str">
        <f>"12014003700"</f>
        <v>12014003700</v>
      </c>
      <c r="C51" s="2" t="s">
        <v>2794</v>
      </c>
      <c r="D51" t="s">
        <v>29</v>
      </c>
      <c r="E51" s="2" t="s">
        <v>30</v>
      </c>
      <c r="F51" s="2">
        <v>37217</v>
      </c>
      <c r="G51" s="2" t="s">
        <v>64</v>
      </c>
      <c r="H51" t="s">
        <v>2707</v>
      </c>
      <c r="I51" s="6">
        <v>31951</v>
      </c>
      <c r="J51" s="2" t="s">
        <v>2795</v>
      </c>
      <c r="K51" s="2">
        <v>54000</v>
      </c>
      <c r="L51" t="s">
        <v>2689</v>
      </c>
      <c r="M51" t="s">
        <v>29</v>
      </c>
      <c r="N51" t="s">
        <v>30</v>
      </c>
      <c r="O51">
        <v>37214</v>
      </c>
      <c r="P51" t="s">
        <v>2796</v>
      </c>
      <c r="Q51" s="2">
        <v>0.25</v>
      </c>
      <c r="R51" s="2">
        <v>70</v>
      </c>
      <c r="S51" s="2">
        <v>156</v>
      </c>
      <c r="T51" t="s">
        <v>2797</v>
      </c>
      <c r="U51" s="6">
        <v>26879</v>
      </c>
      <c r="V51" s="2">
        <v>47037015700</v>
      </c>
      <c r="W51" s="2" t="s">
        <v>68</v>
      </c>
      <c r="X51" s="1">
        <v>45658</v>
      </c>
      <c r="Y51" s="2">
        <v>57600</v>
      </c>
      <c r="Z51" s="2">
        <v>0</v>
      </c>
      <c r="AA51" s="2">
        <v>57600</v>
      </c>
    </row>
    <row r="52" spans="1:27" x14ac:dyDescent="0.3">
      <c r="A52" s="3">
        <v>13</v>
      </c>
      <c r="B52" s="2" t="str">
        <f>"12015000100"</f>
        <v>12015000100</v>
      </c>
      <c r="C52" s="2" t="s">
        <v>2798</v>
      </c>
      <c r="D52" t="s">
        <v>29</v>
      </c>
      <c r="E52" s="2" t="s">
        <v>30</v>
      </c>
      <c r="F52" s="2">
        <v>37217</v>
      </c>
      <c r="G52" s="2" t="s">
        <v>64</v>
      </c>
      <c r="H52" t="s">
        <v>2707</v>
      </c>
      <c r="I52" s="6">
        <v>31824</v>
      </c>
      <c r="J52" s="2" t="s">
        <v>2799</v>
      </c>
      <c r="K52" s="2">
        <v>48000</v>
      </c>
      <c r="L52" t="s">
        <v>2689</v>
      </c>
      <c r="M52" t="s">
        <v>29</v>
      </c>
      <c r="N52" t="s">
        <v>30</v>
      </c>
      <c r="O52">
        <v>37214</v>
      </c>
      <c r="P52" t="s">
        <v>2800</v>
      </c>
      <c r="Q52" s="2">
        <v>0.25</v>
      </c>
      <c r="R52" s="2">
        <v>70</v>
      </c>
      <c r="S52" s="2">
        <v>155</v>
      </c>
      <c r="T52" t="s">
        <v>2801</v>
      </c>
      <c r="U52" s="6">
        <v>26063</v>
      </c>
      <c r="V52" s="2">
        <v>47037015700</v>
      </c>
      <c r="W52" s="2" t="s">
        <v>68</v>
      </c>
      <c r="X52" s="1">
        <v>45658</v>
      </c>
      <c r="Y52" s="2">
        <v>57600</v>
      </c>
      <c r="Z52" s="2">
        <v>0</v>
      </c>
      <c r="AA52" s="2">
        <v>57600</v>
      </c>
    </row>
    <row r="53" spans="1:27" x14ac:dyDescent="0.3">
      <c r="A53" s="3">
        <v>13</v>
      </c>
      <c r="B53" s="2" t="str">
        <f>"12014005300"</f>
        <v>12014005300</v>
      </c>
      <c r="C53" s="2" t="s">
        <v>2802</v>
      </c>
      <c r="D53" t="s">
        <v>29</v>
      </c>
      <c r="E53" s="2" t="s">
        <v>30</v>
      </c>
      <c r="F53" s="2">
        <v>37217</v>
      </c>
      <c r="G53" s="2" t="s">
        <v>64</v>
      </c>
      <c r="H53" t="s">
        <v>2707</v>
      </c>
      <c r="I53" s="6">
        <v>32540</v>
      </c>
      <c r="J53" s="2" t="s">
        <v>2803</v>
      </c>
      <c r="K53" s="2">
        <v>42500</v>
      </c>
      <c r="L53" t="s">
        <v>2689</v>
      </c>
      <c r="M53" t="s">
        <v>29</v>
      </c>
      <c r="N53" t="s">
        <v>30</v>
      </c>
      <c r="O53">
        <v>37214</v>
      </c>
      <c r="P53" t="s">
        <v>2804</v>
      </c>
      <c r="Q53" s="2">
        <v>0.28000000000000003</v>
      </c>
      <c r="R53" s="2">
        <v>70</v>
      </c>
      <c r="S53" s="2">
        <v>172</v>
      </c>
      <c r="T53" t="s">
        <v>2805</v>
      </c>
      <c r="U53" s="6">
        <v>25532</v>
      </c>
      <c r="V53" s="2">
        <v>47037015700</v>
      </c>
      <c r="W53" s="2" t="s">
        <v>68</v>
      </c>
      <c r="X53" s="1">
        <v>45658</v>
      </c>
      <c r="Y53" s="2">
        <v>57600</v>
      </c>
      <c r="Z53" s="2">
        <v>0</v>
      </c>
      <c r="AA53" s="2">
        <v>57600</v>
      </c>
    </row>
    <row r="54" spans="1:27" x14ac:dyDescent="0.3">
      <c r="A54" s="3">
        <v>13</v>
      </c>
      <c r="B54" s="2" t="str">
        <f>"12014002300"</f>
        <v>12014002300</v>
      </c>
      <c r="C54" s="2" t="s">
        <v>2806</v>
      </c>
      <c r="D54" t="s">
        <v>29</v>
      </c>
      <c r="E54" s="2" t="s">
        <v>30</v>
      </c>
      <c r="F54" s="2">
        <v>37217</v>
      </c>
      <c r="G54" s="2" t="s">
        <v>64</v>
      </c>
      <c r="H54" t="s">
        <v>2707</v>
      </c>
      <c r="I54" s="6">
        <v>32830</v>
      </c>
      <c r="J54" s="2" t="s">
        <v>2807</v>
      </c>
      <c r="K54" s="2">
        <v>68000</v>
      </c>
      <c r="L54" t="s">
        <v>2689</v>
      </c>
      <c r="M54" t="s">
        <v>29</v>
      </c>
      <c r="N54" t="s">
        <v>30</v>
      </c>
      <c r="O54">
        <v>37214</v>
      </c>
      <c r="P54" t="s">
        <v>2808</v>
      </c>
      <c r="Q54" s="2">
        <v>0.28999999999999998</v>
      </c>
      <c r="R54" s="2">
        <v>70</v>
      </c>
      <c r="S54" s="2">
        <v>184</v>
      </c>
      <c r="T54" t="s">
        <v>2809</v>
      </c>
      <c r="U54" s="6">
        <v>26235</v>
      </c>
      <c r="V54" s="2">
        <v>47037015700</v>
      </c>
      <c r="W54" s="2" t="s">
        <v>68</v>
      </c>
      <c r="X54" s="1">
        <v>45658</v>
      </c>
      <c r="Y54" s="2">
        <v>57600</v>
      </c>
      <c r="Z54" s="2">
        <v>0</v>
      </c>
      <c r="AA54" s="2">
        <v>57600</v>
      </c>
    </row>
    <row r="55" spans="1:27" x14ac:dyDescent="0.3">
      <c r="A55" s="3">
        <v>13</v>
      </c>
      <c r="B55" s="2" t="str">
        <f>"12015000300"</f>
        <v>12015000300</v>
      </c>
      <c r="C55" s="2" t="s">
        <v>2810</v>
      </c>
      <c r="D55" t="s">
        <v>29</v>
      </c>
      <c r="E55" s="2" t="s">
        <v>30</v>
      </c>
      <c r="F55" s="2">
        <v>37217</v>
      </c>
      <c r="G55" s="2" t="s">
        <v>64</v>
      </c>
      <c r="H55" t="s">
        <v>2707</v>
      </c>
      <c r="I55" s="6">
        <v>31769</v>
      </c>
      <c r="J55" s="2" t="s">
        <v>2811</v>
      </c>
      <c r="K55" s="2">
        <v>45000</v>
      </c>
      <c r="L55" t="s">
        <v>2689</v>
      </c>
      <c r="M55" t="s">
        <v>29</v>
      </c>
      <c r="N55" t="s">
        <v>30</v>
      </c>
      <c r="O55">
        <v>37214</v>
      </c>
      <c r="P55" t="s">
        <v>2812</v>
      </c>
      <c r="Q55" s="2">
        <v>0.27</v>
      </c>
      <c r="R55" s="2">
        <v>74</v>
      </c>
      <c r="S55" s="2">
        <v>166</v>
      </c>
      <c r="T55" t="s">
        <v>2813</v>
      </c>
      <c r="U55" s="6">
        <v>20271</v>
      </c>
      <c r="V55" s="2">
        <v>47037015700</v>
      </c>
      <c r="W55" s="2" t="s">
        <v>68</v>
      </c>
      <c r="X55" s="1">
        <v>45658</v>
      </c>
      <c r="Y55" s="2">
        <v>57600</v>
      </c>
      <c r="Z55" s="2">
        <v>0</v>
      </c>
      <c r="AA55" s="2">
        <v>57600</v>
      </c>
    </row>
    <row r="56" spans="1:27" x14ac:dyDescent="0.3">
      <c r="A56" s="3">
        <v>13</v>
      </c>
      <c r="B56" s="2" t="str">
        <f>"12014002200"</f>
        <v>12014002200</v>
      </c>
      <c r="C56" s="2" t="s">
        <v>2814</v>
      </c>
      <c r="D56" t="s">
        <v>29</v>
      </c>
      <c r="E56" s="2" t="s">
        <v>30</v>
      </c>
      <c r="F56" s="2">
        <v>37217</v>
      </c>
      <c r="G56" s="2" t="s">
        <v>64</v>
      </c>
      <c r="H56" t="s">
        <v>2707</v>
      </c>
      <c r="I56" s="6">
        <v>32832</v>
      </c>
      <c r="J56" s="2" t="s">
        <v>2815</v>
      </c>
      <c r="K56" s="2">
        <v>68500</v>
      </c>
      <c r="L56" t="s">
        <v>2689</v>
      </c>
      <c r="M56" t="s">
        <v>29</v>
      </c>
      <c r="N56" t="s">
        <v>30</v>
      </c>
      <c r="O56">
        <v>37214</v>
      </c>
      <c r="P56" t="s">
        <v>2816</v>
      </c>
      <c r="Q56" s="2">
        <v>0.36</v>
      </c>
      <c r="R56" s="2">
        <v>70</v>
      </c>
      <c r="S56" s="2">
        <v>236</v>
      </c>
      <c r="T56" t="s">
        <v>2817</v>
      </c>
      <c r="U56" s="6">
        <v>18218</v>
      </c>
      <c r="V56" s="2">
        <v>47037015700</v>
      </c>
      <c r="W56" s="2" t="s">
        <v>68</v>
      </c>
      <c r="X56" s="1">
        <v>45658</v>
      </c>
      <c r="Y56" s="2">
        <v>57600</v>
      </c>
      <c r="Z56" s="2">
        <v>0</v>
      </c>
      <c r="AA56" s="2">
        <v>57600</v>
      </c>
    </row>
    <row r="57" spans="1:27" x14ac:dyDescent="0.3">
      <c r="A57" s="3">
        <v>13</v>
      </c>
      <c r="B57" s="2" t="str">
        <f>"12014005200"</f>
        <v>12014005200</v>
      </c>
      <c r="C57" s="2" t="s">
        <v>2818</v>
      </c>
      <c r="D57" t="s">
        <v>29</v>
      </c>
      <c r="E57" s="2" t="s">
        <v>30</v>
      </c>
      <c r="F57" s="2">
        <v>37217</v>
      </c>
      <c r="G57" s="2" t="s">
        <v>64</v>
      </c>
      <c r="H57" t="s">
        <v>2707</v>
      </c>
      <c r="I57" s="6">
        <v>32517</v>
      </c>
      <c r="J57" s="2" t="s">
        <v>2819</v>
      </c>
      <c r="K57" s="2">
        <v>46000</v>
      </c>
      <c r="L57" t="s">
        <v>2689</v>
      </c>
      <c r="M57" t="s">
        <v>29</v>
      </c>
      <c r="N57" t="s">
        <v>30</v>
      </c>
      <c r="O57">
        <v>37214</v>
      </c>
      <c r="P57" t="s">
        <v>2820</v>
      </c>
      <c r="Q57" s="2">
        <v>0.22</v>
      </c>
      <c r="R57" s="2">
        <v>78</v>
      </c>
      <c r="S57" s="2">
        <v>129</v>
      </c>
      <c r="T57" t="s">
        <v>2821</v>
      </c>
      <c r="U57" s="6">
        <v>25542</v>
      </c>
      <c r="V57" s="2">
        <v>47037015700</v>
      </c>
      <c r="W57" s="2" t="s">
        <v>68</v>
      </c>
      <c r="X57" s="1">
        <v>45658</v>
      </c>
      <c r="Y57" s="2">
        <v>51800</v>
      </c>
      <c r="Z57" s="2">
        <v>0</v>
      </c>
      <c r="AA57" s="2">
        <v>51800</v>
      </c>
    </row>
    <row r="58" spans="1:27" x14ac:dyDescent="0.3">
      <c r="A58" s="3">
        <v>13</v>
      </c>
      <c r="B58" s="2" t="str">
        <f>"12014004200"</f>
        <v>12014004200</v>
      </c>
      <c r="C58" s="2" t="s">
        <v>2822</v>
      </c>
      <c r="D58" t="s">
        <v>29</v>
      </c>
      <c r="E58" s="2" t="s">
        <v>30</v>
      </c>
      <c r="F58" s="2">
        <v>37217</v>
      </c>
      <c r="G58" s="2" t="s">
        <v>64</v>
      </c>
      <c r="H58" t="s">
        <v>2707</v>
      </c>
      <c r="I58" s="6">
        <v>32314</v>
      </c>
      <c r="J58" s="2" t="s">
        <v>2823</v>
      </c>
      <c r="K58" s="2">
        <v>57000</v>
      </c>
      <c r="L58" t="s">
        <v>2689</v>
      </c>
      <c r="M58" t="s">
        <v>29</v>
      </c>
      <c r="N58" t="s">
        <v>30</v>
      </c>
      <c r="O58">
        <v>37214</v>
      </c>
      <c r="P58" t="s">
        <v>2824</v>
      </c>
      <c r="Q58" s="2">
        <v>0.26</v>
      </c>
      <c r="R58" s="2">
        <v>70</v>
      </c>
      <c r="S58" s="2">
        <v>158</v>
      </c>
      <c r="T58" t="s">
        <v>2825</v>
      </c>
      <c r="U58" s="6">
        <v>21773</v>
      </c>
      <c r="V58" s="2">
        <v>47037015700</v>
      </c>
      <c r="W58" s="2" t="s">
        <v>68</v>
      </c>
      <c r="X58" s="1">
        <v>45658</v>
      </c>
      <c r="Y58" s="2">
        <v>57600</v>
      </c>
      <c r="Z58" s="2">
        <v>0</v>
      </c>
      <c r="AA58" s="2">
        <v>57600</v>
      </c>
    </row>
    <row r="59" spans="1:27" x14ac:dyDescent="0.3">
      <c r="A59" s="3">
        <v>13</v>
      </c>
      <c r="B59" s="2" t="str">
        <f>"12014004300"</f>
        <v>12014004300</v>
      </c>
      <c r="C59" s="2" t="s">
        <v>2826</v>
      </c>
      <c r="D59" t="s">
        <v>29</v>
      </c>
      <c r="E59" s="2" t="s">
        <v>30</v>
      </c>
      <c r="F59" s="2">
        <v>37217</v>
      </c>
      <c r="G59" s="2" t="s">
        <v>64</v>
      </c>
      <c r="H59" t="s">
        <v>2707</v>
      </c>
      <c r="I59" s="6">
        <v>32345</v>
      </c>
      <c r="J59" s="2" t="s">
        <v>2827</v>
      </c>
      <c r="K59" s="2">
        <v>45000</v>
      </c>
      <c r="L59" t="s">
        <v>2689</v>
      </c>
      <c r="M59" t="s">
        <v>29</v>
      </c>
      <c r="N59" t="s">
        <v>30</v>
      </c>
      <c r="O59">
        <v>37214</v>
      </c>
      <c r="P59" t="s">
        <v>2828</v>
      </c>
      <c r="Q59" s="2">
        <v>0.34</v>
      </c>
      <c r="R59" s="2">
        <v>70</v>
      </c>
      <c r="S59" s="2">
        <v>180</v>
      </c>
      <c r="T59" t="s">
        <v>2829</v>
      </c>
      <c r="U59" s="6">
        <v>23068</v>
      </c>
      <c r="V59" s="2">
        <v>47037015700</v>
      </c>
      <c r="W59" s="2" t="s">
        <v>68</v>
      </c>
      <c r="X59" s="1">
        <v>45658</v>
      </c>
      <c r="Y59" s="2">
        <v>57600</v>
      </c>
      <c r="Z59" s="2">
        <v>0</v>
      </c>
      <c r="AA59" s="2">
        <v>57600</v>
      </c>
    </row>
    <row r="60" spans="1:27" x14ac:dyDescent="0.3">
      <c r="A60" s="3">
        <v>13</v>
      </c>
      <c r="B60" s="2" t="str">
        <f>"12014004400"</f>
        <v>12014004400</v>
      </c>
      <c r="C60" s="2" t="s">
        <v>2830</v>
      </c>
      <c r="D60" t="s">
        <v>29</v>
      </c>
      <c r="E60" s="2" t="s">
        <v>30</v>
      </c>
      <c r="F60" s="2">
        <v>37217</v>
      </c>
      <c r="G60" s="2" t="s">
        <v>64</v>
      </c>
      <c r="H60" t="s">
        <v>2707</v>
      </c>
      <c r="I60" s="6">
        <v>32353</v>
      </c>
      <c r="J60" s="2" t="s">
        <v>2831</v>
      </c>
      <c r="K60" s="2">
        <v>62000</v>
      </c>
      <c r="L60" t="s">
        <v>2689</v>
      </c>
      <c r="M60" t="s">
        <v>29</v>
      </c>
      <c r="N60" t="s">
        <v>30</v>
      </c>
      <c r="O60">
        <v>37214</v>
      </c>
      <c r="P60" t="s">
        <v>2832</v>
      </c>
      <c r="Q60" s="2">
        <v>0.28999999999999998</v>
      </c>
      <c r="R60" s="2">
        <v>70</v>
      </c>
      <c r="S60" s="2">
        <v>193</v>
      </c>
      <c r="T60" t="s">
        <v>2833</v>
      </c>
      <c r="U60" s="6">
        <v>17772</v>
      </c>
      <c r="V60" s="2">
        <v>47037015700</v>
      </c>
      <c r="W60" s="2" t="s">
        <v>68</v>
      </c>
      <c r="X60" s="1">
        <v>45658</v>
      </c>
      <c r="Y60" s="2">
        <v>57600</v>
      </c>
      <c r="Z60" s="2">
        <v>0</v>
      </c>
      <c r="AA60" s="2">
        <v>57600</v>
      </c>
    </row>
    <row r="61" spans="1:27" x14ac:dyDescent="0.3">
      <c r="A61" s="3">
        <v>13</v>
      </c>
      <c r="B61" s="2" t="str">
        <f>"12014004100"</f>
        <v>12014004100</v>
      </c>
      <c r="C61" s="2" t="s">
        <v>2834</v>
      </c>
      <c r="D61" t="s">
        <v>29</v>
      </c>
      <c r="E61" s="2" t="s">
        <v>30</v>
      </c>
      <c r="F61" s="2">
        <v>37217</v>
      </c>
      <c r="G61" s="2" t="s">
        <v>64</v>
      </c>
      <c r="H61" t="s">
        <v>2707</v>
      </c>
      <c r="I61" s="6">
        <v>32314</v>
      </c>
      <c r="J61" s="2" t="s">
        <v>2835</v>
      </c>
      <c r="K61" s="2">
        <v>52500</v>
      </c>
      <c r="L61" t="s">
        <v>2689</v>
      </c>
      <c r="M61" t="s">
        <v>29</v>
      </c>
      <c r="N61" t="s">
        <v>30</v>
      </c>
      <c r="O61">
        <v>37214</v>
      </c>
      <c r="P61" t="s">
        <v>2836</v>
      </c>
      <c r="Q61" s="2">
        <v>0.26</v>
      </c>
      <c r="R61" s="2">
        <v>70</v>
      </c>
      <c r="S61" s="2">
        <v>150</v>
      </c>
      <c r="T61" t="s">
        <v>2837</v>
      </c>
      <c r="U61" s="6">
        <v>24624</v>
      </c>
      <c r="V61" s="2">
        <v>47037015700</v>
      </c>
      <c r="W61" s="2" t="s">
        <v>68</v>
      </c>
      <c r="X61" s="1">
        <v>45658</v>
      </c>
      <c r="Y61" s="2">
        <v>57600</v>
      </c>
      <c r="Z61" s="2">
        <v>0</v>
      </c>
      <c r="AA61" s="2">
        <v>57600</v>
      </c>
    </row>
    <row r="62" spans="1:27" x14ac:dyDescent="0.3">
      <c r="A62" s="3">
        <v>13</v>
      </c>
      <c r="B62" s="2" t="str">
        <f>"12014004000"</f>
        <v>12014004000</v>
      </c>
      <c r="C62" s="2" t="s">
        <v>2838</v>
      </c>
      <c r="D62" t="s">
        <v>29</v>
      </c>
      <c r="E62" s="2" t="s">
        <v>30</v>
      </c>
      <c r="F62" s="2">
        <v>37217</v>
      </c>
      <c r="G62" s="2" t="s">
        <v>64</v>
      </c>
      <c r="H62" t="s">
        <v>2707</v>
      </c>
      <c r="I62" s="6">
        <v>31891</v>
      </c>
      <c r="J62" s="2" t="s">
        <v>2839</v>
      </c>
      <c r="K62" s="2">
        <v>35000</v>
      </c>
      <c r="L62" t="s">
        <v>2689</v>
      </c>
      <c r="M62" t="s">
        <v>29</v>
      </c>
      <c r="N62" t="s">
        <v>30</v>
      </c>
      <c r="O62">
        <v>37214</v>
      </c>
      <c r="P62" t="s">
        <v>2840</v>
      </c>
      <c r="Q62" s="2">
        <v>0.24</v>
      </c>
      <c r="R62" s="2">
        <v>70</v>
      </c>
      <c r="S62" s="2">
        <v>147</v>
      </c>
      <c r="T62" t="s">
        <v>2841</v>
      </c>
      <c r="U62" s="6">
        <v>26082</v>
      </c>
      <c r="V62" s="2">
        <v>47037015700</v>
      </c>
      <c r="W62" s="2" t="s">
        <v>68</v>
      </c>
      <c r="X62" s="1">
        <v>45658</v>
      </c>
      <c r="Y62" s="2">
        <v>57600</v>
      </c>
      <c r="Z62" s="2">
        <v>0</v>
      </c>
      <c r="AA62" s="2">
        <v>57600</v>
      </c>
    </row>
    <row r="63" spans="1:27" x14ac:dyDescent="0.3">
      <c r="A63" s="3">
        <v>13</v>
      </c>
      <c r="B63" s="2" t="str">
        <f>"12014002100"</f>
        <v>12014002100</v>
      </c>
      <c r="C63" s="2" t="s">
        <v>2842</v>
      </c>
      <c r="D63" t="s">
        <v>29</v>
      </c>
      <c r="E63" s="2" t="s">
        <v>30</v>
      </c>
      <c r="F63" s="2">
        <v>37217</v>
      </c>
      <c r="G63" s="2" t="s">
        <v>64</v>
      </c>
      <c r="H63" t="s">
        <v>2707</v>
      </c>
      <c r="I63" s="6">
        <v>32801</v>
      </c>
      <c r="J63" s="2" t="s">
        <v>2843</v>
      </c>
      <c r="K63" s="2">
        <v>47000</v>
      </c>
      <c r="L63" t="s">
        <v>2689</v>
      </c>
      <c r="M63" t="s">
        <v>29</v>
      </c>
      <c r="N63" t="s">
        <v>30</v>
      </c>
      <c r="O63">
        <v>37214</v>
      </c>
      <c r="P63" t="s">
        <v>2844</v>
      </c>
      <c r="Q63" s="2">
        <v>0.56999999999999995</v>
      </c>
      <c r="R63" s="2">
        <v>70</v>
      </c>
      <c r="S63" s="2">
        <v>285</v>
      </c>
      <c r="T63" t="s">
        <v>2845</v>
      </c>
      <c r="U63" s="6">
        <v>27180</v>
      </c>
      <c r="V63" s="2">
        <v>47037015700</v>
      </c>
      <c r="W63" s="2" t="s">
        <v>68</v>
      </c>
      <c r="X63" s="1">
        <v>45658</v>
      </c>
      <c r="Y63" s="2">
        <v>63400</v>
      </c>
      <c r="Z63" s="2">
        <v>0</v>
      </c>
      <c r="AA63" s="2">
        <v>63400</v>
      </c>
    </row>
    <row r="64" spans="1:27" x14ac:dyDescent="0.3">
      <c r="A64" s="3">
        <v>13</v>
      </c>
      <c r="B64" s="2" t="str">
        <f>"12014003900"</f>
        <v>12014003900</v>
      </c>
      <c r="C64" s="2" t="s">
        <v>2846</v>
      </c>
      <c r="D64" t="s">
        <v>29</v>
      </c>
      <c r="E64" s="2" t="s">
        <v>30</v>
      </c>
      <c r="F64" s="2">
        <v>37217</v>
      </c>
      <c r="G64" s="2" t="s">
        <v>64</v>
      </c>
      <c r="H64" t="s">
        <v>2707</v>
      </c>
      <c r="I64" s="6">
        <v>31966</v>
      </c>
      <c r="J64" s="2" t="s">
        <v>2847</v>
      </c>
      <c r="K64" s="2">
        <v>44500</v>
      </c>
      <c r="L64" t="s">
        <v>2689</v>
      </c>
      <c r="M64" t="s">
        <v>29</v>
      </c>
      <c r="N64" t="s">
        <v>30</v>
      </c>
      <c r="O64">
        <v>37214</v>
      </c>
      <c r="P64" t="s">
        <v>2848</v>
      </c>
      <c r="Q64" s="2">
        <v>0.23</v>
      </c>
      <c r="R64" s="2">
        <v>70</v>
      </c>
      <c r="S64" s="2">
        <v>149</v>
      </c>
      <c r="T64" t="s">
        <v>2849</v>
      </c>
      <c r="U64" s="6">
        <v>20985</v>
      </c>
      <c r="V64" s="2">
        <v>47037015700</v>
      </c>
      <c r="W64" s="2" t="s">
        <v>68</v>
      </c>
      <c r="X64" s="1">
        <v>45658</v>
      </c>
      <c r="Y64" s="2">
        <v>57600</v>
      </c>
      <c r="Z64" s="2">
        <v>0</v>
      </c>
      <c r="AA64" s="2">
        <v>57600</v>
      </c>
    </row>
    <row r="65" spans="1:27" x14ac:dyDescent="0.3">
      <c r="A65" s="3">
        <v>13</v>
      </c>
      <c r="B65" s="2" t="str">
        <f>"12014003800"</f>
        <v>12014003800</v>
      </c>
      <c r="C65" s="2" t="s">
        <v>2850</v>
      </c>
      <c r="D65" t="s">
        <v>29</v>
      </c>
      <c r="E65" s="2" t="s">
        <v>30</v>
      </c>
      <c r="F65" s="2">
        <v>37217</v>
      </c>
      <c r="G65" s="2" t="s">
        <v>64</v>
      </c>
      <c r="H65" t="s">
        <v>2707</v>
      </c>
      <c r="I65" s="6">
        <v>31898</v>
      </c>
      <c r="J65" s="2" t="s">
        <v>2851</v>
      </c>
      <c r="K65" s="2">
        <v>39500</v>
      </c>
      <c r="L65" t="s">
        <v>2689</v>
      </c>
      <c r="M65" t="s">
        <v>29</v>
      </c>
      <c r="N65" t="s">
        <v>30</v>
      </c>
      <c r="O65">
        <v>37214</v>
      </c>
      <c r="P65" t="s">
        <v>2852</v>
      </c>
      <c r="Q65" s="2">
        <v>0.24</v>
      </c>
      <c r="R65" s="2">
        <v>70</v>
      </c>
      <c r="S65" s="2">
        <v>151</v>
      </c>
      <c r="T65" t="s">
        <v>2853</v>
      </c>
      <c r="U65" s="6">
        <v>20600</v>
      </c>
      <c r="V65" s="2">
        <v>47037015700</v>
      </c>
      <c r="W65" s="2" t="s">
        <v>68</v>
      </c>
      <c r="X65" s="1">
        <v>45658</v>
      </c>
      <c r="Y65" s="2">
        <v>57600</v>
      </c>
      <c r="Z65" s="2">
        <v>0</v>
      </c>
      <c r="AA65" s="2">
        <v>57600</v>
      </c>
    </row>
    <row r="66" spans="1:27" x14ac:dyDescent="0.3">
      <c r="A66" s="3">
        <v>13</v>
      </c>
      <c r="B66" s="2" t="str">
        <f>"12015000600"</f>
        <v>12015000600</v>
      </c>
      <c r="C66" s="2" t="s">
        <v>2854</v>
      </c>
      <c r="D66" t="s">
        <v>29</v>
      </c>
      <c r="E66" s="2" t="s">
        <v>30</v>
      </c>
      <c r="F66" s="2">
        <v>37217</v>
      </c>
      <c r="G66" s="2" t="s">
        <v>64</v>
      </c>
      <c r="H66" t="s">
        <v>2707</v>
      </c>
      <c r="I66" s="6">
        <v>31797</v>
      </c>
      <c r="J66" s="2" t="s">
        <v>2855</v>
      </c>
      <c r="K66" s="2">
        <v>38500</v>
      </c>
      <c r="L66" t="s">
        <v>2689</v>
      </c>
      <c r="M66" t="s">
        <v>29</v>
      </c>
      <c r="N66" t="s">
        <v>30</v>
      </c>
      <c r="O66">
        <v>37214</v>
      </c>
      <c r="P66" t="s">
        <v>2856</v>
      </c>
      <c r="Q66" s="2">
        <v>0.25</v>
      </c>
      <c r="R66" s="2">
        <v>70</v>
      </c>
      <c r="S66" s="2">
        <v>153</v>
      </c>
      <c r="T66" t="s">
        <v>2857</v>
      </c>
      <c r="U66" s="6">
        <v>27191</v>
      </c>
      <c r="V66" s="2">
        <v>47037015700</v>
      </c>
      <c r="W66" s="2" t="s">
        <v>68</v>
      </c>
      <c r="X66" s="1">
        <v>45658</v>
      </c>
      <c r="Y66" s="2">
        <v>57600</v>
      </c>
      <c r="Z66" s="2">
        <v>0</v>
      </c>
      <c r="AA66" s="2">
        <v>57600</v>
      </c>
    </row>
    <row r="67" spans="1:27" x14ac:dyDescent="0.3">
      <c r="A67" s="3">
        <v>13</v>
      </c>
      <c r="B67" s="2" t="str">
        <f>"12014004600"</f>
        <v>12014004600</v>
      </c>
      <c r="C67" s="2" t="s">
        <v>2858</v>
      </c>
      <c r="D67" t="s">
        <v>29</v>
      </c>
      <c r="E67" s="2" t="s">
        <v>30</v>
      </c>
      <c r="F67" s="2">
        <v>37217</v>
      </c>
      <c r="G67" s="2" t="s">
        <v>64</v>
      </c>
      <c r="H67" t="s">
        <v>2707</v>
      </c>
      <c r="I67" s="6">
        <v>32555</v>
      </c>
      <c r="J67" s="2" t="s">
        <v>2859</v>
      </c>
      <c r="K67" s="2">
        <v>55500</v>
      </c>
      <c r="L67" t="s">
        <v>2689</v>
      </c>
      <c r="M67" t="s">
        <v>29</v>
      </c>
      <c r="N67" t="s">
        <v>30</v>
      </c>
      <c r="O67">
        <v>37214</v>
      </c>
      <c r="P67" t="s">
        <v>2860</v>
      </c>
      <c r="Q67" s="2">
        <v>0.27</v>
      </c>
      <c r="R67" s="2">
        <v>70</v>
      </c>
      <c r="S67" s="2">
        <v>175</v>
      </c>
      <c r="T67" t="s">
        <v>2861</v>
      </c>
      <c r="U67" s="6">
        <v>27011</v>
      </c>
      <c r="V67" s="2">
        <v>47037015700</v>
      </c>
      <c r="W67" s="2" t="s">
        <v>68</v>
      </c>
      <c r="X67" s="1">
        <v>45658</v>
      </c>
      <c r="Y67" s="2">
        <v>57600</v>
      </c>
      <c r="Z67" s="2">
        <v>0</v>
      </c>
      <c r="AA67" s="2">
        <v>57600</v>
      </c>
    </row>
    <row r="68" spans="1:27" x14ac:dyDescent="0.3">
      <c r="A68" s="3">
        <v>13</v>
      </c>
      <c r="B68" s="2" t="str">
        <f>"12014005100"</f>
        <v>12014005100</v>
      </c>
      <c r="C68" s="2" t="s">
        <v>2862</v>
      </c>
      <c r="D68" t="s">
        <v>29</v>
      </c>
      <c r="E68" s="2" t="s">
        <v>30</v>
      </c>
      <c r="F68" s="2">
        <v>37217</v>
      </c>
      <c r="G68" s="2" t="s">
        <v>64</v>
      </c>
      <c r="H68" t="s">
        <v>2707</v>
      </c>
      <c r="I68" s="6">
        <v>32540</v>
      </c>
      <c r="J68" s="2" t="s">
        <v>2863</v>
      </c>
      <c r="K68" s="2">
        <v>43000</v>
      </c>
      <c r="L68" t="s">
        <v>2689</v>
      </c>
      <c r="M68" t="s">
        <v>29</v>
      </c>
      <c r="N68" t="s">
        <v>30</v>
      </c>
      <c r="O68">
        <v>37214</v>
      </c>
      <c r="P68" t="s">
        <v>2864</v>
      </c>
      <c r="Q68" s="2">
        <v>0.28000000000000003</v>
      </c>
      <c r="R68" s="2">
        <v>132</v>
      </c>
      <c r="S68" s="2">
        <v>105</v>
      </c>
      <c r="T68" t="s">
        <v>2865</v>
      </c>
      <c r="U68" s="6">
        <v>20680</v>
      </c>
      <c r="V68" s="2">
        <v>47037015700</v>
      </c>
      <c r="W68" s="2" t="s">
        <v>68</v>
      </c>
      <c r="X68" s="1">
        <v>45658</v>
      </c>
      <c r="Y68" s="2">
        <v>57600</v>
      </c>
      <c r="Z68" s="2">
        <v>0</v>
      </c>
      <c r="AA68" s="2">
        <v>57600</v>
      </c>
    </row>
    <row r="69" spans="1:27" x14ac:dyDescent="0.3">
      <c r="A69" s="3">
        <v>13</v>
      </c>
      <c r="B69" s="2" t="str">
        <f>"12015000400"</f>
        <v>12015000400</v>
      </c>
      <c r="C69" s="2" t="s">
        <v>2866</v>
      </c>
      <c r="D69" t="s">
        <v>29</v>
      </c>
      <c r="E69" s="2" t="s">
        <v>30</v>
      </c>
      <c r="F69" s="2">
        <v>37217</v>
      </c>
      <c r="G69" s="2" t="s">
        <v>64</v>
      </c>
      <c r="H69" t="s">
        <v>2707</v>
      </c>
      <c r="I69" s="6">
        <v>31835</v>
      </c>
      <c r="J69" s="2" t="s">
        <v>2867</v>
      </c>
      <c r="K69" s="2">
        <v>42845</v>
      </c>
      <c r="L69" t="s">
        <v>2689</v>
      </c>
      <c r="M69" t="s">
        <v>29</v>
      </c>
      <c r="N69" t="s">
        <v>30</v>
      </c>
      <c r="O69">
        <v>37214</v>
      </c>
      <c r="P69" t="s">
        <v>2868</v>
      </c>
      <c r="Q69" s="2">
        <v>0.27</v>
      </c>
      <c r="R69" s="2">
        <v>74</v>
      </c>
      <c r="S69" s="2">
        <v>166</v>
      </c>
      <c r="T69" t="s">
        <v>2869</v>
      </c>
      <c r="U69" s="6">
        <v>26073</v>
      </c>
      <c r="V69" s="2">
        <v>47037015700</v>
      </c>
      <c r="W69" s="2" t="s">
        <v>68</v>
      </c>
      <c r="X69" s="1">
        <v>45658</v>
      </c>
      <c r="Y69" s="2">
        <v>57600</v>
      </c>
      <c r="Z69" s="2">
        <v>0</v>
      </c>
      <c r="AA69" s="2">
        <v>57600</v>
      </c>
    </row>
    <row r="70" spans="1:27" x14ac:dyDescent="0.3">
      <c r="A70" s="3">
        <v>13</v>
      </c>
      <c r="B70" s="2" t="str">
        <f>"12014002000"</f>
        <v>12014002000</v>
      </c>
      <c r="C70" s="2" t="s">
        <v>2870</v>
      </c>
      <c r="D70" t="s">
        <v>29</v>
      </c>
      <c r="E70" s="2" t="s">
        <v>30</v>
      </c>
      <c r="F70" s="2">
        <v>37217</v>
      </c>
      <c r="G70" s="2" t="s">
        <v>64</v>
      </c>
      <c r="H70" t="s">
        <v>2707</v>
      </c>
      <c r="I70" s="6">
        <v>32833</v>
      </c>
      <c r="J70" s="2" t="s">
        <v>2871</v>
      </c>
      <c r="K70" s="2">
        <v>51000</v>
      </c>
      <c r="L70" t="s">
        <v>2689</v>
      </c>
      <c r="M70" t="s">
        <v>29</v>
      </c>
      <c r="N70" t="s">
        <v>30</v>
      </c>
      <c r="O70">
        <v>37214</v>
      </c>
      <c r="P70" t="s">
        <v>2872</v>
      </c>
      <c r="Q70" s="2">
        <v>0.57999999999999996</v>
      </c>
      <c r="R70" s="2">
        <v>70</v>
      </c>
      <c r="S70" s="2">
        <v>285</v>
      </c>
      <c r="T70" t="s">
        <v>2873</v>
      </c>
      <c r="U70" s="6">
        <v>24576</v>
      </c>
      <c r="V70" s="2">
        <v>47037015700</v>
      </c>
      <c r="W70" s="2" t="s">
        <v>68</v>
      </c>
      <c r="X70" s="1">
        <v>45658</v>
      </c>
      <c r="Y70" s="2">
        <v>63400</v>
      </c>
      <c r="Z70" s="2">
        <v>0</v>
      </c>
      <c r="AA70" s="2">
        <v>63400</v>
      </c>
    </row>
    <row r="71" spans="1:27" x14ac:dyDescent="0.3">
      <c r="A71" s="3">
        <v>13</v>
      </c>
      <c r="B71" s="2" t="str">
        <f>"12014004700"</f>
        <v>12014004700</v>
      </c>
      <c r="C71" s="2" t="s">
        <v>2874</v>
      </c>
      <c r="D71" t="s">
        <v>29</v>
      </c>
      <c r="E71" s="2" t="s">
        <v>30</v>
      </c>
      <c r="F71" s="2">
        <v>37217</v>
      </c>
      <c r="G71" s="2" t="s">
        <v>64</v>
      </c>
      <c r="H71" t="s">
        <v>2707</v>
      </c>
      <c r="I71" s="6">
        <v>32580</v>
      </c>
      <c r="J71" s="2" t="s">
        <v>2875</v>
      </c>
      <c r="K71" s="2">
        <v>42500</v>
      </c>
      <c r="L71" t="s">
        <v>2689</v>
      </c>
      <c r="M71" t="s">
        <v>29</v>
      </c>
      <c r="N71" t="s">
        <v>30</v>
      </c>
      <c r="O71">
        <v>37214</v>
      </c>
      <c r="P71" t="s">
        <v>2876</v>
      </c>
      <c r="Q71" s="2">
        <v>0.24</v>
      </c>
      <c r="R71" s="2">
        <v>70</v>
      </c>
      <c r="S71" s="2">
        <v>155</v>
      </c>
      <c r="T71" t="s">
        <v>2877</v>
      </c>
      <c r="U71" s="6">
        <v>19849</v>
      </c>
      <c r="V71" s="2">
        <v>47037015700</v>
      </c>
      <c r="W71" s="2" t="s">
        <v>68</v>
      </c>
      <c r="X71" s="1">
        <v>45658</v>
      </c>
      <c r="Y71" s="2">
        <v>57600</v>
      </c>
      <c r="Z71" s="2">
        <v>0</v>
      </c>
      <c r="AA71" s="2">
        <v>57600</v>
      </c>
    </row>
    <row r="72" spans="1:27" x14ac:dyDescent="0.3">
      <c r="A72" s="3">
        <v>13</v>
      </c>
      <c r="B72" s="2" t="str">
        <f>"12014004800"</f>
        <v>12014004800</v>
      </c>
      <c r="C72" s="2" t="s">
        <v>2878</v>
      </c>
      <c r="D72" t="s">
        <v>29</v>
      </c>
      <c r="E72" s="2" t="s">
        <v>30</v>
      </c>
      <c r="F72" s="2">
        <v>37217</v>
      </c>
      <c r="G72" s="2" t="s">
        <v>64</v>
      </c>
      <c r="H72" t="s">
        <v>2707</v>
      </c>
      <c r="I72" s="6">
        <v>32540</v>
      </c>
      <c r="J72" s="2" t="s">
        <v>2879</v>
      </c>
      <c r="K72" s="2">
        <v>43000</v>
      </c>
      <c r="L72" t="s">
        <v>2689</v>
      </c>
      <c r="M72" t="s">
        <v>29</v>
      </c>
      <c r="N72" t="s">
        <v>30</v>
      </c>
      <c r="O72">
        <v>37214</v>
      </c>
      <c r="P72" t="s">
        <v>2880</v>
      </c>
      <c r="Q72" s="2">
        <v>0.2</v>
      </c>
      <c r="R72" s="2">
        <v>70</v>
      </c>
      <c r="S72" s="2">
        <v>135</v>
      </c>
      <c r="T72" t="s">
        <v>2881</v>
      </c>
      <c r="U72" s="6">
        <v>17723</v>
      </c>
      <c r="V72" s="2">
        <v>47037015700</v>
      </c>
      <c r="W72" s="2" t="s">
        <v>68</v>
      </c>
      <c r="X72" s="1">
        <v>45658</v>
      </c>
      <c r="Y72" s="2">
        <v>51800</v>
      </c>
      <c r="Z72" s="2">
        <v>0</v>
      </c>
      <c r="AA72" s="2">
        <v>51800</v>
      </c>
    </row>
    <row r="73" spans="1:27" x14ac:dyDescent="0.3">
      <c r="A73" s="3">
        <v>13</v>
      </c>
      <c r="B73" s="2" t="str">
        <f>"12014005000"</f>
        <v>12014005000</v>
      </c>
      <c r="C73" s="2" t="s">
        <v>2882</v>
      </c>
      <c r="D73" t="s">
        <v>29</v>
      </c>
      <c r="E73" s="2" t="s">
        <v>30</v>
      </c>
      <c r="F73" s="2">
        <v>37217</v>
      </c>
      <c r="G73" s="2" t="s">
        <v>64</v>
      </c>
      <c r="H73" t="s">
        <v>2707</v>
      </c>
      <c r="I73" s="6">
        <v>32617</v>
      </c>
      <c r="J73" s="2" t="s">
        <v>2883</v>
      </c>
      <c r="K73" s="2">
        <v>75000</v>
      </c>
      <c r="L73" t="s">
        <v>2689</v>
      </c>
      <c r="M73" t="s">
        <v>29</v>
      </c>
      <c r="N73" t="s">
        <v>30</v>
      </c>
      <c r="O73">
        <v>37214</v>
      </c>
      <c r="P73" t="s">
        <v>2884</v>
      </c>
      <c r="Q73" s="2">
        <v>0.77</v>
      </c>
      <c r="R73" s="2">
        <v>272</v>
      </c>
      <c r="S73" s="2">
        <v>90</v>
      </c>
      <c r="T73" t="s">
        <v>2885</v>
      </c>
      <c r="U73" s="6">
        <v>19259</v>
      </c>
      <c r="V73" s="2">
        <v>47037015700</v>
      </c>
      <c r="W73" s="2" t="s">
        <v>68</v>
      </c>
      <c r="X73" s="1">
        <v>45658</v>
      </c>
      <c r="Y73" s="2">
        <v>63400</v>
      </c>
      <c r="Z73" s="2">
        <v>0</v>
      </c>
      <c r="AA73" s="2">
        <v>63400</v>
      </c>
    </row>
    <row r="74" spans="1:27" x14ac:dyDescent="0.3">
      <c r="A74" s="3">
        <v>13</v>
      </c>
      <c r="B74" s="2" t="str">
        <f>"12014004900"</f>
        <v>12014004900</v>
      </c>
      <c r="C74" s="2" t="s">
        <v>2886</v>
      </c>
      <c r="D74" t="s">
        <v>29</v>
      </c>
      <c r="E74" s="2" t="s">
        <v>30</v>
      </c>
      <c r="F74" s="2">
        <v>37217</v>
      </c>
      <c r="G74" s="2" t="s">
        <v>64</v>
      </c>
      <c r="H74" t="s">
        <v>2707</v>
      </c>
      <c r="I74" s="6">
        <v>32647</v>
      </c>
      <c r="J74" s="2" t="s">
        <v>2887</v>
      </c>
      <c r="K74" s="2">
        <v>52900</v>
      </c>
      <c r="L74" t="s">
        <v>2689</v>
      </c>
      <c r="M74" t="s">
        <v>29</v>
      </c>
      <c r="N74" t="s">
        <v>30</v>
      </c>
      <c r="O74">
        <v>37214</v>
      </c>
      <c r="P74" t="s">
        <v>2888</v>
      </c>
      <c r="Q74" s="2">
        <v>0.22</v>
      </c>
      <c r="R74" s="2">
        <v>89</v>
      </c>
      <c r="S74" s="2">
        <v>116</v>
      </c>
      <c r="T74" t="s">
        <v>2889</v>
      </c>
      <c r="U74" s="6">
        <v>24590</v>
      </c>
      <c r="V74" s="2">
        <v>47037015700</v>
      </c>
      <c r="W74" s="2" t="s">
        <v>68</v>
      </c>
      <c r="X74" s="1">
        <v>45658</v>
      </c>
      <c r="Y74" s="2">
        <v>51800</v>
      </c>
      <c r="Z74" s="2">
        <v>0</v>
      </c>
      <c r="AA74" s="2">
        <v>51800</v>
      </c>
    </row>
    <row r="75" spans="1:27" x14ac:dyDescent="0.3">
      <c r="A75" s="3">
        <v>13</v>
      </c>
      <c r="B75" s="2" t="str">
        <f>"12014001900"</f>
        <v>12014001900</v>
      </c>
      <c r="C75" s="2" t="s">
        <v>2890</v>
      </c>
      <c r="D75" t="s">
        <v>29</v>
      </c>
      <c r="E75" s="2" t="s">
        <v>30</v>
      </c>
      <c r="F75" s="2">
        <v>37217</v>
      </c>
      <c r="G75" s="2" t="s">
        <v>64</v>
      </c>
      <c r="H75" t="s">
        <v>2707</v>
      </c>
      <c r="I75" s="6">
        <v>32967</v>
      </c>
      <c r="J75" s="2" t="s">
        <v>2891</v>
      </c>
      <c r="K75" s="2">
        <v>50000</v>
      </c>
      <c r="L75" t="s">
        <v>2689</v>
      </c>
      <c r="M75" t="s">
        <v>29</v>
      </c>
      <c r="N75" t="s">
        <v>30</v>
      </c>
      <c r="O75">
        <v>37214</v>
      </c>
      <c r="P75" t="s">
        <v>2892</v>
      </c>
      <c r="Q75" s="2">
        <v>0.52</v>
      </c>
      <c r="R75" s="2">
        <v>70</v>
      </c>
      <c r="S75" s="2">
        <v>273</v>
      </c>
      <c r="T75" t="s">
        <v>2893</v>
      </c>
      <c r="U75" s="6">
        <v>21499</v>
      </c>
      <c r="V75" s="2">
        <v>47037015700</v>
      </c>
      <c r="W75" s="2" t="s">
        <v>68</v>
      </c>
      <c r="X75" s="1">
        <v>45658</v>
      </c>
      <c r="Y75" s="2">
        <v>63400</v>
      </c>
      <c r="Z75" s="2">
        <v>0</v>
      </c>
      <c r="AA75" s="2">
        <v>63400</v>
      </c>
    </row>
    <row r="76" spans="1:27" x14ac:dyDescent="0.3">
      <c r="A76" s="3">
        <v>13</v>
      </c>
      <c r="B76" s="2" t="str">
        <f>"12014005900"</f>
        <v>12014005900</v>
      </c>
      <c r="C76" s="2" t="s">
        <v>2894</v>
      </c>
      <c r="D76" t="s">
        <v>29</v>
      </c>
      <c r="E76" s="2" t="s">
        <v>30</v>
      </c>
      <c r="F76" s="2">
        <v>37217</v>
      </c>
      <c r="G76" s="2" t="s">
        <v>64</v>
      </c>
      <c r="H76" t="s">
        <v>2707</v>
      </c>
      <c r="I76" s="6">
        <v>31853</v>
      </c>
      <c r="J76" s="2" t="s">
        <v>2895</v>
      </c>
      <c r="K76" s="2">
        <v>39000</v>
      </c>
      <c r="L76" t="s">
        <v>2689</v>
      </c>
      <c r="M76" t="s">
        <v>29</v>
      </c>
      <c r="N76" t="s">
        <v>30</v>
      </c>
      <c r="O76">
        <v>37214</v>
      </c>
      <c r="P76" t="s">
        <v>2896</v>
      </c>
      <c r="Q76" s="2">
        <v>0.24</v>
      </c>
      <c r="R76" s="2">
        <v>70</v>
      </c>
      <c r="S76" s="2">
        <v>163</v>
      </c>
      <c r="T76" t="s">
        <v>2897</v>
      </c>
      <c r="U76" s="6">
        <v>23222</v>
      </c>
      <c r="V76" s="2">
        <v>47037015700</v>
      </c>
      <c r="W76" s="2" t="s">
        <v>68</v>
      </c>
      <c r="X76" s="1">
        <v>45658</v>
      </c>
      <c r="Y76" s="2">
        <v>57600</v>
      </c>
      <c r="Z76" s="2">
        <v>0</v>
      </c>
      <c r="AA76" s="2">
        <v>57600</v>
      </c>
    </row>
    <row r="77" spans="1:27" x14ac:dyDescent="0.3">
      <c r="A77" s="3">
        <v>13</v>
      </c>
      <c r="B77" s="2" t="str">
        <f>"12014005800"</f>
        <v>12014005800</v>
      </c>
      <c r="C77" s="2" t="s">
        <v>2898</v>
      </c>
      <c r="D77" t="s">
        <v>29</v>
      </c>
      <c r="E77" s="2" t="s">
        <v>30</v>
      </c>
      <c r="F77" s="2">
        <v>37217</v>
      </c>
      <c r="G77" s="2" t="s">
        <v>64</v>
      </c>
      <c r="H77" t="s">
        <v>2707</v>
      </c>
      <c r="I77" s="6">
        <v>32395</v>
      </c>
      <c r="J77" s="2" t="s">
        <v>2899</v>
      </c>
      <c r="K77" s="2">
        <v>55000</v>
      </c>
      <c r="L77" t="s">
        <v>2689</v>
      </c>
      <c r="M77" t="s">
        <v>29</v>
      </c>
      <c r="N77" t="s">
        <v>30</v>
      </c>
      <c r="O77">
        <v>37214</v>
      </c>
      <c r="P77" t="s">
        <v>2900</v>
      </c>
      <c r="Q77" s="2">
        <v>0.26</v>
      </c>
      <c r="R77" s="2">
        <v>80</v>
      </c>
      <c r="S77" s="2">
        <v>158</v>
      </c>
      <c r="T77" t="s">
        <v>2901</v>
      </c>
      <c r="U77" s="6">
        <v>27246</v>
      </c>
      <c r="V77" s="2">
        <v>47037015700</v>
      </c>
      <c r="W77" s="2" t="s">
        <v>68</v>
      </c>
      <c r="X77" s="1">
        <v>45658</v>
      </c>
      <c r="Y77" s="2">
        <v>57600</v>
      </c>
      <c r="Z77" s="2">
        <v>0</v>
      </c>
      <c r="AA77" s="2">
        <v>57600</v>
      </c>
    </row>
    <row r="78" spans="1:27" x14ac:dyDescent="0.3">
      <c r="A78" s="3">
        <v>13</v>
      </c>
      <c r="B78" s="2" t="str">
        <f>"12014006100"</f>
        <v>12014006100</v>
      </c>
      <c r="C78" s="2" t="s">
        <v>2902</v>
      </c>
      <c r="D78" t="s">
        <v>29</v>
      </c>
      <c r="E78" s="2" t="s">
        <v>30</v>
      </c>
      <c r="F78" s="2">
        <v>37217</v>
      </c>
      <c r="G78" s="2" t="s">
        <v>64</v>
      </c>
      <c r="H78" t="s">
        <v>2707</v>
      </c>
      <c r="I78" s="6">
        <v>33338</v>
      </c>
      <c r="J78" s="2" t="s">
        <v>2903</v>
      </c>
      <c r="K78" s="2">
        <v>55000</v>
      </c>
      <c r="L78" t="s">
        <v>2689</v>
      </c>
      <c r="M78" t="s">
        <v>29</v>
      </c>
      <c r="N78" t="s">
        <v>30</v>
      </c>
      <c r="O78">
        <v>37214</v>
      </c>
      <c r="P78" t="s">
        <v>2904</v>
      </c>
      <c r="Q78" s="2">
        <v>0.27</v>
      </c>
      <c r="R78" s="2">
        <v>70</v>
      </c>
      <c r="S78" s="2">
        <v>162</v>
      </c>
      <c r="T78" t="s">
        <v>2905</v>
      </c>
      <c r="U78" s="6">
        <v>23516</v>
      </c>
      <c r="V78" s="2">
        <v>47037015700</v>
      </c>
      <c r="W78" s="2" t="s">
        <v>68</v>
      </c>
      <c r="X78" s="1">
        <v>45658</v>
      </c>
      <c r="Y78" s="2">
        <v>57600</v>
      </c>
      <c r="Z78" s="2">
        <v>0</v>
      </c>
      <c r="AA78" s="2">
        <v>57600</v>
      </c>
    </row>
    <row r="79" spans="1:27" x14ac:dyDescent="0.3">
      <c r="A79" s="3">
        <v>13</v>
      </c>
      <c r="B79" s="2" t="str">
        <f>"12014005600"</f>
        <v>12014005600</v>
      </c>
      <c r="C79" s="2" t="s">
        <v>2906</v>
      </c>
      <c r="D79" t="s">
        <v>29</v>
      </c>
      <c r="E79" s="2" t="s">
        <v>30</v>
      </c>
      <c r="F79" s="2">
        <v>37217</v>
      </c>
      <c r="G79" s="2" t="s">
        <v>64</v>
      </c>
      <c r="H79" t="s">
        <v>2707</v>
      </c>
      <c r="I79" s="6">
        <v>32345</v>
      </c>
      <c r="J79" s="2" t="s">
        <v>2907</v>
      </c>
      <c r="K79" s="2">
        <v>67500</v>
      </c>
      <c r="L79" t="s">
        <v>2689</v>
      </c>
      <c r="M79" t="s">
        <v>29</v>
      </c>
      <c r="N79" t="s">
        <v>30</v>
      </c>
      <c r="O79">
        <v>37214</v>
      </c>
      <c r="P79" t="s">
        <v>2908</v>
      </c>
      <c r="Q79" s="2">
        <v>0.23</v>
      </c>
      <c r="R79" s="2">
        <v>90</v>
      </c>
      <c r="S79" s="2">
        <v>145</v>
      </c>
      <c r="T79" t="s">
        <v>2909</v>
      </c>
      <c r="U79" s="6">
        <v>20877</v>
      </c>
      <c r="V79" s="2">
        <v>47037015700</v>
      </c>
      <c r="W79" s="2" t="s">
        <v>68</v>
      </c>
      <c r="X79" s="1">
        <v>45658</v>
      </c>
      <c r="Y79" s="2">
        <v>57600</v>
      </c>
      <c r="Z79" s="2">
        <v>0</v>
      </c>
      <c r="AA79" s="2">
        <v>57600</v>
      </c>
    </row>
    <row r="80" spans="1:27" x14ac:dyDescent="0.3">
      <c r="A80" s="3">
        <v>13</v>
      </c>
      <c r="B80" s="2" t="str">
        <f>"12014006200"</f>
        <v>12014006200</v>
      </c>
      <c r="C80" s="2" t="s">
        <v>2910</v>
      </c>
      <c r="D80" t="s">
        <v>29</v>
      </c>
      <c r="E80" s="2" t="s">
        <v>30</v>
      </c>
      <c r="F80" s="2">
        <v>37217</v>
      </c>
      <c r="G80" s="2" t="s">
        <v>64</v>
      </c>
      <c r="H80" t="s">
        <v>2707</v>
      </c>
      <c r="I80" s="6">
        <v>33154</v>
      </c>
      <c r="J80" s="2" t="s">
        <v>2911</v>
      </c>
      <c r="K80" s="2">
        <v>60000</v>
      </c>
      <c r="L80" t="s">
        <v>2689</v>
      </c>
      <c r="M80" t="s">
        <v>29</v>
      </c>
      <c r="N80" t="s">
        <v>30</v>
      </c>
      <c r="O80">
        <v>37214</v>
      </c>
      <c r="P80" t="s">
        <v>2912</v>
      </c>
      <c r="Q80" s="2">
        <v>0.27</v>
      </c>
      <c r="R80" s="2">
        <v>70</v>
      </c>
      <c r="S80" s="2">
        <v>162</v>
      </c>
      <c r="T80" t="s">
        <v>2913</v>
      </c>
      <c r="U80" s="6">
        <v>20515</v>
      </c>
      <c r="V80" s="2">
        <v>47037015700</v>
      </c>
      <c r="W80" s="2" t="s">
        <v>68</v>
      </c>
      <c r="X80" s="1">
        <v>45658</v>
      </c>
      <c r="Y80" s="2">
        <v>57600</v>
      </c>
      <c r="Z80" s="2">
        <v>0</v>
      </c>
      <c r="AA80" s="2">
        <v>57600</v>
      </c>
    </row>
    <row r="81" spans="1:27" x14ac:dyDescent="0.3">
      <c r="A81" s="3">
        <v>13</v>
      </c>
      <c r="B81" s="2" t="str">
        <f>"12015000800"</f>
        <v>12015000800</v>
      </c>
      <c r="C81" s="2" t="s">
        <v>2914</v>
      </c>
      <c r="D81" t="s">
        <v>29</v>
      </c>
      <c r="E81" s="2" t="s">
        <v>30</v>
      </c>
      <c r="F81" s="2">
        <v>37217</v>
      </c>
      <c r="G81" s="2" t="s">
        <v>64</v>
      </c>
      <c r="H81" t="s">
        <v>2707</v>
      </c>
      <c r="I81" s="6">
        <v>31925</v>
      </c>
      <c r="J81" s="2" t="s">
        <v>2915</v>
      </c>
      <c r="K81" s="2">
        <v>39000</v>
      </c>
      <c r="L81" t="s">
        <v>2689</v>
      </c>
      <c r="M81" t="s">
        <v>29</v>
      </c>
      <c r="N81" t="s">
        <v>30</v>
      </c>
      <c r="O81">
        <v>37214</v>
      </c>
      <c r="P81" t="s">
        <v>2916</v>
      </c>
      <c r="Q81" s="2">
        <v>0.28999999999999998</v>
      </c>
      <c r="R81" s="2">
        <v>55</v>
      </c>
      <c r="S81" s="2">
        <v>165</v>
      </c>
      <c r="T81" t="s">
        <v>2917</v>
      </c>
      <c r="U81" s="6">
        <v>20499</v>
      </c>
      <c r="V81" s="2">
        <v>47037015700</v>
      </c>
      <c r="W81" s="2" t="s">
        <v>68</v>
      </c>
      <c r="X81" s="1">
        <v>45658</v>
      </c>
      <c r="Y81" s="2">
        <v>57600</v>
      </c>
      <c r="Z81" s="2">
        <v>0</v>
      </c>
      <c r="AA81" s="2">
        <v>57600</v>
      </c>
    </row>
    <row r="82" spans="1:27" x14ac:dyDescent="0.3">
      <c r="A82" s="3">
        <v>13</v>
      </c>
      <c r="B82" s="2" t="str">
        <f>"12014005500"</f>
        <v>12014005500</v>
      </c>
      <c r="C82" s="2" t="s">
        <v>2918</v>
      </c>
      <c r="D82" t="s">
        <v>29</v>
      </c>
      <c r="E82" s="2" t="s">
        <v>30</v>
      </c>
      <c r="F82" s="2">
        <v>37217</v>
      </c>
      <c r="G82" s="2" t="s">
        <v>64</v>
      </c>
      <c r="H82" t="s">
        <v>2707</v>
      </c>
      <c r="I82" s="6">
        <v>32367</v>
      </c>
      <c r="J82" s="2" t="s">
        <v>2919</v>
      </c>
      <c r="K82" s="2">
        <v>61500</v>
      </c>
      <c r="L82" t="s">
        <v>2689</v>
      </c>
      <c r="M82" t="s">
        <v>29</v>
      </c>
      <c r="N82" t="s">
        <v>30</v>
      </c>
      <c r="O82">
        <v>37214</v>
      </c>
      <c r="P82" t="s">
        <v>2920</v>
      </c>
      <c r="Q82" s="2">
        <v>0.45</v>
      </c>
      <c r="R82" s="2">
        <v>129</v>
      </c>
      <c r="S82" s="2">
        <v>126</v>
      </c>
      <c r="T82" t="s">
        <v>2921</v>
      </c>
      <c r="U82" s="6">
        <v>26434</v>
      </c>
      <c r="V82" s="2">
        <v>47037015700</v>
      </c>
      <c r="W82" s="2" t="s">
        <v>68</v>
      </c>
      <c r="X82" s="1">
        <v>45658</v>
      </c>
      <c r="Y82" s="2">
        <v>57600</v>
      </c>
      <c r="Z82" s="2">
        <v>0</v>
      </c>
      <c r="AA82" s="2">
        <v>57600</v>
      </c>
    </row>
    <row r="83" spans="1:27" x14ac:dyDescent="0.3">
      <c r="A83" s="3">
        <v>13</v>
      </c>
      <c r="B83" s="2" t="str">
        <f>"12014001800"</f>
        <v>12014001800</v>
      </c>
      <c r="C83" s="2" t="s">
        <v>2922</v>
      </c>
      <c r="D83" t="s">
        <v>29</v>
      </c>
      <c r="E83" s="2" t="s">
        <v>30</v>
      </c>
      <c r="F83" s="2">
        <v>37217</v>
      </c>
      <c r="G83" s="2" t="s">
        <v>64</v>
      </c>
      <c r="H83" t="s">
        <v>2707</v>
      </c>
      <c r="I83" s="6">
        <v>32925</v>
      </c>
      <c r="J83" s="2" t="s">
        <v>2923</v>
      </c>
      <c r="K83" s="2" t="s">
        <v>34</v>
      </c>
      <c r="L83" t="s">
        <v>2689</v>
      </c>
      <c r="M83" t="s">
        <v>29</v>
      </c>
      <c r="N83" t="s">
        <v>30</v>
      </c>
      <c r="O83">
        <v>37214</v>
      </c>
      <c r="P83" t="s">
        <v>2924</v>
      </c>
      <c r="Q83" s="2">
        <v>0.52</v>
      </c>
      <c r="R83" s="2">
        <v>70</v>
      </c>
      <c r="S83" s="2">
        <v>273</v>
      </c>
      <c r="T83" t="s">
        <v>2925</v>
      </c>
      <c r="U83" s="6">
        <v>22171</v>
      </c>
      <c r="V83" s="2">
        <v>47037015700</v>
      </c>
      <c r="W83" s="2" t="s">
        <v>68</v>
      </c>
      <c r="X83" s="1">
        <v>45658</v>
      </c>
      <c r="Y83" s="2">
        <v>63400</v>
      </c>
      <c r="Z83" s="2">
        <v>0</v>
      </c>
      <c r="AA83" s="2">
        <v>63400</v>
      </c>
    </row>
    <row r="84" spans="1:27" x14ac:dyDescent="0.3">
      <c r="A84" s="3">
        <v>13</v>
      </c>
      <c r="B84" s="2" t="str">
        <f>"12014007500"</f>
        <v>12014007500</v>
      </c>
      <c r="C84" s="2" t="s">
        <v>2926</v>
      </c>
      <c r="D84" t="s">
        <v>29</v>
      </c>
      <c r="E84" s="2" t="s">
        <v>30</v>
      </c>
      <c r="F84" s="2">
        <v>37217</v>
      </c>
      <c r="G84" s="2" t="s">
        <v>64</v>
      </c>
      <c r="H84" t="s">
        <v>2707</v>
      </c>
      <c r="I84" s="6">
        <v>32560</v>
      </c>
      <c r="J84" s="2" t="s">
        <v>2927</v>
      </c>
      <c r="K84" s="2">
        <v>46000</v>
      </c>
      <c r="L84" t="s">
        <v>2689</v>
      </c>
      <c r="M84" t="s">
        <v>29</v>
      </c>
      <c r="N84" t="s">
        <v>30</v>
      </c>
      <c r="O84">
        <v>37214</v>
      </c>
      <c r="P84" t="s">
        <v>2928</v>
      </c>
      <c r="Q84" s="2">
        <v>0.33</v>
      </c>
      <c r="R84" s="2">
        <v>45</v>
      </c>
      <c r="S84" s="2">
        <v>205</v>
      </c>
      <c r="T84" t="s">
        <v>2929</v>
      </c>
      <c r="U84" s="6">
        <v>20215</v>
      </c>
      <c r="V84" s="2">
        <v>47037015700</v>
      </c>
      <c r="W84" s="2" t="s">
        <v>68</v>
      </c>
      <c r="X84" s="1">
        <v>45658</v>
      </c>
      <c r="Y84" s="2">
        <v>57600</v>
      </c>
      <c r="Z84" s="2">
        <v>0</v>
      </c>
      <c r="AA84" s="2">
        <v>57600</v>
      </c>
    </row>
    <row r="85" spans="1:27" x14ac:dyDescent="0.3">
      <c r="A85" s="3">
        <v>13</v>
      </c>
      <c r="B85" s="2" t="str">
        <f>"12015000900"</f>
        <v>12015000900</v>
      </c>
      <c r="C85" s="2" t="s">
        <v>2930</v>
      </c>
      <c r="D85" t="s">
        <v>29</v>
      </c>
      <c r="E85" s="2" t="s">
        <v>30</v>
      </c>
      <c r="F85" s="2">
        <v>37217</v>
      </c>
      <c r="G85" s="2" t="s">
        <v>64</v>
      </c>
      <c r="H85" t="s">
        <v>2707</v>
      </c>
      <c r="I85" s="6">
        <v>34256</v>
      </c>
      <c r="J85" s="2" t="s">
        <v>2931</v>
      </c>
      <c r="K85" s="2" t="s">
        <v>34</v>
      </c>
      <c r="L85" t="s">
        <v>2689</v>
      </c>
      <c r="M85" t="s">
        <v>29</v>
      </c>
      <c r="N85" t="s">
        <v>30</v>
      </c>
      <c r="O85">
        <v>37214</v>
      </c>
      <c r="P85" t="s">
        <v>2932</v>
      </c>
      <c r="Q85" s="2">
        <v>0.28999999999999998</v>
      </c>
      <c r="R85" s="2">
        <v>80</v>
      </c>
      <c r="S85" s="2">
        <v>165</v>
      </c>
      <c r="T85" t="s">
        <v>2933</v>
      </c>
      <c r="U85" s="6">
        <v>24006</v>
      </c>
      <c r="V85" s="2">
        <v>47037015700</v>
      </c>
      <c r="W85" s="2" t="s">
        <v>68</v>
      </c>
      <c r="X85" s="1">
        <v>45658</v>
      </c>
      <c r="Y85" s="2">
        <v>57600</v>
      </c>
      <c r="Z85" s="2">
        <v>0</v>
      </c>
      <c r="AA85" s="2">
        <v>57600</v>
      </c>
    </row>
    <row r="86" spans="1:27" x14ac:dyDescent="0.3">
      <c r="A86" s="3">
        <v>13</v>
      </c>
      <c r="B86" s="2" t="str">
        <f>"12014007400"</f>
        <v>12014007400</v>
      </c>
      <c r="C86" s="2" t="s">
        <v>2934</v>
      </c>
      <c r="D86" t="s">
        <v>29</v>
      </c>
      <c r="E86" s="2" t="s">
        <v>30</v>
      </c>
      <c r="F86" s="2">
        <v>37217</v>
      </c>
      <c r="G86" s="2" t="s">
        <v>64</v>
      </c>
      <c r="H86" t="s">
        <v>2707</v>
      </c>
      <c r="I86" s="6">
        <v>32547</v>
      </c>
      <c r="J86" s="2" t="s">
        <v>2935</v>
      </c>
      <c r="K86" s="2" t="s">
        <v>34</v>
      </c>
      <c r="L86" t="s">
        <v>2689</v>
      </c>
      <c r="M86" t="s">
        <v>29</v>
      </c>
      <c r="N86" t="s">
        <v>30</v>
      </c>
      <c r="O86">
        <v>37214</v>
      </c>
      <c r="P86" t="s">
        <v>2936</v>
      </c>
      <c r="Q86" s="2">
        <v>0.34</v>
      </c>
      <c r="R86" s="2">
        <v>70</v>
      </c>
      <c r="S86" s="2">
        <v>250</v>
      </c>
      <c r="T86" t="s">
        <v>2937</v>
      </c>
      <c r="U86" s="6">
        <v>23923</v>
      </c>
      <c r="V86" s="2">
        <v>47037015700</v>
      </c>
      <c r="W86" s="2" t="s">
        <v>68</v>
      </c>
      <c r="X86" s="1">
        <v>45658</v>
      </c>
      <c r="Y86" s="2">
        <v>57600</v>
      </c>
      <c r="Z86" s="2">
        <v>0</v>
      </c>
      <c r="AA86" s="2">
        <v>57600</v>
      </c>
    </row>
    <row r="87" spans="1:27" x14ac:dyDescent="0.3">
      <c r="A87" s="3">
        <v>13</v>
      </c>
      <c r="B87" s="2" t="str">
        <f>"12014007300"</f>
        <v>12014007300</v>
      </c>
      <c r="C87" s="2" t="s">
        <v>2938</v>
      </c>
      <c r="D87" t="s">
        <v>29</v>
      </c>
      <c r="E87" s="2" t="s">
        <v>30</v>
      </c>
      <c r="F87" s="2">
        <v>37217</v>
      </c>
      <c r="G87" s="2" t="s">
        <v>64</v>
      </c>
      <c r="H87" t="s">
        <v>2707</v>
      </c>
      <c r="I87" s="6">
        <v>32619</v>
      </c>
      <c r="J87" s="2" t="s">
        <v>2939</v>
      </c>
      <c r="K87" s="2">
        <v>54000</v>
      </c>
      <c r="L87" t="s">
        <v>2689</v>
      </c>
      <c r="M87" t="s">
        <v>29</v>
      </c>
      <c r="N87" t="s">
        <v>30</v>
      </c>
      <c r="O87">
        <v>37214</v>
      </c>
      <c r="P87" t="s">
        <v>2940</v>
      </c>
      <c r="Q87" s="2">
        <v>0.49</v>
      </c>
      <c r="R87" s="2">
        <v>70</v>
      </c>
      <c r="S87" s="2">
        <v>310</v>
      </c>
      <c r="T87" t="s">
        <v>2941</v>
      </c>
      <c r="U87" s="6">
        <v>20932</v>
      </c>
      <c r="V87" s="2">
        <v>47037015700</v>
      </c>
      <c r="W87" s="2" t="s">
        <v>68</v>
      </c>
      <c r="X87" s="1">
        <v>45658</v>
      </c>
      <c r="Y87" s="2">
        <v>63400</v>
      </c>
      <c r="Z87" s="2">
        <v>0</v>
      </c>
      <c r="AA87" s="2">
        <v>63400</v>
      </c>
    </row>
    <row r="88" spans="1:27" x14ac:dyDescent="0.3">
      <c r="A88" s="3">
        <v>13</v>
      </c>
      <c r="B88" s="2" t="str">
        <f>"12014006800"</f>
        <v>12014006800</v>
      </c>
      <c r="C88" s="2" t="s">
        <v>2942</v>
      </c>
      <c r="D88" t="s">
        <v>29</v>
      </c>
      <c r="E88" s="2" t="s">
        <v>30</v>
      </c>
      <c r="F88" s="2">
        <v>37217</v>
      </c>
      <c r="G88" s="2" t="s">
        <v>64</v>
      </c>
      <c r="H88" t="s">
        <v>2707</v>
      </c>
      <c r="I88" s="6">
        <v>32337</v>
      </c>
      <c r="J88" s="2" t="s">
        <v>2943</v>
      </c>
      <c r="K88" s="2">
        <v>46000</v>
      </c>
      <c r="L88" t="s">
        <v>2689</v>
      </c>
      <c r="M88" t="s">
        <v>29</v>
      </c>
      <c r="N88" t="s">
        <v>30</v>
      </c>
      <c r="O88">
        <v>37214</v>
      </c>
      <c r="P88" t="s">
        <v>2944</v>
      </c>
      <c r="Q88" s="2">
        <v>0.23</v>
      </c>
      <c r="R88" s="2">
        <v>70</v>
      </c>
      <c r="S88" s="2">
        <v>159</v>
      </c>
      <c r="T88" t="s">
        <v>2945</v>
      </c>
      <c r="U88" s="6">
        <v>25745</v>
      </c>
      <c r="V88" s="2">
        <v>47037015700</v>
      </c>
      <c r="W88" s="2" t="s">
        <v>68</v>
      </c>
      <c r="X88" s="1">
        <v>45658</v>
      </c>
      <c r="Y88" s="2">
        <v>57600</v>
      </c>
      <c r="Z88" s="2">
        <v>0</v>
      </c>
      <c r="AA88" s="2">
        <v>57600</v>
      </c>
    </row>
    <row r="89" spans="1:27" x14ac:dyDescent="0.3">
      <c r="A89" s="3">
        <v>13</v>
      </c>
      <c r="B89" s="2" t="str">
        <f>"12014006700"</f>
        <v>12014006700</v>
      </c>
      <c r="C89" s="2" t="s">
        <v>2946</v>
      </c>
      <c r="D89" t="s">
        <v>29</v>
      </c>
      <c r="E89" s="2" t="s">
        <v>30</v>
      </c>
      <c r="F89" s="2">
        <v>37217</v>
      </c>
      <c r="G89" s="2" t="s">
        <v>64</v>
      </c>
      <c r="H89" t="s">
        <v>2707</v>
      </c>
      <c r="I89" s="6">
        <v>32076</v>
      </c>
      <c r="J89" s="2" t="s">
        <v>2947</v>
      </c>
      <c r="K89" s="2">
        <v>42500</v>
      </c>
      <c r="L89" t="s">
        <v>2689</v>
      </c>
      <c r="M89" t="s">
        <v>29</v>
      </c>
      <c r="N89" t="s">
        <v>30</v>
      </c>
      <c r="O89">
        <v>37214</v>
      </c>
      <c r="P89" t="s">
        <v>2948</v>
      </c>
      <c r="Q89" s="2">
        <v>0.27</v>
      </c>
      <c r="R89" s="2">
        <v>70</v>
      </c>
      <c r="S89" s="2">
        <v>160</v>
      </c>
      <c r="T89" t="s">
        <v>2949</v>
      </c>
      <c r="U89" s="6">
        <v>20158</v>
      </c>
      <c r="V89" s="2">
        <v>47037015700</v>
      </c>
      <c r="W89" s="2" t="s">
        <v>68</v>
      </c>
      <c r="X89" s="1">
        <v>45658</v>
      </c>
      <c r="Y89" s="2">
        <v>57600</v>
      </c>
      <c r="Z89" s="2">
        <v>0</v>
      </c>
      <c r="AA89" s="2">
        <v>57600</v>
      </c>
    </row>
    <row r="90" spans="1:27" x14ac:dyDescent="0.3">
      <c r="A90" s="3">
        <v>13</v>
      </c>
      <c r="B90" s="2" t="str">
        <f>"12014001700"</f>
        <v>12014001700</v>
      </c>
      <c r="C90" s="2" t="s">
        <v>2950</v>
      </c>
      <c r="D90" t="s">
        <v>29</v>
      </c>
      <c r="E90" s="2" t="s">
        <v>30</v>
      </c>
      <c r="F90" s="2">
        <v>37217</v>
      </c>
      <c r="G90" s="2" t="s">
        <v>64</v>
      </c>
      <c r="H90" t="s">
        <v>2707</v>
      </c>
      <c r="I90" s="6">
        <v>32829</v>
      </c>
      <c r="J90" s="2" t="s">
        <v>2951</v>
      </c>
      <c r="K90" s="2">
        <v>47000</v>
      </c>
      <c r="L90" t="s">
        <v>2689</v>
      </c>
      <c r="M90" t="s">
        <v>29</v>
      </c>
      <c r="N90" t="s">
        <v>30</v>
      </c>
      <c r="O90">
        <v>37214</v>
      </c>
      <c r="P90" t="s">
        <v>2952</v>
      </c>
      <c r="Q90" s="2">
        <v>0.39</v>
      </c>
      <c r="R90" s="2">
        <v>70</v>
      </c>
      <c r="S90" s="2">
        <v>261</v>
      </c>
      <c r="T90" t="s">
        <v>2953</v>
      </c>
      <c r="U90" s="6">
        <v>24236</v>
      </c>
      <c r="V90" s="2">
        <v>47037015700</v>
      </c>
      <c r="W90" s="2" t="s">
        <v>68</v>
      </c>
      <c r="X90" s="1">
        <v>45658</v>
      </c>
      <c r="Y90" s="2">
        <v>57600</v>
      </c>
      <c r="Z90" s="2">
        <v>0</v>
      </c>
      <c r="AA90" s="2">
        <v>57600</v>
      </c>
    </row>
    <row r="91" spans="1:27" x14ac:dyDescent="0.3">
      <c r="A91" s="3">
        <v>13</v>
      </c>
      <c r="B91" s="2" t="str">
        <f>"12014006900"</f>
        <v>12014006900</v>
      </c>
      <c r="C91" s="2" t="s">
        <v>2954</v>
      </c>
      <c r="D91" t="s">
        <v>29</v>
      </c>
      <c r="E91" s="2" t="s">
        <v>30</v>
      </c>
      <c r="F91" s="2">
        <v>37217</v>
      </c>
      <c r="G91" s="2" t="s">
        <v>64</v>
      </c>
      <c r="H91" t="s">
        <v>2707</v>
      </c>
      <c r="I91" s="6">
        <v>32337</v>
      </c>
      <c r="J91" s="2" t="s">
        <v>2955</v>
      </c>
      <c r="K91" s="2">
        <v>44000</v>
      </c>
      <c r="L91" t="s">
        <v>2689</v>
      </c>
      <c r="M91" t="s">
        <v>29</v>
      </c>
      <c r="N91" t="s">
        <v>30</v>
      </c>
      <c r="O91">
        <v>37214</v>
      </c>
      <c r="P91" t="s">
        <v>2956</v>
      </c>
      <c r="Q91" s="2">
        <v>0.21</v>
      </c>
      <c r="R91" s="2">
        <v>70</v>
      </c>
      <c r="S91" s="2">
        <v>144</v>
      </c>
      <c r="T91" t="s">
        <v>2957</v>
      </c>
      <c r="U91" s="6">
        <v>25632</v>
      </c>
      <c r="V91" s="2">
        <v>47037015700</v>
      </c>
      <c r="W91" s="2" t="s">
        <v>68</v>
      </c>
      <c r="X91" s="1">
        <v>45658</v>
      </c>
      <c r="Y91" s="2">
        <v>51800</v>
      </c>
      <c r="Z91" s="2">
        <v>0</v>
      </c>
      <c r="AA91" s="2">
        <v>51800</v>
      </c>
    </row>
    <row r="92" spans="1:27" x14ac:dyDescent="0.3">
      <c r="A92" s="3">
        <v>13</v>
      </c>
      <c r="B92" s="2" t="str">
        <f>"12014006600"</f>
        <v>12014006600</v>
      </c>
      <c r="C92" s="2" t="s">
        <v>2958</v>
      </c>
      <c r="D92" t="s">
        <v>29</v>
      </c>
      <c r="E92" s="2" t="s">
        <v>30</v>
      </c>
      <c r="F92" s="2">
        <v>37217</v>
      </c>
      <c r="G92" s="2" t="s">
        <v>64</v>
      </c>
      <c r="H92" t="s">
        <v>2707</v>
      </c>
      <c r="I92" s="6">
        <v>31769</v>
      </c>
      <c r="J92" s="2" t="s">
        <v>2959</v>
      </c>
      <c r="K92" s="2">
        <v>42500</v>
      </c>
      <c r="L92" t="s">
        <v>2689</v>
      </c>
      <c r="M92" t="s">
        <v>29</v>
      </c>
      <c r="N92" t="s">
        <v>30</v>
      </c>
      <c r="O92">
        <v>37214</v>
      </c>
      <c r="P92" t="s">
        <v>2960</v>
      </c>
      <c r="Q92" s="2">
        <v>0.27</v>
      </c>
      <c r="R92" s="2">
        <v>70</v>
      </c>
      <c r="S92" s="2">
        <v>160</v>
      </c>
      <c r="T92" t="s">
        <v>2961</v>
      </c>
      <c r="U92" s="6">
        <v>27190</v>
      </c>
      <c r="V92" s="2">
        <v>47037015700</v>
      </c>
      <c r="W92" s="2" t="s">
        <v>68</v>
      </c>
      <c r="X92" s="1">
        <v>45658</v>
      </c>
      <c r="Y92" s="2">
        <v>57600</v>
      </c>
      <c r="Z92" s="2">
        <v>0</v>
      </c>
      <c r="AA92" s="2">
        <v>57600</v>
      </c>
    </row>
    <row r="93" spans="1:27" x14ac:dyDescent="0.3">
      <c r="A93" s="3">
        <v>13</v>
      </c>
      <c r="B93" s="2" t="str">
        <f>"12014007000"</f>
        <v>12014007000</v>
      </c>
      <c r="C93" s="2" t="s">
        <v>2962</v>
      </c>
      <c r="D93" t="s">
        <v>29</v>
      </c>
      <c r="E93" s="2" t="s">
        <v>30</v>
      </c>
      <c r="F93" s="2">
        <v>37217</v>
      </c>
      <c r="G93" s="2" t="s">
        <v>64</v>
      </c>
      <c r="H93" t="s">
        <v>2707</v>
      </c>
      <c r="I93" s="6">
        <v>32349</v>
      </c>
      <c r="J93" s="2" t="s">
        <v>2963</v>
      </c>
      <c r="K93" s="2">
        <v>47500</v>
      </c>
      <c r="L93" t="s">
        <v>2689</v>
      </c>
      <c r="M93" t="s">
        <v>29</v>
      </c>
      <c r="N93" t="s">
        <v>30</v>
      </c>
      <c r="O93">
        <v>37214</v>
      </c>
      <c r="P93" t="s">
        <v>2964</v>
      </c>
      <c r="Q93" s="2">
        <v>0.18</v>
      </c>
      <c r="R93" s="2">
        <v>89</v>
      </c>
      <c r="S93" s="2">
        <v>127</v>
      </c>
      <c r="T93" t="s">
        <v>2965</v>
      </c>
      <c r="U93" s="6">
        <v>24653</v>
      </c>
      <c r="V93" s="2">
        <v>47037015700</v>
      </c>
      <c r="W93" s="2" t="s">
        <v>68</v>
      </c>
      <c r="X93" s="1">
        <v>45658</v>
      </c>
      <c r="Y93" s="2">
        <v>51800</v>
      </c>
      <c r="Z93" s="2">
        <v>0</v>
      </c>
      <c r="AA93" s="2">
        <v>51800</v>
      </c>
    </row>
    <row r="94" spans="1:27" x14ac:dyDescent="0.3">
      <c r="A94" s="3">
        <v>13</v>
      </c>
      <c r="B94" s="2" t="str">
        <f>"12014007200"</f>
        <v>12014007200</v>
      </c>
      <c r="C94" s="2" t="s">
        <v>2966</v>
      </c>
      <c r="D94" t="s">
        <v>29</v>
      </c>
      <c r="E94" s="2" t="s">
        <v>30</v>
      </c>
      <c r="F94" s="2">
        <v>37217</v>
      </c>
      <c r="G94" s="2" t="s">
        <v>64</v>
      </c>
      <c r="H94" t="s">
        <v>2707</v>
      </c>
      <c r="I94" s="6">
        <v>34774</v>
      </c>
      <c r="J94" s="2" t="s">
        <v>2967</v>
      </c>
      <c r="K94" s="2" t="s">
        <v>34</v>
      </c>
      <c r="L94" t="s">
        <v>2689</v>
      </c>
      <c r="M94" t="s">
        <v>29</v>
      </c>
      <c r="N94" t="s">
        <v>30</v>
      </c>
      <c r="O94">
        <v>37214</v>
      </c>
      <c r="P94" t="s">
        <v>2968</v>
      </c>
      <c r="Q94" s="2">
        <v>0.41</v>
      </c>
      <c r="R94" s="2">
        <v>70</v>
      </c>
      <c r="S94" s="2">
        <v>267</v>
      </c>
      <c r="T94" t="s">
        <v>2969</v>
      </c>
      <c r="U94" s="6">
        <v>17512</v>
      </c>
      <c r="V94" s="2">
        <v>47037015700</v>
      </c>
      <c r="W94" s="2" t="s">
        <v>68</v>
      </c>
      <c r="X94" s="1">
        <v>45658</v>
      </c>
      <c r="Y94" s="2">
        <v>57600</v>
      </c>
      <c r="Z94" s="2">
        <v>0</v>
      </c>
      <c r="AA94" s="2">
        <v>57600</v>
      </c>
    </row>
    <row r="95" spans="1:27" x14ac:dyDescent="0.3">
      <c r="A95" s="3">
        <v>13</v>
      </c>
      <c r="B95" s="2" t="str">
        <f>"12014006400"</f>
        <v>12014006400</v>
      </c>
      <c r="C95" s="2" t="s">
        <v>2970</v>
      </c>
      <c r="D95" t="s">
        <v>29</v>
      </c>
      <c r="E95" s="2" t="s">
        <v>30</v>
      </c>
      <c r="F95" s="2">
        <v>37217</v>
      </c>
      <c r="G95" s="2" t="s">
        <v>64</v>
      </c>
      <c r="H95" t="s">
        <v>2707</v>
      </c>
      <c r="I95" s="6">
        <v>31777</v>
      </c>
      <c r="J95" s="2" t="s">
        <v>2971</v>
      </c>
      <c r="K95" s="2">
        <v>41500</v>
      </c>
      <c r="L95" t="s">
        <v>2689</v>
      </c>
      <c r="M95" t="s">
        <v>29</v>
      </c>
      <c r="N95" t="s">
        <v>30</v>
      </c>
      <c r="O95">
        <v>37214</v>
      </c>
      <c r="P95" t="s">
        <v>2972</v>
      </c>
      <c r="Q95" s="2">
        <v>0.27</v>
      </c>
      <c r="R95" s="2">
        <v>70</v>
      </c>
      <c r="S95" s="2">
        <v>161</v>
      </c>
      <c r="T95" t="s">
        <v>2973</v>
      </c>
      <c r="U95" s="6">
        <v>26925</v>
      </c>
      <c r="V95" s="2">
        <v>47037015700</v>
      </c>
      <c r="W95" s="2" t="s">
        <v>68</v>
      </c>
      <c r="X95" s="1">
        <v>45658</v>
      </c>
      <c r="Y95" s="2">
        <v>57600</v>
      </c>
      <c r="Z95" s="2">
        <v>0</v>
      </c>
      <c r="AA95" s="2">
        <v>57600</v>
      </c>
    </row>
    <row r="96" spans="1:27" x14ac:dyDescent="0.3">
      <c r="A96" s="3">
        <v>13</v>
      </c>
      <c r="B96" s="2" t="str">
        <f>"12014007100"</f>
        <v>12014007100</v>
      </c>
      <c r="C96" s="2" t="s">
        <v>2974</v>
      </c>
      <c r="D96" t="s">
        <v>29</v>
      </c>
      <c r="E96" s="2" t="s">
        <v>30</v>
      </c>
      <c r="F96" s="2">
        <v>37217</v>
      </c>
      <c r="G96" s="2" t="s">
        <v>64</v>
      </c>
      <c r="H96" t="s">
        <v>2707</v>
      </c>
      <c r="I96" s="6">
        <v>32566</v>
      </c>
      <c r="J96" s="2" t="s">
        <v>2975</v>
      </c>
      <c r="K96" s="2">
        <v>50750</v>
      </c>
      <c r="L96" t="s">
        <v>2689</v>
      </c>
      <c r="M96" t="s">
        <v>29</v>
      </c>
      <c r="N96" t="s">
        <v>30</v>
      </c>
      <c r="O96">
        <v>37214</v>
      </c>
      <c r="P96" t="s">
        <v>2976</v>
      </c>
      <c r="Q96" s="2">
        <v>0.45</v>
      </c>
      <c r="R96" s="2">
        <v>142</v>
      </c>
      <c r="S96" s="2">
        <v>159</v>
      </c>
      <c r="T96" t="s">
        <v>2977</v>
      </c>
      <c r="U96" s="6">
        <v>24649</v>
      </c>
      <c r="V96" s="2">
        <v>47037015700</v>
      </c>
      <c r="W96" s="2" t="s">
        <v>68</v>
      </c>
      <c r="X96" s="1">
        <v>45658</v>
      </c>
      <c r="Y96" s="2">
        <v>57600</v>
      </c>
      <c r="Z96" s="2">
        <v>0</v>
      </c>
      <c r="AA96" s="2">
        <v>57600</v>
      </c>
    </row>
    <row r="97" spans="1:27" x14ac:dyDescent="0.3">
      <c r="A97" s="3">
        <v>13</v>
      </c>
      <c r="B97" s="2" t="str">
        <f>"12014006300"</f>
        <v>12014006300</v>
      </c>
      <c r="C97" s="2" t="s">
        <v>2978</v>
      </c>
      <c r="D97" t="s">
        <v>29</v>
      </c>
      <c r="E97" s="2" t="s">
        <v>30</v>
      </c>
      <c r="F97" s="2">
        <v>37217</v>
      </c>
      <c r="G97" s="2" t="s">
        <v>64</v>
      </c>
      <c r="H97" t="s">
        <v>2707</v>
      </c>
      <c r="I97" s="6">
        <v>31883</v>
      </c>
      <c r="J97" s="2" t="s">
        <v>2979</v>
      </c>
      <c r="K97" s="2">
        <v>47000</v>
      </c>
      <c r="L97" t="s">
        <v>2689</v>
      </c>
      <c r="M97" t="s">
        <v>29</v>
      </c>
      <c r="N97" t="s">
        <v>30</v>
      </c>
      <c r="O97">
        <v>37214</v>
      </c>
      <c r="P97" t="s">
        <v>2980</v>
      </c>
      <c r="Q97" s="2">
        <v>0.27</v>
      </c>
      <c r="R97" s="2">
        <v>70</v>
      </c>
      <c r="S97" s="2">
        <v>161</v>
      </c>
      <c r="T97" t="s">
        <v>2981</v>
      </c>
      <c r="U97" s="6">
        <v>22799</v>
      </c>
      <c r="V97" s="2">
        <v>47037015700</v>
      </c>
      <c r="W97" s="2" t="s">
        <v>68</v>
      </c>
      <c r="X97" s="1">
        <v>45658</v>
      </c>
      <c r="Y97" s="2">
        <v>57600</v>
      </c>
      <c r="Z97" s="2">
        <v>0</v>
      </c>
      <c r="AA97" s="2">
        <v>57600</v>
      </c>
    </row>
    <row r="98" spans="1:27" x14ac:dyDescent="0.3">
      <c r="A98" s="3">
        <v>13</v>
      </c>
      <c r="B98" s="2" t="str">
        <f>"12100010700"</f>
        <v>12100010700</v>
      </c>
      <c r="C98" s="2" t="s">
        <v>2982</v>
      </c>
      <c r="D98" t="s">
        <v>29</v>
      </c>
      <c r="E98" s="2" t="s">
        <v>30</v>
      </c>
      <c r="F98" s="2">
        <v>37217</v>
      </c>
      <c r="G98" s="2" t="s">
        <v>2490</v>
      </c>
      <c r="H98" t="s">
        <v>2707</v>
      </c>
      <c r="I98" s="6">
        <v>34729</v>
      </c>
      <c r="J98" s="2" t="s">
        <v>2983</v>
      </c>
      <c r="K98" s="2">
        <v>200000</v>
      </c>
      <c r="L98" t="s">
        <v>2689</v>
      </c>
      <c r="M98" t="s">
        <v>29</v>
      </c>
      <c r="N98" t="s">
        <v>30</v>
      </c>
      <c r="O98">
        <v>37214</v>
      </c>
      <c r="P98" t="s">
        <v>2984</v>
      </c>
      <c r="Q98" s="2">
        <v>67.569999999999993</v>
      </c>
      <c r="R98" s="2">
        <v>1168</v>
      </c>
      <c r="S98" s="2">
        <v>0</v>
      </c>
      <c r="T98" t="s">
        <v>2710</v>
      </c>
      <c r="U98" s="6">
        <v>41814</v>
      </c>
      <c r="V98" s="2">
        <v>47037980100</v>
      </c>
      <c r="W98" s="2" t="s">
        <v>68</v>
      </c>
      <c r="X98" s="1">
        <v>45658</v>
      </c>
      <c r="Y98" s="2">
        <v>9544800</v>
      </c>
      <c r="Z98" s="2">
        <v>2112100</v>
      </c>
      <c r="AA98" s="2">
        <v>7432700</v>
      </c>
    </row>
    <row r="99" spans="1:27" x14ac:dyDescent="0.3">
      <c r="A99" s="3">
        <v>13</v>
      </c>
      <c r="B99" s="2" t="str">
        <f>"12015001000"</f>
        <v>12015001000</v>
      </c>
      <c r="C99" s="2" t="s">
        <v>2985</v>
      </c>
      <c r="D99" t="s">
        <v>29</v>
      </c>
      <c r="E99" s="2" t="s">
        <v>30</v>
      </c>
      <c r="F99" s="2">
        <v>37217</v>
      </c>
      <c r="G99" s="2" t="s">
        <v>64</v>
      </c>
      <c r="H99" t="s">
        <v>2707</v>
      </c>
      <c r="I99" s="6">
        <v>31812</v>
      </c>
      <c r="J99" s="2" t="s">
        <v>2986</v>
      </c>
      <c r="K99" s="2">
        <v>41000</v>
      </c>
      <c r="L99" t="s">
        <v>2689</v>
      </c>
      <c r="M99" t="s">
        <v>29</v>
      </c>
      <c r="N99" t="s">
        <v>30</v>
      </c>
      <c r="O99">
        <v>37214</v>
      </c>
      <c r="P99" t="s">
        <v>2987</v>
      </c>
      <c r="Q99" s="2">
        <v>0.28999999999999998</v>
      </c>
      <c r="R99" s="2">
        <v>80</v>
      </c>
      <c r="S99" s="2">
        <v>165</v>
      </c>
      <c r="T99" t="s">
        <v>2988</v>
      </c>
      <c r="U99" s="6">
        <v>27145</v>
      </c>
      <c r="V99" s="2">
        <v>47037015700</v>
      </c>
      <c r="W99" s="2" t="s">
        <v>68</v>
      </c>
      <c r="X99" s="1">
        <v>45658</v>
      </c>
      <c r="Y99" s="2">
        <v>57600</v>
      </c>
      <c r="Z99" s="2">
        <v>0</v>
      </c>
      <c r="AA99" s="2">
        <v>57600</v>
      </c>
    </row>
    <row r="100" spans="1:27" x14ac:dyDescent="0.3">
      <c r="A100" s="3">
        <v>13</v>
      </c>
      <c r="B100" s="2" t="str">
        <f>"12014001600"</f>
        <v>12014001600</v>
      </c>
      <c r="C100" s="2" t="s">
        <v>2989</v>
      </c>
      <c r="D100" t="s">
        <v>29</v>
      </c>
      <c r="E100" s="2" t="s">
        <v>30</v>
      </c>
      <c r="F100" s="2">
        <v>37217</v>
      </c>
      <c r="G100" s="2" t="s">
        <v>64</v>
      </c>
      <c r="H100" t="s">
        <v>2707</v>
      </c>
      <c r="I100" s="6">
        <v>32853</v>
      </c>
      <c r="J100" s="2" t="s">
        <v>2990</v>
      </c>
      <c r="K100" s="2">
        <v>46000</v>
      </c>
      <c r="L100" t="s">
        <v>2689</v>
      </c>
      <c r="M100" t="s">
        <v>29</v>
      </c>
      <c r="N100" t="s">
        <v>30</v>
      </c>
      <c r="O100">
        <v>37214</v>
      </c>
      <c r="P100" t="s">
        <v>2991</v>
      </c>
      <c r="Q100" s="2">
        <v>0.36</v>
      </c>
      <c r="R100" s="2">
        <v>66</v>
      </c>
      <c r="S100" s="2">
        <v>258</v>
      </c>
      <c r="T100" t="s">
        <v>2992</v>
      </c>
      <c r="U100" s="6">
        <v>25141</v>
      </c>
      <c r="V100" s="2">
        <v>47037015700</v>
      </c>
      <c r="W100" s="2" t="s">
        <v>68</v>
      </c>
      <c r="X100" s="1">
        <v>45658</v>
      </c>
      <c r="Y100" s="2">
        <v>57600</v>
      </c>
      <c r="Z100" s="2">
        <v>0</v>
      </c>
      <c r="AA100" s="2">
        <v>57600</v>
      </c>
    </row>
    <row r="101" spans="1:27" x14ac:dyDescent="0.3">
      <c r="A101" s="3">
        <v>13</v>
      </c>
      <c r="B101" s="2" t="str">
        <f>"12014007600"</f>
        <v>12014007600</v>
      </c>
      <c r="C101" s="2" t="s">
        <v>2993</v>
      </c>
      <c r="D101" t="s">
        <v>29</v>
      </c>
      <c r="E101" s="2" t="s">
        <v>30</v>
      </c>
      <c r="F101" s="2">
        <v>37217</v>
      </c>
      <c r="G101" s="2" t="s">
        <v>64</v>
      </c>
      <c r="H101" t="s">
        <v>2707</v>
      </c>
      <c r="I101" s="6">
        <v>32678</v>
      </c>
      <c r="J101" s="2" t="s">
        <v>2994</v>
      </c>
      <c r="K101" s="2">
        <v>65000</v>
      </c>
      <c r="L101" t="s">
        <v>2689</v>
      </c>
      <c r="M101" t="s">
        <v>29</v>
      </c>
      <c r="N101" t="s">
        <v>30</v>
      </c>
      <c r="O101">
        <v>37214</v>
      </c>
      <c r="P101" t="s">
        <v>2995</v>
      </c>
      <c r="Q101" s="2">
        <v>0.44</v>
      </c>
      <c r="R101" s="2">
        <v>70</v>
      </c>
      <c r="S101" s="2">
        <v>208</v>
      </c>
      <c r="T101" t="s">
        <v>2996</v>
      </c>
      <c r="U101" s="6">
        <v>23550</v>
      </c>
      <c r="V101" s="2">
        <v>47037015700</v>
      </c>
      <c r="W101" s="2" t="s">
        <v>68</v>
      </c>
      <c r="X101" s="1">
        <v>45658</v>
      </c>
      <c r="Y101" s="2">
        <v>57600</v>
      </c>
      <c r="Z101" s="2">
        <v>0</v>
      </c>
      <c r="AA101" s="2">
        <v>57600</v>
      </c>
    </row>
    <row r="102" spans="1:27" x14ac:dyDescent="0.3">
      <c r="A102" s="3">
        <v>13</v>
      </c>
      <c r="B102" s="2" t="str">
        <f>"12014010400"</f>
        <v>12014010400</v>
      </c>
      <c r="C102" s="2" t="s">
        <v>2997</v>
      </c>
      <c r="D102" t="s">
        <v>29</v>
      </c>
      <c r="E102" s="2" t="s">
        <v>30</v>
      </c>
      <c r="F102" s="2">
        <v>37217</v>
      </c>
      <c r="G102" s="2" t="s">
        <v>64</v>
      </c>
      <c r="H102" t="s">
        <v>2707</v>
      </c>
      <c r="I102" s="6">
        <v>32590</v>
      </c>
      <c r="J102" s="2" t="s">
        <v>2998</v>
      </c>
      <c r="K102" s="2">
        <v>65000</v>
      </c>
      <c r="L102" t="s">
        <v>2689</v>
      </c>
      <c r="M102" t="s">
        <v>29</v>
      </c>
      <c r="N102" t="s">
        <v>30</v>
      </c>
      <c r="O102">
        <v>37214</v>
      </c>
      <c r="P102" t="s">
        <v>2999</v>
      </c>
      <c r="Q102" s="2">
        <v>0.39</v>
      </c>
      <c r="R102" s="2">
        <v>70</v>
      </c>
      <c r="S102" s="2">
        <v>283</v>
      </c>
      <c r="T102" t="s">
        <v>3000</v>
      </c>
      <c r="U102" s="6">
        <v>26485</v>
      </c>
      <c r="V102" s="2">
        <v>47037015700</v>
      </c>
      <c r="W102" s="2" t="s">
        <v>68</v>
      </c>
      <c r="X102" s="1">
        <v>45658</v>
      </c>
      <c r="Y102" s="2">
        <v>57600</v>
      </c>
      <c r="Z102" s="2">
        <v>0</v>
      </c>
      <c r="AA102" s="2">
        <v>57600</v>
      </c>
    </row>
    <row r="103" spans="1:27" x14ac:dyDescent="0.3">
      <c r="A103" s="3">
        <v>13</v>
      </c>
      <c r="B103" s="2" t="str">
        <f>"12015001100"</f>
        <v>12015001100</v>
      </c>
      <c r="C103" s="2" t="s">
        <v>3001</v>
      </c>
      <c r="D103" t="s">
        <v>29</v>
      </c>
      <c r="E103" s="2" t="s">
        <v>30</v>
      </c>
      <c r="F103" s="2">
        <v>37217</v>
      </c>
      <c r="G103" s="2" t="s">
        <v>64</v>
      </c>
      <c r="H103" t="s">
        <v>2707</v>
      </c>
      <c r="I103" s="6">
        <v>31769</v>
      </c>
      <c r="J103" s="2" t="s">
        <v>3002</v>
      </c>
      <c r="K103" s="2">
        <v>42000</v>
      </c>
      <c r="L103" t="s">
        <v>2689</v>
      </c>
      <c r="M103" t="s">
        <v>29</v>
      </c>
      <c r="N103" t="s">
        <v>30</v>
      </c>
      <c r="O103">
        <v>37214</v>
      </c>
      <c r="P103" t="s">
        <v>3003</v>
      </c>
      <c r="Q103" s="2">
        <v>0.28999999999999998</v>
      </c>
      <c r="R103" s="2">
        <v>54</v>
      </c>
      <c r="S103" s="2">
        <v>165</v>
      </c>
      <c r="T103" t="s">
        <v>3004</v>
      </c>
      <c r="U103" s="6">
        <v>25700</v>
      </c>
      <c r="V103" s="2">
        <v>47037015700</v>
      </c>
      <c r="W103" s="2" t="s">
        <v>68</v>
      </c>
      <c r="X103" s="1">
        <v>45658</v>
      </c>
      <c r="Y103" s="2">
        <v>57600</v>
      </c>
      <c r="Z103" s="2">
        <v>0</v>
      </c>
      <c r="AA103" s="2">
        <v>57600</v>
      </c>
    </row>
    <row r="104" spans="1:27" x14ac:dyDescent="0.3">
      <c r="A104" s="3">
        <v>13</v>
      </c>
      <c r="B104" s="2" t="str">
        <f>"12014007700"</f>
        <v>12014007700</v>
      </c>
      <c r="C104" s="2" t="s">
        <v>3005</v>
      </c>
      <c r="D104" t="s">
        <v>29</v>
      </c>
      <c r="E104" s="2" t="s">
        <v>30</v>
      </c>
      <c r="F104" s="2">
        <v>37217</v>
      </c>
      <c r="G104" s="2" t="s">
        <v>64</v>
      </c>
      <c r="H104" t="s">
        <v>2707</v>
      </c>
      <c r="I104" s="6">
        <v>32358</v>
      </c>
      <c r="J104" s="2" t="s">
        <v>3006</v>
      </c>
      <c r="K104" s="2">
        <v>54000</v>
      </c>
      <c r="L104" t="s">
        <v>2689</v>
      </c>
      <c r="M104" t="s">
        <v>29</v>
      </c>
      <c r="N104" t="s">
        <v>30</v>
      </c>
      <c r="O104">
        <v>37214</v>
      </c>
      <c r="P104" t="s">
        <v>3007</v>
      </c>
      <c r="Q104" s="2">
        <v>0.35</v>
      </c>
      <c r="R104" s="2">
        <v>70</v>
      </c>
      <c r="S104" s="2">
        <v>208</v>
      </c>
      <c r="T104" t="s">
        <v>3008</v>
      </c>
      <c r="U104" s="6">
        <v>17700</v>
      </c>
      <c r="V104" s="2">
        <v>47037015700</v>
      </c>
      <c r="W104" s="2" t="s">
        <v>68</v>
      </c>
      <c r="X104" s="1">
        <v>45658</v>
      </c>
      <c r="Y104" s="2">
        <v>57600</v>
      </c>
      <c r="Z104" s="2">
        <v>0</v>
      </c>
      <c r="AA104" s="2">
        <v>57600</v>
      </c>
    </row>
    <row r="105" spans="1:27" x14ac:dyDescent="0.3">
      <c r="A105" s="3">
        <v>13</v>
      </c>
      <c r="B105" s="2" t="str">
        <f>"12014007800"</f>
        <v>12014007800</v>
      </c>
      <c r="C105" s="2" t="s">
        <v>3009</v>
      </c>
      <c r="D105" t="s">
        <v>29</v>
      </c>
      <c r="E105" s="2" t="s">
        <v>30</v>
      </c>
      <c r="F105" s="2">
        <v>37217</v>
      </c>
      <c r="G105" s="2" t="s">
        <v>64</v>
      </c>
      <c r="H105" t="s">
        <v>2707</v>
      </c>
      <c r="I105" s="6">
        <v>32358</v>
      </c>
      <c r="J105" s="2" t="s">
        <v>3010</v>
      </c>
      <c r="K105" s="2">
        <v>53000</v>
      </c>
      <c r="L105" t="s">
        <v>2689</v>
      </c>
      <c r="M105" t="s">
        <v>29</v>
      </c>
      <c r="N105" t="s">
        <v>30</v>
      </c>
      <c r="O105">
        <v>37214</v>
      </c>
      <c r="P105" t="s">
        <v>3011</v>
      </c>
      <c r="Q105" s="2">
        <v>0.34</v>
      </c>
      <c r="R105" s="2">
        <v>70</v>
      </c>
      <c r="S105" s="2">
        <v>175</v>
      </c>
      <c r="T105" t="s">
        <v>3012</v>
      </c>
      <c r="U105" s="6">
        <v>25648</v>
      </c>
      <c r="V105" s="2">
        <v>47037015700</v>
      </c>
      <c r="W105" s="2" t="s">
        <v>68</v>
      </c>
      <c r="X105" s="1">
        <v>45658</v>
      </c>
      <c r="Y105" s="2">
        <v>57600</v>
      </c>
      <c r="Z105" s="2">
        <v>0</v>
      </c>
      <c r="AA105" s="2">
        <v>57600</v>
      </c>
    </row>
    <row r="106" spans="1:27" x14ac:dyDescent="0.3">
      <c r="A106" s="3">
        <v>13</v>
      </c>
      <c r="B106" s="2" t="str">
        <f>"12014007900"</f>
        <v>12014007900</v>
      </c>
      <c r="C106" s="2" t="s">
        <v>3013</v>
      </c>
      <c r="D106" t="s">
        <v>29</v>
      </c>
      <c r="E106" s="2" t="s">
        <v>30</v>
      </c>
      <c r="F106" s="2">
        <v>37217</v>
      </c>
      <c r="G106" s="2" t="s">
        <v>64</v>
      </c>
      <c r="H106" t="s">
        <v>2707</v>
      </c>
      <c r="I106" s="6">
        <v>32338</v>
      </c>
      <c r="J106" s="2" t="s">
        <v>3014</v>
      </c>
      <c r="K106" s="2">
        <v>42000</v>
      </c>
      <c r="L106" t="s">
        <v>2689</v>
      </c>
      <c r="M106" t="s">
        <v>29</v>
      </c>
      <c r="N106" t="s">
        <v>30</v>
      </c>
      <c r="O106">
        <v>37214</v>
      </c>
      <c r="P106" t="s">
        <v>3015</v>
      </c>
      <c r="Q106" s="2">
        <v>0.27</v>
      </c>
      <c r="R106" s="2">
        <v>71</v>
      </c>
      <c r="S106" s="2">
        <v>172</v>
      </c>
      <c r="T106" t="s">
        <v>3016</v>
      </c>
      <c r="U106" s="6">
        <v>20844</v>
      </c>
      <c r="V106" s="2">
        <v>47037015700</v>
      </c>
      <c r="W106" s="2" t="s">
        <v>68</v>
      </c>
      <c r="X106" s="1">
        <v>45658</v>
      </c>
      <c r="Y106" s="2">
        <v>57600</v>
      </c>
      <c r="Z106" s="2">
        <v>0</v>
      </c>
      <c r="AA106" s="2">
        <v>57600</v>
      </c>
    </row>
    <row r="107" spans="1:27" x14ac:dyDescent="0.3">
      <c r="A107" s="3">
        <v>13</v>
      </c>
      <c r="B107" s="2" t="str">
        <f>"12014010300"</f>
        <v>12014010300</v>
      </c>
      <c r="C107" s="2" t="s">
        <v>3017</v>
      </c>
      <c r="D107" t="s">
        <v>29</v>
      </c>
      <c r="E107" s="2" t="s">
        <v>30</v>
      </c>
      <c r="F107" s="2">
        <v>37217</v>
      </c>
      <c r="G107" s="2" t="s">
        <v>64</v>
      </c>
      <c r="H107" t="s">
        <v>2707</v>
      </c>
      <c r="I107" s="6">
        <v>32531</v>
      </c>
      <c r="J107" s="2" t="s">
        <v>3018</v>
      </c>
      <c r="K107" s="2">
        <v>52000</v>
      </c>
      <c r="L107" t="s">
        <v>2689</v>
      </c>
      <c r="M107" t="s">
        <v>29</v>
      </c>
      <c r="N107" t="s">
        <v>30</v>
      </c>
      <c r="O107">
        <v>37214</v>
      </c>
      <c r="P107" t="s">
        <v>3019</v>
      </c>
      <c r="Q107" s="2">
        <v>0.46</v>
      </c>
      <c r="R107" s="2">
        <v>124</v>
      </c>
      <c r="S107" s="2">
        <v>328</v>
      </c>
      <c r="T107" t="s">
        <v>3020</v>
      </c>
      <c r="U107" s="6">
        <v>26679</v>
      </c>
      <c r="V107" s="2">
        <v>47037015700</v>
      </c>
      <c r="W107" s="2" t="s">
        <v>68</v>
      </c>
      <c r="X107" s="1">
        <v>45658</v>
      </c>
      <c r="Y107" s="2">
        <v>63400</v>
      </c>
      <c r="Z107" s="2">
        <v>0</v>
      </c>
      <c r="AA107" s="2">
        <v>63400</v>
      </c>
    </row>
    <row r="108" spans="1:27" x14ac:dyDescent="0.3">
      <c r="A108" s="3">
        <v>13</v>
      </c>
      <c r="B108" s="2" t="str">
        <f>"12014008000"</f>
        <v>12014008000</v>
      </c>
      <c r="C108" s="2" t="s">
        <v>3021</v>
      </c>
      <c r="D108" t="s">
        <v>29</v>
      </c>
      <c r="E108" s="2" t="s">
        <v>30</v>
      </c>
      <c r="F108" s="2">
        <v>37217</v>
      </c>
      <c r="G108" s="2" t="s">
        <v>64</v>
      </c>
      <c r="H108" t="s">
        <v>2707</v>
      </c>
      <c r="I108" s="6">
        <v>32062</v>
      </c>
      <c r="J108" s="2" t="s">
        <v>3022</v>
      </c>
      <c r="K108" s="2">
        <v>44500</v>
      </c>
      <c r="L108" t="s">
        <v>2689</v>
      </c>
      <c r="M108" t="s">
        <v>29</v>
      </c>
      <c r="N108" t="s">
        <v>30</v>
      </c>
      <c r="O108">
        <v>37214</v>
      </c>
      <c r="P108" t="s">
        <v>3023</v>
      </c>
      <c r="Q108" s="2">
        <v>0.27</v>
      </c>
      <c r="R108" s="2">
        <v>70</v>
      </c>
      <c r="S108" s="2">
        <v>172</v>
      </c>
      <c r="T108" t="s">
        <v>3024</v>
      </c>
      <c r="U108" s="6">
        <v>18549</v>
      </c>
      <c r="V108" s="2">
        <v>47037015700</v>
      </c>
      <c r="W108" s="2" t="s">
        <v>68</v>
      </c>
      <c r="X108" s="1">
        <v>45658</v>
      </c>
      <c r="Y108" s="2">
        <v>57600</v>
      </c>
      <c r="Z108" s="2">
        <v>0</v>
      </c>
      <c r="AA108" s="2">
        <v>57600</v>
      </c>
    </row>
    <row r="109" spans="1:27" x14ac:dyDescent="0.3">
      <c r="A109" s="3">
        <v>13</v>
      </c>
      <c r="B109" s="2" t="str">
        <f>"12014008200"</f>
        <v>12014008200</v>
      </c>
      <c r="C109" s="2" t="s">
        <v>3025</v>
      </c>
      <c r="D109" t="s">
        <v>29</v>
      </c>
      <c r="E109" s="2" t="s">
        <v>30</v>
      </c>
      <c r="F109" s="2">
        <v>37217</v>
      </c>
      <c r="G109" s="2" t="s">
        <v>64</v>
      </c>
      <c r="H109" t="s">
        <v>2707</v>
      </c>
      <c r="I109" s="6">
        <v>32241</v>
      </c>
      <c r="J109" s="2" t="s">
        <v>3026</v>
      </c>
      <c r="K109" s="2">
        <v>74000</v>
      </c>
      <c r="L109" t="s">
        <v>2689</v>
      </c>
      <c r="M109" t="s">
        <v>29</v>
      </c>
      <c r="N109" t="s">
        <v>30</v>
      </c>
      <c r="O109">
        <v>37214</v>
      </c>
      <c r="P109" t="s">
        <v>3027</v>
      </c>
      <c r="Q109" s="2">
        <v>0.26</v>
      </c>
      <c r="R109" s="2">
        <v>70</v>
      </c>
      <c r="S109" s="2">
        <v>168</v>
      </c>
      <c r="T109" t="s">
        <v>3028</v>
      </c>
      <c r="U109" s="6">
        <v>17408</v>
      </c>
      <c r="V109" s="2">
        <v>47037015700</v>
      </c>
      <c r="W109" s="2" t="s">
        <v>68</v>
      </c>
      <c r="X109" s="1">
        <v>45658</v>
      </c>
      <c r="Y109" s="2">
        <v>57600</v>
      </c>
      <c r="Z109" s="2">
        <v>0</v>
      </c>
      <c r="AA109" s="2">
        <v>57600</v>
      </c>
    </row>
    <row r="110" spans="1:27" x14ac:dyDescent="0.3">
      <c r="A110" s="3">
        <v>13</v>
      </c>
      <c r="B110" s="2" t="str">
        <f>"12014008300"</f>
        <v>12014008300</v>
      </c>
      <c r="C110" s="2" t="s">
        <v>3029</v>
      </c>
      <c r="D110" t="s">
        <v>29</v>
      </c>
      <c r="E110" s="2" t="s">
        <v>30</v>
      </c>
      <c r="F110" s="2">
        <v>37217</v>
      </c>
      <c r="G110" s="2" t="s">
        <v>64</v>
      </c>
      <c r="H110" t="s">
        <v>2707</v>
      </c>
      <c r="I110" s="6">
        <v>32076</v>
      </c>
      <c r="J110" s="2" t="s">
        <v>3030</v>
      </c>
      <c r="K110" s="2">
        <v>54000</v>
      </c>
      <c r="L110" t="s">
        <v>2689</v>
      </c>
      <c r="M110" t="s">
        <v>29</v>
      </c>
      <c r="N110" t="s">
        <v>30</v>
      </c>
      <c r="O110">
        <v>37214</v>
      </c>
      <c r="P110" t="s">
        <v>3031</v>
      </c>
      <c r="Q110" s="2">
        <v>0.25</v>
      </c>
      <c r="R110" s="2">
        <v>70</v>
      </c>
      <c r="S110" s="2">
        <v>166</v>
      </c>
      <c r="T110" t="s">
        <v>3032</v>
      </c>
      <c r="U110" s="6">
        <v>17299</v>
      </c>
      <c r="V110" s="2">
        <v>47037015700</v>
      </c>
      <c r="W110" s="2" t="s">
        <v>68</v>
      </c>
      <c r="X110" s="1">
        <v>45658</v>
      </c>
      <c r="Y110" s="2">
        <v>57600</v>
      </c>
      <c r="Z110" s="2">
        <v>0</v>
      </c>
      <c r="AA110" s="2">
        <v>57600</v>
      </c>
    </row>
    <row r="111" spans="1:27" x14ac:dyDescent="0.3">
      <c r="A111" s="3">
        <v>13</v>
      </c>
      <c r="B111" s="2" t="str">
        <f>"12014008400"</f>
        <v>12014008400</v>
      </c>
      <c r="C111" s="2" t="s">
        <v>3033</v>
      </c>
      <c r="D111" t="s">
        <v>29</v>
      </c>
      <c r="E111" s="2" t="s">
        <v>30</v>
      </c>
      <c r="F111" s="2">
        <v>37217</v>
      </c>
      <c r="G111" s="2" t="s">
        <v>64</v>
      </c>
      <c r="H111" t="s">
        <v>2707</v>
      </c>
      <c r="I111" s="6">
        <v>32069</v>
      </c>
      <c r="J111" s="2" t="s">
        <v>3034</v>
      </c>
      <c r="K111" s="2">
        <v>42000</v>
      </c>
      <c r="L111" t="s">
        <v>2689</v>
      </c>
      <c r="M111" t="s">
        <v>29</v>
      </c>
      <c r="N111" t="s">
        <v>30</v>
      </c>
      <c r="O111">
        <v>37214</v>
      </c>
      <c r="P111" t="s">
        <v>3035</v>
      </c>
      <c r="Q111" s="2">
        <v>0.27</v>
      </c>
      <c r="R111" s="2">
        <v>70</v>
      </c>
      <c r="S111" s="2">
        <v>164</v>
      </c>
      <c r="T111" t="s">
        <v>3036</v>
      </c>
      <c r="U111" s="6">
        <v>26077</v>
      </c>
      <c r="V111" s="2">
        <v>47037015700</v>
      </c>
      <c r="W111" s="2" t="s">
        <v>68</v>
      </c>
      <c r="X111" s="1">
        <v>45658</v>
      </c>
      <c r="Y111" s="2">
        <v>57600</v>
      </c>
      <c r="Z111" s="2">
        <v>0</v>
      </c>
      <c r="AA111" s="2">
        <v>57600</v>
      </c>
    </row>
    <row r="112" spans="1:27" x14ac:dyDescent="0.3">
      <c r="A112" s="3">
        <v>13</v>
      </c>
      <c r="B112" s="2" t="str">
        <f>"12014008500"</f>
        <v>12014008500</v>
      </c>
      <c r="C112" s="2" t="s">
        <v>3037</v>
      </c>
      <c r="D112" t="s">
        <v>29</v>
      </c>
      <c r="E112" s="2" t="s">
        <v>30</v>
      </c>
      <c r="F112" s="2">
        <v>37217</v>
      </c>
      <c r="G112" s="2" t="s">
        <v>64</v>
      </c>
      <c r="H112" t="s">
        <v>2707</v>
      </c>
      <c r="I112" s="6">
        <v>32091</v>
      </c>
      <c r="J112" s="2" t="s">
        <v>3038</v>
      </c>
      <c r="K112" s="2">
        <v>45000</v>
      </c>
      <c r="L112" t="s">
        <v>2689</v>
      </c>
      <c r="M112" t="s">
        <v>29</v>
      </c>
      <c r="N112" t="s">
        <v>30</v>
      </c>
      <c r="O112">
        <v>37214</v>
      </c>
      <c r="P112" t="s">
        <v>3039</v>
      </c>
      <c r="Q112" s="2">
        <v>0.27</v>
      </c>
      <c r="R112" s="2">
        <v>70</v>
      </c>
      <c r="S112" s="2">
        <v>163</v>
      </c>
      <c r="T112" t="s">
        <v>3040</v>
      </c>
      <c r="U112" s="6">
        <v>26564</v>
      </c>
      <c r="V112" s="2">
        <v>47037015700</v>
      </c>
      <c r="W112" s="2" t="s">
        <v>68</v>
      </c>
      <c r="X112" s="1">
        <v>45658</v>
      </c>
      <c r="Y112" s="2">
        <v>57600</v>
      </c>
      <c r="Z112" s="2">
        <v>0</v>
      </c>
      <c r="AA112" s="2">
        <v>57600</v>
      </c>
    </row>
    <row r="113" spans="1:27" x14ac:dyDescent="0.3">
      <c r="A113" s="3">
        <v>13</v>
      </c>
      <c r="B113" s="2" t="str">
        <f>"12015001200"</f>
        <v>12015001200</v>
      </c>
      <c r="C113" s="2" t="s">
        <v>3041</v>
      </c>
      <c r="D113" t="s">
        <v>29</v>
      </c>
      <c r="E113" s="2" t="s">
        <v>30</v>
      </c>
      <c r="F113" s="2">
        <v>37217</v>
      </c>
      <c r="G113" s="2" t="s">
        <v>64</v>
      </c>
      <c r="H113" t="s">
        <v>2707</v>
      </c>
      <c r="I113" s="6">
        <v>32171</v>
      </c>
      <c r="J113" s="2" t="s">
        <v>3042</v>
      </c>
      <c r="K113" s="2">
        <v>52000</v>
      </c>
      <c r="L113" t="s">
        <v>2689</v>
      </c>
      <c r="M113" t="s">
        <v>29</v>
      </c>
      <c r="N113" t="s">
        <v>30</v>
      </c>
      <c r="O113">
        <v>37214</v>
      </c>
      <c r="P113" t="s">
        <v>3043</v>
      </c>
      <c r="Q113" s="2">
        <v>0.28999999999999998</v>
      </c>
      <c r="R113" s="2">
        <v>65</v>
      </c>
      <c r="S113" s="2">
        <v>143</v>
      </c>
      <c r="T113" t="s">
        <v>3044</v>
      </c>
      <c r="U113" s="6">
        <v>33721</v>
      </c>
      <c r="V113" s="2">
        <v>47037015700</v>
      </c>
      <c r="W113" s="2" t="s">
        <v>68</v>
      </c>
      <c r="X113" s="1">
        <v>45658</v>
      </c>
      <c r="Y113" s="2">
        <v>57600</v>
      </c>
      <c r="Z113" s="2">
        <v>0</v>
      </c>
      <c r="AA113" s="2">
        <v>57600</v>
      </c>
    </row>
    <row r="114" spans="1:27" x14ac:dyDescent="0.3">
      <c r="A114" s="3">
        <v>13</v>
      </c>
      <c r="B114" s="2" t="str">
        <f>"12014009800"</f>
        <v>12014009800</v>
      </c>
      <c r="C114" s="2" t="s">
        <v>3045</v>
      </c>
      <c r="D114" t="s">
        <v>29</v>
      </c>
      <c r="E114" s="2" t="s">
        <v>30</v>
      </c>
      <c r="F114" s="2">
        <v>37217</v>
      </c>
      <c r="G114" s="2" t="s">
        <v>64</v>
      </c>
      <c r="H114" t="s">
        <v>2707</v>
      </c>
      <c r="I114" s="6">
        <v>32420</v>
      </c>
      <c r="J114" s="2" t="s">
        <v>3046</v>
      </c>
      <c r="K114" s="2">
        <v>63000</v>
      </c>
      <c r="L114" t="s">
        <v>2689</v>
      </c>
      <c r="M114" t="s">
        <v>29</v>
      </c>
      <c r="N114" t="s">
        <v>30</v>
      </c>
      <c r="O114">
        <v>37214</v>
      </c>
      <c r="P114" t="s">
        <v>3047</v>
      </c>
      <c r="Q114" s="2">
        <v>0.35</v>
      </c>
      <c r="R114" s="2">
        <v>70</v>
      </c>
      <c r="S114" s="2">
        <v>232</v>
      </c>
      <c r="T114" t="s">
        <v>3048</v>
      </c>
      <c r="U114" s="6">
        <v>27247</v>
      </c>
      <c r="V114" s="2">
        <v>47037015700</v>
      </c>
      <c r="W114" s="2" t="s">
        <v>68</v>
      </c>
      <c r="X114" s="1">
        <v>45658</v>
      </c>
      <c r="Y114" s="2">
        <v>57600</v>
      </c>
      <c r="Z114" s="2">
        <v>0</v>
      </c>
      <c r="AA114" s="2">
        <v>57600</v>
      </c>
    </row>
    <row r="115" spans="1:27" x14ac:dyDescent="0.3">
      <c r="A115" s="3">
        <v>13</v>
      </c>
      <c r="B115" s="2" t="str">
        <f>"12014010000"</f>
        <v>12014010000</v>
      </c>
      <c r="C115" s="2" t="s">
        <v>3049</v>
      </c>
      <c r="D115" t="s">
        <v>29</v>
      </c>
      <c r="E115" s="2" t="s">
        <v>30</v>
      </c>
      <c r="F115" s="2">
        <v>37217</v>
      </c>
      <c r="G115" s="2" t="s">
        <v>64</v>
      </c>
      <c r="H115" t="s">
        <v>2707</v>
      </c>
      <c r="I115" s="6">
        <v>32812</v>
      </c>
      <c r="J115" s="2" t="s">
        <v>3050</v>
      </c>
      <c r="K115" s="2">
        <v>46500</v>
      </c>
      <c r="L115" t="s">
        <v>2689</v>
      </c>
      <c r="M115" t="s">
        <v>29</v>
      </c>
      <c r="N115" t="s">
        <v>30</v>
      </c>
      <c r="O115">
        <v>37214</v>
      </c>
      <c r="P115" t="s">
        <v>3051</v>
      </c>
      <c r="Q115" s="2">
        <v>0.31</v>
      </c>
      <c r="R115" s="2">
        <v>70</v>
      </c>
      <c r="S115" s="2">
        <v>226</v>
      </c>
      <c r="T115" t="s">
        <v>3052</v>
      </c>
      <c r="U115" s="6">
        <v>27318</v>
      </c>
      <c r="V115" s="2">
        <v>47037015700</v>
      </c>
      <c r="W115" s="2" t="s">
        <v>68</v>
      </c>
      <c r="X115" s="1">
        <v>45658</v>
      </c>
      <c r="Y115" s="2">
        <v>57600</v>
      </c>
      <c r="Z115" s="2">
        <v>0</v>
      </c>
      <c r="AA115" s="2">
        <v>57600</v>
      </c>
    </row>
    <row r="116" spans="1:27" x14ac:dyDescent="0.3">
      <c r="A116" s="3">
        <v>13</v>
      </c>
      <c r="B116" s="2" t="str">
        <f>"12014009700"</f>
        <v>12014009700</v>
      </c>
      <c r="C116" s="2" t="s">
        <v>3053</v>
      </c>
      <c r="D116" t="s">
        <v>29</v>
      </c>
      <c r="E116" s="2" t="s">
        <v>30</v>
      </c>
      <c r="F116" s="2">
        <v>37217</v>
      </c>
      <c r="G116" s="2" t="s">
        <v>64</v>
      </c>
      <c r="H116" t="s">
        <v>2707</v>
      </c>
      <c r="I116" s="6">
        <v>32563</v>
      </c>
      <c r="J116" s="2" t="s">
        <v>3054</v>
      </c>
      <c r="K116" s="2">
        <v>65000</v>
      </c>
      <c r="L116" t="s">
        <v>2689</v>
      </c>
      <c r="M116" t="s">
        <v>29</v>
      </c>
      <c r="N116" t="s">
        <v>30</v>
      </c>
      <c r="O116">
        <v>37214</v>
      </c>
      <c r="P116" t="s">
        <v>3055</v>
      </c>
      <c r="Q116" s="2">
        <v>0.36</v>
      </c>
      <c r="R116" s="2">
        <v>70</v>
      </c>
      <c r="S116" s="2">
        <v>234</v>
      </c>
      <c r="T116" t="s">
        <v>3056</v>
      </c>
      <c r="U116" s="6">
        <v>27292</v>
      </c>
      <c r="V116" s="2">
        <v>47037015700</v>
      </c>
      <c r="W116" s="2" t="s">
        <v>68</v>
      </c>
      <c r="X116" s="1">
        <v>45658</v>
      </c>
      <c r="Y116" s="2">
        <v>57600</v>
      </c>
      <c r="Z116" s="2">
        <v>0</v>
      </c>
      <c r="AA116" s="2">
        <v>57600</v>
      </c>
    </row>
    <row r="117" spans="1:27" x14ac:dyDescent="0.3">
      <c r="A117" s="3">
        <v>13</v>
      </c>
      <c r="B117" s="2" t="str">
        <f>"12014010100"</f>
        <v>12014010100</v>
      </c>
      <c r="C117" s="2" t="s">
        <v>3057</v>
      </c>
      <c r="D117" t="s">
        <v>29</v>
      </c>
      <c r="E117" s="2" t="s">
        <v>30</v>
      </c>
      <c r="F117" s="2">
        <v>37217</v>
      </c>
      <c r="G117" s="2" t="s">
        <v>64</v>
      </c>
      <c r="H117" t="s">
        <v>2707</v>
      </c>
      <c r="I117" s="6">
        <v>32895</v>
      </c>
      <c r="J117" s="2" t="s">
        <v>3058</v>
      </c>
      <c r="K117" s="2">
        <v>55000</v>
      </c>
      <c r="L117" t="s">
        <v>2689</v>
      </c>
      <c r="M117" t="s">
        <v>29</v>
      </c>
      <c r="N117" t="s">
        <v>30</v>
      </c>
      <c r="O117">
        <v>37214</v>
      </c>
      <c r="P117" t="s">
        <v>3059</v>
      </c>
      <c r="Q117" s="2">
        <v>0.32</v>
      </c>
      <c r="R117" s="2">
        <v>70</v>
      </c>
      <c r="S117" s="2">
        <v>216</v>
      </c>
      <c r="T117" t="s">
        <v>3060</v>
      </c>
      <c r="U117" s="6">
        <v>25664</v>
      </c>
      <c r="V117" s="2">
        <v>47037015700</v>
      </c>
      <c r="W117" s="2" t="s">
        <v>68</v>
      </c>
      <c r="X117" s="1">
        <v>45658</v>
      </c>
      <c r="Y117" s="2">
        <v>57600</v>
      </c>
      <c r="Z117" s="2">
        <v>0</v>
      </c>
      <c r="AA117" s="2">
        <v>57600</v>
      </c>
    </row>
    <row r="118" spans="1:27" x14ac:dyDescent="0.3">
      <c r="A118" s="3">
        <v>13</v>
      </c>
      <c r="B118" s="2" t="str">
        <f>"12014009600"</f>
        <v>12014009600</v>
      </c>
      <c r="C118" s="2" t="s">
        <v>3061</v>
      </c>
      <c r="D118" t="s">
        <v>29</v>
      </c>
      <c r="E118" s="2" t="s">
        <v>30</v>
      </c>
      <c r="F118" s="2">
        <v>37217</v>
      </c>
      <c r="G118" s="2" t="s">
        <v>64</v>
      </c>
      <c r="H118" t="s">
        <v>2707</v>
      </c>
      <c r="I118" s="6">
        <v>32540</v>
      </c>
      <c r="J118" s="2" t="s">
        <v>3062</v>
      </c>
      <c r="K118" s="2">
        <v>49000</v>
      </c>
      <c r="L118" t="s">
        <v>2689</v>
      </c>
      <c r="M118" t="s">
        <v>29</v>
      </c>
      <c r="N118" t="s">
        <v>30</v>
      </c>
      <c r="O118">
        <v>37214</v>
      </c>
      <c r="P118" t="s">
        <v>3063</v>
      </c>
      <c r="Q118" s="2">
        <v>0.34</v>
      </c>
      <c r="R118" s="2">
        <v>70</v>
      </c>
      <c r="S118" s="2">
        <v>234</v>
      </c>
      <c r="T118" t="s">
        <v>3064</v>
      </c>
      <c r="U118" s="6">
        <v>18384</v>
      </c>
      <c r="V118" s="2">
        <v>47037015700</v>
      </c>
      <c r="W118" s="2" t="s">
        <v>68</v>
      </c>
      <c r="X118" s="1">
        <v>45658</v>
      </c>
      <c r="Y118" s="2">
        <v>57600</v>
      </c>
      <c r="Z118" s="2">
        <v>0</v>
      </c>
      <c r="AA118" s="2">
        <v>57600</v>
      </c>
    </row>
    <row r="119" spans="1:27" x14ac:dyDescent="0.3">
      <c r="A119" s="3">
        <v>13</v>
      </c>
      <c r="B119" s="2" t="str">
        <f>"12014010200"</f>
        <v>12014010200</v>
      </c>
      <c r="C119" s="2" t="s">
        <v>3065</v>
      </c>
      <c r="D119" t="s">
        <v>29</v>
      </c>
      <c r="E119" s="2" t="s">
        <v>30</v>
      </c>
      <c r="F119" s="2">
        <v>37217</v>
      </c>
      <c r="G119" s="2" t="s">
        <v>64</v>
      </c>
      <c r="H119" t="s">
        <v>2707</v>
      </c>
      <c r="I119" s="6">
        <v>32811</v>
      </c>
      <c r="J119" s="2" t="s">
        <v>3066</v>
      </c>
      <c r="K119" s="2">
        <v>47000</v>
      </c>
      <c r="L119" t="s">
        <v>2689</v>
      </c>
      <c r="M119" t="s">
        <v>29</v>
      </c>
      <c r="N119" t="s">
        <v>30</v>
      </c>
      <c r="O119">
        <v>37214</v>
      </c>
      <c r="P119" t="s">
        <v>3067</v>
      </c>
      <c r="Q119" s="2">
        <v>0.53</v>
      </c>
      <c r="R119" s="2">
        <v>144</v>
      </c>
      <c r="S119" s="2">
        <v>195</v>
      </c>
      <c r="T119" t="s">
        <v>3068</v>
      </c>
      <c r="U119" s="6">
        <v>27222</v>
      </c>
      <c r="V119" s="2">
        <v>47037015700</v>
      </c>
      <c r="W119" s="2" t="s">
        <v>68</v>
      </c>
      <c r="X119" s="1">
        <v>45658</v>
      </c>
      <c r="Y119" s="2">
        <v>63400</v>
      </c>
      <c r="Z119" s="2">
        <v>0</v>
      </c>
      <c r="AA119" s="2">
        <v>63400</v>
      </c>
    </row>
    <row r="120" spans="1:27" x14ac:dyDescent="0.3">
      <c r="A120" s="3">
        <v>13</v>
      </c>
      <c r="B120" s="2" t="str">
        <f>"12014009500"</f>
        <v>12014009500</v>
      </c>
      <c r="C120" s="2" t="s">
        <v>3069</v>
      </c>
      <c r="D120" t="s">
        <v>29</v>
      </c>
      <c r="E120" s="2" t="s">
        <v>30</v>
      </c>
      <c r="F120" s="2">
        <v>37217</v>
      </c>
      <c r="G120" s="2" t="s">
        <v>64</v>
      </c>
      <c r="H120" t="s">
        <v>2707</v>
      </c>
      <c r="I120" s="6">
        <v>32451</v>
      </c>
      <c r="J120" s="2" t="s">
        <v>3070</v>
      </c>
      <c r="K120" s="2">
        <v>50000</v>
      </c>
      <c r="L120" t="s">
        <v>2689</v>
      </c>
      <c r="M120" t="s">
        <v>29</v>
      </c>
      <c r="N120" t="s">
        <v>30</v>
      </c>
      <c r="O120">
        <v>37214</v>
      </c>
      <c r="P120" t="s">
        <v>3071</v>
      </c>
      <c r="Q120" s="2">
        <v>0.34</v>
      </c>
      <c r="R120" s="2">
        <v>70</v>
      </c>
      <c r="S120" s="2">
        <v>223</v>
      </c>
      <c r="T120" t="s">
        <v>3072</v>
      </c>
      <c r="U120" s="6">
        <v>21247</v>
      </c>
      <c r="V120" s="2">
        <v>47037015700</v>
      </c>
      <c r="W120" s="2" t="s">
        <v>68</v>
      </c>
      <c r="X120" s="1">
        <v>45658</v>
      </c>
      <c r="Y120" s="2">
        <v>57600</v>
      </c>
      <c r="Z120" s="2">
        <v>0</v>
      </c>
      <c r="AA120" s="2">
        <v>57600</v>
      </c>
    </row>
    <row r="121" spans="1:27" x14ac:dyDescent="0.3">
      <c r="A121" s="3">
        <v>13</v>
      </c>
      <c r="B121" s="2" t="str">
        <f>"12014001300"</f>
        <v>12014001300</v>
      </c>
      <c r="C121" s="2" t="s">
        <v>3073</v>
      </c>
      <c r="D121" t="s">
        <v>29</v>
      </c>
      <c r="E121" s="2" t="s">
        <v>30</v>
      </c>
      <c r="F121" s="2">
        <v>37217</v>
      </c>
      <c r="G121" s="2" t="s">
        <v>64</v>
      </c>
      <c r="H121" t="s">
        <v>2707</v>
      </c>
      <c r="I121" s="6">
        <v>32937</v>
      </c>
      <c r="J121" s="2" t="s">
        <v>3074</v>
      </c>
      <c r="K121" s="2" t="s">
        <v>34</v>
      </c>
      <c r="L121" t="s">
        <v>2689</v>
      </c>
      <c r="M121" t="s">
        <v>29</v>
      </c>
      <c r="N121" t="s">
        <v>30</v>
      </c>
      <c r="O121">
        <v>37214</v>
      </c>
      <c r="P121" t="s">
        <v>3075</v>
      </c>
      <c r="Q121" s="2">
        <v>0.67</v>
      </c>
      <c r="R121" s="2">
        <v>104</v>
      </c>
      <c r="S121" s="2">
        <v>246</v>
      </c>
      <c r="T121" t="s">
        <v>3076</v>
      </c>
      <c r="U121" s="6">
        <v>23918</v>
      </c>
      <c r="V121" s="2">
        <v>47037015700</v>
      </c>
      <c r="W121" s="2" t="s">
        <v>68</v>
      </c>
      <c r="X121" s="1">
        <v>45658</v>
      </c>
      <c r="Y121" s="2">
        <v>63400</v>
      </c>
      <c r="Z121" s="2">
        <v>0</v>
      </c>
      <c r="AA121" s="2">
        <v>63400</v>
      </c>
    </row>
    <row r="122" spans="1:27" x14ac:dyDescent="0.3">
      <c r="A122" s="3">
        <v>13</v>
      </c>
      <c r="B122" s="2" t="str">
        <f>"12014009400"</f>
        <v>12014009400</v>
      </c>
      <c r="C122" s="2" t="s">
        <v>3077</v>
      </c>
      <c r="D122" t="s">
        <v>29</v>
      </c>
      <c r="E122" s="2" t="s">
        <v>30</v>
      </c>
      <c r="F122" s="2">
        <v>37217</v>
      </c>
      <c r="G122" s="2" t="s">
        <v>64</v>
      </c>
      <c r="H122" t="s">
        <v>2707</v>
      </c>
      <c r="I122" s="6">
        <v>32353</v>
      </c>
      <c r="J122" s="2" t="s">
        <v>3078</v>
      </c>
      <c r="K122" s="2">
        <v>66500</v>
      </c>
      <c r="L122" t="s">
        <v>2689</v>
      </c>
      <c r="M122" t="s">
        <v>29</v>
      </c>
      <c r="N122" t="s">
        <v>30</v>
      </c>
      <c r="O122">
        <v>37214</v>
      </c>
      <c r="P122" t="s">
        <v>3079</v>
      </c>
      <c r="Q122" s="2">
        <v>0.32</v>
      </c>
      <c r="R122" s="2">
        <v>70</v>
      </c>
      <c r="S122" s="2">
        <v>211</v>
      </c>
      <c r="T122" t="s">
        <v>3080</v>
      </c>
      <c r="U122" s="6">
        <v>18187</v>
      </c>
      <c r="V122" s="2">
        <v>47037015700</v>
      </c>
      <c r="W122" s="2" t="s">
        <v>68</v>
      </c>
      <c r="X122" s="1">
        <v>45658</v>
      </c>
      <c r="Y122" s="2">
        <v>57600</v>
      </c>
      <c r="Z122" s="2">
        <v>0</v>
      </c>
      <c r="AA122" s="2">
        <v>57600</v>
      </c>
    </row>
    <row r="123" spans="1:27" x14ac:dyDescent="0.3">
      <c r="A123" s="3">
        <v>13</v>
      </c>
      <c r="B123" s="2" t="str">
        <f>"12015001300"</f>
        <v>12015001300</v>
      </c>
      <c r="C123" s="2" t="s">
        <v>3081</v>
      </c>
      <c r="D123" t="s">
        <v>29</v>
      </c>
      <c r="E123" s="2" t="s">
        <v>30</v>
      </c>
      <c r="F123" s="2">
        <v>37217</v>
      </c>
      <c r="G123" s="2" t="s">
        <v>64</v>
      </c>
      <c r="H123" t="s">
        <v>2707</v>
      </c>
      <c r="I123" s="6">
        <v>32101</v>
      </c>
      <c r="J123" s="2" t="s">
        <v>3082</v>
      </c>
      <c r="K123" s="2">
        <v>42500</v>
      </c>
      <c r="L123" t="s">
        <v>2689</v>
      </c>
      <c r="M123" t="s">
        <v>29</v>
      </c>
      <c r="N123" t="s">
        <v>30</v>
      </c>
      <c r="O123">
        <v>37214</v>
      </c>
      <c r="P123" t="s">
        <v>3083</v>
      </c>
      <c r="Q123" s="2">
        <v>0.23</v>
      </c>
      <c r="R123" s="2">
        <v>81</v>
      </c>
      <c r="S123" s="2">
        <v>143</v>
      </c>
      <c r="T123" t="s">
        <v>3044</v>
      </c>
      <c r="U123" s="6">
        <v>33721</v>
      </c>
      <c r="V123" s="2">
        <v>47037015700</v>
      </c>
      <c r="W123" s="2" t="s">
        <v>68</v>
      </c>
      <c r="X123" s="1">
        <v>45658</v>
      </c>
      <c r="Y123" s="2">
        <v>57600</v>
      </c>
      <c r="Z123" s="2">
        <v>0</v>
      </c>
      <c r="AA123" s="2">
        <v>57600</v>
      </c>
    </row>
    <row r="124" spans="1:27" x14ac:dyDescent="0.3">
      <c r="A124" s="3">
        <v>13</v>
      </c>
      <c r="B124" s="2" t="str">
        <f>"12014009300"</f>
        <v>12014009300</v>
      </c>
      <c r="C124" s="2" t="s">
        <v>3084</v>
      </c>
      <c r="D124" t="s">
        <v>29</v>
      </c>
      <c r="E124" s="2" t="s">
        <v>30</v>
      </c>
      <c r="F124" s="2">
        <v>37217</v>
      </c>
      <c r="G124" s="2" t="s">
        <v>64</v>
      </c>
      <c r="H124" t="s">
        <v>2707</v>
      </c>
      <c r="I124" s="6">
        <v>32353</v>
      </c>
      <c r="J124" s="2" t="s">
        <v>3078</v>
      </c>
      <c r="K124" s="2">
        <v>66500</v>
      </c>
      <c r="L124" t="s">
        <v>2689</v>
      </c>
      <c r="M124" t="s">
        <v>29</v>
      </c>
      <c r="N124" t="s">
        <v>30</v>
      </c>
      <c r="O124">
        <v>37214</v>
      </c>
      <c r="P124" t="s">
        <v>3085</v>
      </c>
      <c r="Q124" s="2">
        <v>0.32</v>
      </c>
      <c r="R124" s="2">
        <v>70</v>
      </c>
      <c r="S124" s="2">
        <v>200</v>
      </c>
      <c r="T124" t="s">
        <v>3080</v>
      </c>
      <c r="U124" s="6">
        <v>18187</v>
      </c>
      <c r="V124" s="2">
        <v>47037015700</v>
      </c>
      <c r="W124" s="2" t="s">
        <v>68</v>
      </c>
      <c r="X124" s="1">
        <v>45658</v>
      </c>
      <c r="Y124" s="2">
        <v>57600</v>
      </c>
      <c r="Z124" s="2">
        <v>0</v>
      </c>
      <c r="AA124" s="2">
        <v>57600</v>
      </c>
    </row>
    <row r="125" spans="1:27" x14ac:dyDescent="0.3">
      <c r="A125" s="3">
        <v>13</v>
      </c>
      <c r="B125" s="2" t="str">
        <f>"12014009200"</f>
        <v>12014009200</v>
      </c>
      <c r="C125" s="2" t="s">
        <v>3086</v>
      </c>
      <c r="D125" t="s">
        <v>29</v>
      </c>
      <c r="E125" s="2" t="s">
        <v>30</v>
      </c>
      <c r="F125" s="2">
        <v>37217</v>
      </c>
      <c r="G125" s="2" t="s">
        <v>64</v>
      </c>
      <c r="H125" t="s">
        <v>2707</v>
      </c>
      <c r="I125" s="6">
        <v>32323</v>
      </c>
      <c r="J125" s="2" t="s">
        <v>3087</v>
      </c>
      <c r="K125" s="2">
        <v>61500</v>
      </c>
      <c r="L125" t="s">
        <v>2689</v>
      </c>
      <c r="M125" t="s">
        <v>29</v>
      </c>
      <c r="N125" t="s">
        <v>30</v>
      </c>
      <c r="O125">
        <v>37214</v>
      </c>
      <c r="P125" t="s">
        <v>3088</v>
      </c>
      <c r="Q125" s="2">
        <v>0.28000000000000003</v>
      </c>
      <c r="R125" s="2">
        <v>70</v>
      </c>
      <c r="S125" s="2">
        <v>189</v>
      </c>
      <c r="T125" t="s">
        <v>3089</v>
      </c>
      <c r="U125" s="6">
        <v>24698</v>
      </c>
      <c r="V125" s="2">
        <v>47037015700</v>
      </c>
      <c r="W125" s="2" t="s">
        <v>68</v>
      </c>
      <c r="X125" s="1">
        <v>45658</v>
      </c>
      <c r="Y125" s="2">
        <v>57600</v>
      </c>
      <c r="Z125" s="2">
        <v>0</v>
      </c>
      <c r="AA125" s="2">
        <v>57600</v>
      </c>
    </row>
    <row r="126" spans="1:27" x14ac:dyDescent="0.3">
      <c r="A126" s="3">
        <v>13</v>
      </c>
      <c r="B126" s="2" t="str">
        <f>"12014009100"</f>
        <v>12014009100</v>
      </c>
      <c r="C126" s="2" t="s">
        <v>3090</v>
      </c>
      <c r="D126" t="s">
        <v>29</v>
      </c>
      <c r="E126" s="2" t="s">
        <v>30</v>
      </c>
      <c r="F126" s="2">
        <v>37217</v>
      </c>
      <c r="G126" s="2" t="s">
        <v>64</v>
      </c>
      <c r="H126" t="s">
        <v>2707</v>
      </c>
      <c r="I126" s="6">
        <v>32128</v>
      </c>
      <c r="J126" s="2" t="s">
        <v>3091</v>
      </c>
      <c r="K126" s="2">
        <v>68000</v>
      </c>
      <c r="L126" t="s">
        <v>2689</v>
      </c>
      <c r="M126" t="s">
        <v>29</v>
      </c>
      <c r="N126" t="s">
        <v>30</v>
      </c>
      <c r="O126">
        <v>37214</v>
      </c>
      <c r="P126" t="s">
        <v>3092</v>
      </c>
      <c r="Q126" s="2">
        <v>0.27</v>
      </c>
      <c r="R126" s="2">
        <v>70</v>
      </c>
      <c r="S126" s="2">
        <v>177</v>
      </c>
      <c r="T126" t="s">
        <v>3093</v>
      </c>
      <c r="U126" s="6">
        <v>26877</v>
      </c>
      <c r="V126" s="2">
        <v>47037015700</v>
      </c>
      <c r="W126" s="2" t="s">
        <v>68</v>
      </c>
      <c r="X126" s="1">
        <v>45658</v>
      </c>
      <c r="Y126" s="2">
        <v>57600</v>
      </c>
      <c r="Z126" s="2">
        <v>0</v>
      </c>
      <c r="AA126" s="2">
        <v>57600</v>
      </c>
    </row>
    <row r="127" spans="1:27" x14ac:dyDescent="0.3">
      <c r="A127" s="3">
        <v>13</v>
      </c>
      <c r="B127" s="2" t="str">
        <f>"12014008900"</f>
        <v>12014008900</v>
      </c>
      <c r="C127" s="2" t="s">
        <v>3094</v>
      </c>
      <c r="D127" t="s">
        <v>29</v>
      </c>
      <c r="E127" s="2" t="s">
        <v>30</v>
      </c>
      <c r="F127" s="2">
        <v>37217</v>
      </c>
      <c r="G127" s="2" t="s">
        <v>64</v>
      </c>
      <c r="H127" t="s">
        <v>2707</v>
      </c>
      <c r="I127" s="6">
        <v>32083</v>
      </c>
      <c r="J127" s="2" t="s">
        <v>3095</v>
      </c>
      <c r="K127" s="2">
        <v>62500</v>
      </c>
      <c r="L127" t="s">
        <v>2689</v>
      </c>
      <c r="M127" t="s">
        <v>29</v>
      </c>
      <c r="N127" t="s">
        <v>30</v>
      </c>
      <c r="O127">
        <v>37214</v>
      </c>
      <c r="P127" t="s">
        <v>3096</v>
      </c>
      <c r="Q127" s="2">
        <v>0.26</v>
      </c>
      <c r="R127" s="2">
        <v>70</v>
      </c>
      <c r="S127" s="2">
        <v>171</v>
      </c>
      <c r="T127" t="s">
        <v>3097</v>
      </c>
      <c r="U127" s="6">
        <v>17983</v>
      </c>
      <c r="V127" s="2">
        <v>47037015700</v>
      </c>
      <c r="W127" s="2" t="s">
        <v>68</v>
      </c>
      <c r="X127" s="1">
        <v>45658</v>
      </c>
      <c r="Y127" s="2">
        <v>57600</v>
      </c>
      <c r="Z127" s="2">
        <v>0</v>
      </c>
      <c r="AA127" s="2">
        <v>57600</v>
      </c>
    </row>
    <row r="128" spans="1:27" x14ac:dyDescent="0.3">
      <c r="A128" s="3">
        <v>13</v>
      </c>
      <c r="B128" s="2" t="str">
        <f>"12014008800"</f>
        <v>12014008800</v>
      </c>
      <c r="C128" s="2" t="s">
        <v>3098</v>
      </c>
      <c r="D128" t="s">
        <v>29</v>
      </c>
      <c r="E128" s="2" t="s">
        <v>30</v>
      </c>
      <c r="F128" s="2">
        <v>37217</v>
      </c>
      <c r="G128" s="2" t="s">
        <v>64</v>
      </c>
      <c r="H128" t="s">
        <v>2707</v>
      </c>
      <c r="I128" s="6">
        <v>32149</v>
      </c>
      <c r="J128" s="2" t="s">
        <v>3099</v>
      </c>
      <c r="K128" s="2">
        <v>61000</v>
      </c>
      <c r="L128" t="s">
        <v>2689</v>
      </c>
      <c r="M128" t="s">
        <v>29</v>
      </c>
      <c r="N128" t="s">
        <v>30</v>
      </c>
      <c r="O128">
        <v>37214</v>
      </c>
      <c r="P128" t="s">
        <v>3100</v>
      </c>
      <c r="Q128" s="2">
        <v>0.26</v>
      </c>
      <c r="R128" s="2">
        <v>70</v>
      </c>
      <c r="S128" s="2">
        <v>168</v>
      </c>
      <c r="T128" t="s">
        <v>3101</v>
      </c>
      <c r="U128" s="6">
        <v>23806</v>
      </c>
      <c r="V128" s="2">
        <v>47037015700</v>
      </c>
      <c r="W128" s="2" t="s">
        <v>68</v>
      </c>
      <c r="X128" s="1">
        <v>45658</v>
      </c>
      <c r="Y128" s="2">
        <v>57600</v>
      </c>
      <c r="Z128" s="2">
        <v>0</v>
      </c>
      <c r="AA128" s="2">
        <v>57600</v>
      </c>
    </row>
    <row r="129" spans="1:27" x14ac:dyDescent="0.3">
      <c r="A129" s="3">
        <v>13</v>
      </c>
      <c r="B129" s="2" t="str">
        <f>"12014008700"</f>
        <v>12014008700</v>
      </c>
      <c r="C129" s="2" t="s">
        <v>3102</v>
      </c>
      <c r="D129" t="s">
        <v>29</v>
      </c>
      <c r="E129" s="2" t="s">
        <v>30</v>
      </c>
      <c r="F129" s="2">
        <v>37217</v>
      </c>
      <c r="G129" s="2" t="s">
        <v>64</v>
      </c>
      <c r="H129" t="s">
        <v>2707</v>
      </c>
      <c r="I129" s="6">
        <v>32188</v>
      </c>
      <c r="J129" s="2" t="s">
        <v>3103</v>
      </c>
      <c r="K129" s="2">
        <v>59053</v>
      </c>
      <c r="L129" t="s">
        <v>2689</v>
      </c>
      <c r="M129" t="s">
        <v>29</v>
      </c>
      <c r="N129" t="s">
        <v>30</v>
      </c>
      <c r="O129">
        <v>37214</v>
      </c>
      <c r="P129" t="s">
        <v>3104</v>
      </c>
      <c r="Q129" s="2">
        <v>0.26</v>
      </c>
      <c r="R129" s="2">
        <v>70</v>
      </c>
      <c r="S129" s="2">
        <v>165</v>
      </c>
      <c r="T129" t="s">
        <v>3105</v>
      </c>
      <c r="U129" s="6">
        <v>26182</v>
      </c>
      <c r="V129" s="2">
        <v>47037015700</v>
      </c>
      <c r="W129" s="2" t="s">
        <v>68</v>
      </c>
      <c r="X129" s="1">
        <v>45658</v>
      </c>
      <c r="Y129" s="2">
        <v>57600</v>
      </c>
      <c r="Z129" s="2">
        <v>0</v>
      </c>
      <c r="AA129" s="2">
        <v>57600</v>
      </c>
    </row>
    <row r="130" spans="1:27" x14ac:dyDescent="0.3">
      <c r="A130" s="3">
        <v>13</v>
      </c>
      <c r="B130" s="2" t="str">
        <f>"12014008600"</f>
        <v>12014008600</v>
      </c>
      <c r="C130" s="2" t="s">
        <v>3106</v>
      </c>
      <c r="D130" t="s">
        <v>29</v>
      </c>
      <c r="E130" s="2" t="s">
        <v>30</v>
      </c>
      <c r="F130" s="2">
        <v>37217</v>
      </c>
      <c r="G130" s="2" t="s">
        <v>64</v>
      </c>
      <c r="H130" t="s">
        <v>2707</v>
      </c>
      <c r="I130" s="6">
        <v>32188</v>
      </c>
      <c r="J130" s="2" t="s">
        <v>3107</v>
      </c>
      <c r="K130" s="2">
        <v>61400</v>
      </c>
      <c r="L130" t="s">
        <v>2689</v>
      </c>
      <c r="M130" t="s">
        <v>29</v>
      </c>
      <c r="N130" t="s">
        <v>30</v>
      </c>
      <c r="O130">
        <v>37214</v>
      </c>
      <c r="P130" t="s">
        <v>3108</v>
      </c>
      <c r="Q130" s="2">
        <v>0.27</v>
      </c>
      <c r="R130" s="2">
        <v>70</v>
      </c>
      <c r="S130" s="2">
        <v>162</v>
      </c>
      <c r="T130" t="s">
        <v>3109</v>
      </c>
      <c r="U130" s="6">
        <v>17923</v>
      </c>
      <c r="V130" s="2">
        <v>47037015700</v>
      </c>
      <c r="W130" s="2" t="s">
        <v>68</v>
      </c>
      <c r="X130" s="1">
        <v>45658</v>
      </c>
      <c r="Y130" s="2">
        <v>57600</v>
      </c>
      <c r="Z130" s="2">
        <v>0</v>
      </c>
      <c r="AA130" s="2">
        <v>57600</v>
      </c>
    </row>
    <row r="131" spans="1:27" x14ac:dyDescent="0.3">
      <c r="A131" s="3">
        <v>13</v>
      </c>
      <c r="B131" s="2" t="str">
        <f>"12014001200"</f>
        <v>12014001200</v>
      </c>
      <c r="C131" s="2" t="s">
        <v>3110</v>
      </c>
      <c r="D131" t="s">
        <v>29</v>
      </c>
      <c r="E131" s="2" t="s">
        <v>30</v>
      </c>
      <c r="F131" s="2">
        <v>37217</v>
      </c>
      <c r="G131" s="2" t="s">
        <v>64</v>
      </c>
      <c r="H131" t="s">
        <v>2707</v>
      </c>
      <c r="I131" s="6">
        <v>32801</v>
      </c>
      <c r="J131" s="2" t="s">
        <v>3111</v>
      </c>
      <c r="K131" s="2">
        <v>52500</v>
      </c>
      <c r="L131" t="s">
        <v>2689</v>
      </c>
      <c r="M131" t="s">
        <v>29</v>
      </c>
      <c r="N131" t="s">
        <v>30</v>
      </c>
      <c r="O131">
        <v>37214</v>
      </c>
      <c r="P131" t="s">
        <v>3112</v>
      </c>
      <c r="Q131" s="2">
        <v>1.1000000000000001</v>
      </c>
      <c r="R131" s="2">
        <v>160</v>
      </c>
      <c r="S131" s="2">
        <v>283</v>
      </c>
      <c r="T131" t="s">
        <v>3113</v>
      </c>
      <c r="U131" s="6">
        <v>24924</v>
      </c>
      <c r="V131" s="2">
        <v>47037015700</v>
      </c>
      <c r="W131" s="2" t="s">
        <v>68</v>
      </c>
      <c r="X131" s="1">
        <v>45658</v>
      </c>
      <c r="Y131" s="2">
        <v>67400</v>
      </c>
      <c r="Z131" s="2">
        <v>0</v>
      </c>
      <c r="AA131" s="2">
        <v>67400</v>
      </c>
    </row>
    <row r="132" spans="1:27" x14ac:dyDescent="0.3">
      <c r="A132" s="3">
        <v>13</v>
      </c>
      <c r="B132" s="2" t="str">
        <f>"12015001400"</f>
        <v>12015001400</v>
      </c>
      <c r="C132" s="2" t="s">
        <v>3114</v>
      </c>
      <c r="D132" t="s">
        <v>29</v>
      </c>
      <c r="E132" s="2" t="s">
        <v>30</v>
      </c>
      <c r="F132" s="2">
        <v>37217</v>
      </c>
      <c r="G132" s="2" t="s">
        <v>64</v>
      </c>
      <c r="H132" t="s">
        <v>2707</v>
      </c>
      <c r="I132" s="6">
        <v>32065</v>
      </c>
      <c r="J132" s="2" t="s">
        <v>3115</v>
      </c>
      <c r="K132" s="2">
        <v>53500</v>
      </c>
      <c r="L132" t="s">
        <v>3116</v>
      </c>
      <c r="M132" t="s">
        <v>29</v>
      </c>
      <c r="N132" t="s">
        <v>30</v>
      </c>
      <c r="O132">
        <v>37214</v>
      </c>
      <c r="P132" t="s">
        <v>3117</v>
      </c>
      <c r="Q132" s="2">
        <v>0.2</v>
      </c>
      <c r="R132" s="2">
        <v>86</v>
      </c>
      <c r="S132" s="2">
        <v>120</v>
      </c>
      <c r="T132" t="s">
        <v>3044</v>
      </c>
      <c r="U132" s="6">
        <v>33721</v>
      </c>
      <c r="V132" s="2">
        <v>47037015700</v>
      </c>
      <c r="W132" s="2" t="s">
        <v>68</v>
      </c>
      <c r="X132" s="1">
        <v>45658</v>
      </c>
      <c r="Y132" s="2">
        <v>51800</v>
      </c>
      <c r="Z132" s="2">
        <v>0</v>
      </c>
      <c r="AA132" s="2">
        <v>51800</v>
      </c>
    </row>
    <row r="133" spans="1:27" x14ac:dyDescent="0.3">
      <c r="A133" s="3">
        <v>13</v>
      </c>
      <c r="B133" s="2" t="str">
        <f>"12014010500"</f>
        <v>12014010500</v>
      </c>
      <c r="C133" s="2" t="s">
        <v>3118</v>
      </c>
      <c r="D133" t="s">
        <v>29</v>
      </c>
      <c r="E133" s="2" t="s">
        <v>30</v>
      </c>
      <c r="F133" s="2">
        <v>37217</v>
      </c>
      <c r="G133" s="2" t="s">
        <v>64</v>
      </c>
      <c r="H133" t="s">
        <v>2707</v>
      </c>
      <c r="I133" s="6">
        <v>32857</v>
      </c>
      <c r="J133" s="2" t="s">
        <v>3119</v>
      </c>
      <c r="K133" s="2">
        <v>61500</v>
      </c>
      <c r="L133" t="s">
        <v>2689</v>
      </c>
      <c r="M133" t="s">
        <v>29</v>
      </c>
      <c r="N133" t="s">
        <v>30</v>
      </c>
      <c r="O133">
        <v>37214</v>
      </c>
      <c r="P133" t="s">
        <v>3120</v>
      </c>
      <c r="Q133" s="2">
        <v>0.43</v>
      </c>
      <c r="R133" s="2">
        <v>108</v>
      </c>
      <c r="S133" s="2">
        <v>153</v>
      </c>
      <c r="T133" t="s">
        <v>3121</v>
      </c>
      <c r="U133" s="6">
        <v>25157</v>
      </c>
      <c r="V133" s="2">
        <v>47037015700</v>
      </c>
      <c r="W133" s="2" t="s">
        <v>68</v>
      </c>
      <c r="X133" s="1">
        <v>45658</v>
      </c>
      <c r="Y133" s="2">
        <v>57600</v>
      </c>
      <c r="Z133" s="2">
        <v>0</v>
      </c>
      <c r="AA133" s="2">
        <v>57600</v>
      </c>
    </row>
    <row r="134" spans="1:27" x14ac:dyDescent="0.3">
      <c r="A134" s="3">
        <v>13</v>
      </c>
      <c r="B134" s="2" t="str">
        <f>"12014010600"</f>
        <v>12014010600</v>
      </c>
      <c r="C134" s="2" t="s">
        <v>3122</v>
      </c>
      <c r="D134" t="s">
        <v>29</v>
      </c>
      <c r="E134" s="2" t="s">
        <v>30</v>
      </c>
      <c r="F134" s="2">
        <v>37217</v>
      </c>
      <c r="G134" s="2" t="s">
        <v>64</v>
      </c>
      <c r="H134" t="s">
        <v>2707</v>
      </c>
      <c r="I134" s="6">
        <v>32812</v>
      </c>
      <c r="J134" s="2" t="s">
        <v>3123</v>
      </c>
      <c r="K134" s="2">
        <v>46000</v>
      </c>
      <c r="L134" t="s">
        <v>2689</v>
      </c>
      <c r="M134" t="s">
        <v>29</v>
      </c>
      <c r="N134" t="s">
        <v>30</v>
      </c>
      <c r="O134">
        <v>37214</v>
      </c>
      <c r="P134" t="s">
        <v>3124</v>
      </c>
      <c r="Q134" s="2">
        <v>0.33</v>
      </c>
      <c r="R134" s="2">
        <v>70</v>
      </c>
      <c r="S134" s="2">
        <v>179</v>
      </c>
      <c r="T134" t="s">
        <v>3125</v>
      </c>
      <c r="U134" s="6">
        <v>23232</v>
      </c>
      <c r="V134" s="2">
        <v>47037015700</v>
      </c>
      <c r="W134" s="2" t="s">
        <v>68</v>
      </c>
      <c r="X134" s="1">
        <v>45658</v>
      </c>
      <c r="Y134" s="2">
        <v>57600</v>
      </c>
      <c r="Z134" s="2">
        <v>0</v>
      </c>
      <c r="AA134" s="2">
        <v>57600</v>
      </c>
    </row>
    <row r="135" spans="1:27" x14ac:dyDescent="0.3">
      <c r="A135" s="3">
        <v>13</v>
      </c>
      <c r="B135" s="2" t="str">
        <f>"12014010700"</f>
        <v>12014010700</v>
      </c>
      <c r="C135" s="2" t="s">
        <v>3126</v>
      </c>
      <c r="D135" t="s">
        <v>29</v>
      </c>
      <c r="E135" s="2" t="s">
        <v>30</v>
      </c>
      <c r="F135" s="2">
        <v>37217</v>
      </c>
      <c r="G135" s="2" t="s">
        <v>64</v>
      </c>
      <c r="H135" t="s">
        <v>2707</v>
      </c>
      <c r="I135" s="6">
        <v>32853</v>
      </c>
      <c r="J135" s="2" t="s">
        <v>3127</v>
      </c>
      <c r="K135" s="2">
        <v>37500</v>
      </c>
      <c r="L135" t="s">
        <v>2689</v>
      </c>
      <c r="M135" t="s">
        <v>29</v>
      </c>
      <c r="N135" t="s">
        <v>30</v>
      </c>
      <c r="O135">
        <v>37214</v>
      </c>
      <c r="P135" t="s">
        <v>3128</v>
      </c>
      <c r="Q135" s="2">
        <v>0.28000000000000003</v>
      </c>
      <c r="R135" s="2">
        <v>70</v>
      </c>
      <c r="S135" s="2">
        <v>179</v>
      </c>
      <c r="T135" t="s">
        <v>3129</v>
      </c>
      <c r="U135" s="6">
        <v>21891</v>
      </c>
      <c r="V135" s="2">
        <v>47037015700</v>
      </c>
      <c r="W135" s="2" t="s">
        <v>68</v>
      </c>
      <c r="X135" s="1">
        <v>45658</v>
      </c>
      <c r="Y135" s="2">
        <v>57600</v>
      </c>
      <c r="Z135" s="2">
        <v>0</v>
      </c>
      <c r="AA135" s="2">
        <v>57600</v>
      </c>
    </row>
    <row r="136" spans="1:27" x14ac:dyDescent="0.3">
      <c r="A136" s="3">
        <v>13</v>
      </c>
      <c r="B136" s="2" t="str">
        <f>"12014010900"</f>
        <v>12014010900</v>
      </c>
      <c r="C136" s="2" t="s">
        <v>3130</v>
      </c>
      <c r="D136" t="s">
        <v>29</v>
      </c>
      <c r="E136" s="2" t="s">
        <v>30</v>
      </c>
      <c r="F136" s="2">
        <v>37217</v>
      </c>
      <c r="G136" s="2" t="s">
        <v>64</v>
      </c>
      <c r="H136" t="s">
        <v>2707</v>
      </c>
      <c r="I136" s="6">
        <v>32566</v>
      </c>
      <c r="J136" s="2" t="s">
        <v>3131</v>
      </c>
      <c r="K136" s="2">
        <v>37000</v>
      </c>
      <c r="L136" t="s">
        <v>2689</v>
      </c>
      <c r="M136" t="s">
        <v>29</v>
      </c>
      <c r="N136" t="s">
        <v>30</v>
      </c>
      <c r="O136">
        <v>37214</v>
      </c>
      <c r="P136" t="s">
        <v>3132</v>
      </c>
      <c r="Q136" s="2">
        <v>0.25</v>
      </c>
      <c r="R136" s="2">
        <v>70</v>
      </c>
      <c r="S136" s="2">
        <v>166</v>
      </c>
      <c r="T136" t="s">
        <v>3133</v>
      </c>
      <c r="U136" s="6">
        <v>26381</v>
      </c>
      <c r="V136" s="2">
        <v>47037015700</v>
      </c>
      <c r="W136" s="2" t="s">
        <v>68</v>
      </c>
      <c r="X136" s="1">
        <v>45658</v>
      </c>
      <c r="Y136" s="2">
        <v>57600</v>
      </c>
      <c r="Z136" s="2">
        <v>0</v>
      </c>
      <c r="AA136" s="2">
        <v>57600</v>
      </c>
    </row>
    <row r="137" spans="1:27" x14ac:dyDescent="0.3">
      <c r="A137" s="3">
        <v>13</v>
      </c>
      <c r="B137" s="2" t="str">
        <f>"12014001100"</f>
        <v>12014001100</v>
      </c>
      <c r="C137" s="2" t="s">
        <v>3134</v>
      </c>
      <c r="D137" t="s">
        <v>29</v>
      </c>
      <c r="E137" s="2" t="s">
        <v>30</v>
      </c>
      <c r="F137" s="2">
        <v>37217</v>
      </c>
      <c r="G137" s="2" t="s">
        <v>64</v>
      </c>
      <c r="H137" t="s">
        <v>2707</v>
      </c>
      <c r="I137" s="6">
        <v>32870</v>
      </c>
      <c r="J137" s="2" t="s">
        <v>3135</v>
      </c>
      <c r="K137" s="2">
        <v>75000</v>
      </c>
      <c r="L137" t="s">
        <v>2689</v>
      </c>
      <c r="M137" t="s">
        <v>29</v>
      </c>
      <c r="N137" t="s">
        <v>30</v>
      </c>
      <c r="O137">
        <v>37214</v>
      </c>
      <c r="P137" t="s">
        <v>3136</v>
      </c>
      <c r="Q137" s="2">
        <v>0.89</v>
      </c>
      <c r="R137" s="2">
        <v>150</v>
      </c>
      <c r="S137" s="2">
        <v>283</v>
      </c>
      <c r="T137" t="s">
        <v>3137</v>
      </c>
      <c r="U137" s="6">
        <v>18545</v>
      </c>
      <c r="V137" s="2">
        <v>47037015700</v>
      </c>
      <c r="W137" s="2" t="s">
        <v>68</v>
      </c>
      <c r="X137" s="1">
        <v>45658</v>
      </c>
      <c r="Y137" s="2">
        <v>63400</v>
      </c>
      <c r="Z137" s="2">
        <v>0</v>
      </c>
      <c r="AA137" s="2">
        <v>63400</v>
      </c>
    </row>
    <row r="138" spans="1:27" x14ac:dyDescent="0.3">
      <c r="A138" s="3">
        <v>13</v>
      </c>
      <c r="B138" s="2" t="str">
        <f>"12014011100"</f>
        <v>12014011100</v>
      </c>
      <c r="C138" s="2" t="s">
        <v>3138</v>
      </c>
      <c r="D138" t="s">
        <v>29</v>
      </c>
      <c r="E138" s="2" t="s">
        <v>30</v>
      </c>
      <c r="F138" s="2">
        <v>37217</v>
      </c>
      <c r="G138" s="2" t="s">
        <v>64</v>
      </c>
      <c r="H138" t="s">
        <v>2707</v>
      </c>
      <c r="I138" s="6">
        <v>32653</v>
      </c>
      <c r="J138" s="2" t="s">
        <v>3139</v>
      </c>
      <c r="K138" s="2">
        <v>58000</v>
      </c>
      <c r="L138" t="s">
        <v>2689</v>
      </c>
      <c r="M138" t="s">
        <v>29</v>
      </c>
      <c r="N138" t="s">
        <v>30</v>
      </c>
      <c r="O138">
        <v>37214</v>
      </c>
      <c r="P138" t="s">
        <v>3140</v>
      </c>
      <c r="Q138" s="2">
        <v>0.26</v>
      </c>
      <c r="R138" s="2">
        <v>70</v>
      </c>
      <c r="S138" s="2">
        <v>161</v>
      </c>
      <c r="T138" t="s">
        <v>3141</v>
      </c>
      <c r="U138" s="6">
        <v>18489</v>
      </c>
      <c r="V138" s="2">
        <v>47037015700</v>
      </c>
      <c r="W138" s="2" t="s">
        <v>68</v>
      </c>
      <c r="X138" s="1">
        <v>45658</v>
      </c>
      <c r="Y138" s="2">
        <v>57600</v>
      </c>
      <c r="Z138" s="2">
        <v>0</v>
      </c>
      <c r="AA138" s="2">
        <v>57600</v>
      </c>
    </row>
    <row r="139" spans="1:27" x14ac:dyDescent="0.3">
      <c r="A139" s="3">
        <v>13</v>
      </c>
      <c r="B139" s="2" t="str">
        <f>"12014011200"</f>
        <v>12014011200</v>
      </c>
      <c r="C139" s="2" t="s">
        <v>3142</v>
      </c>
      <c r="D139" t="s">
        <v>29</v>
      </c>
      <c r="E139" s="2" t="s">
        <v>30</v>
      </c>
      <c r="F139" s="2">
        <v>37217</v>
      </c>
      <c r="G139" s="2" t="s">
        <v>64</v>
      </c>
      <c r="H139" t="s">
        <v>2707</v>
      </c>
      <c r="I139" s="6">
        <v>32570</v>
      </c>
      <c r="J139" s="2" t="s">
        <v>3143</v>
      </c>
      <c r="K139" s="2">
        <v>56000</v>
      </c>
      <c r="L139" t="s">
        <v>2689</v>
      </c>
      <c r="M139" t="s">
        <v>29</v>
      </c>
      <c r="N139" t="s">
        <v>30</v>
      </c>
      <c r="O139">
        <v>37214</v>
      </c>
      <c r="P139" t="s">
        <v>3144</v>
      </c>
      <c r="Q139" s="2">
        <v>0.4</v>
      </c>
      <c r="R139" s="2">
        <v>105</v>
      </c>
      <c r="S139" s="2">
        <v>161</v>
      </c>
      <c r="T139" t="s">
        <v>3145</v>
      </c>
      <c r="U139" s="6">
        <v>24642</v>
      </c>
      <c r="V139" s="2">
        <v>47037015700</v>
      </c>
      <c r="W139" s="2" t="s">
        <v>68</v>
      </c>
      <c r="X139" s="1">
        <v>45658</v>
      </c>
      <c r="Y139" s="2">
        <v>57600</v>
      </c>
      <c r="Z139" s="2">
        <v>0</v>
      </c>
      <c r="AA139" s="2">
        <v>57600</v>
      </c>
    </row>
    <row r="140" spans="1:27" x14ac:dyDescent="0.3">
      <c r="A140" s="3">
        <v>13</v>
      </c>
      <c r="B140" s="2" t="str">
        <f>"12014014000"</f>
        <v>12014014000</v>
      </c>
      <c r="C140" s="2" t="s">
        <v>3146</v>
      </c>
      <c r="D140" t="s">
        <v>29</v>
      </c>
      <c r="E140" s="2" t="s">
        <v>30</v>
      </c>
      <c r="F140" s="2">
        <v>37217</v>
      </c>
      <c r="G140" s="2" t="s">
        <v>64</v>
      </c>
      <c r="H140" t="s">
        <v>2707</v>
      </c>
      <c r="I140" s="6">
        <v>32841</v>
      </c>
      <c r="J140" s="2" t="s">
        <v>3147</v>
      </c>
      <c r="K140" s="2">
        <v>45900</v>
      </c>
      <c r="L140" t="s">
        <v>2689</v>
      </c>
      <c r="M140" t="s">
        <v>29</v>
      </c>
      <c r="N140" t="s">
        <v>30</v>
      </c>
      <c r="O140">
        <v>37214</v>
      </c>
      <c r="P140" t="s">
        <v>3148</v>
      </c>
      <c r="Q140" s="2">
        <v>0.49</v>
      </c>
      <c r="R140" s="2">
        <v>116</v>
      </c>
      <c r="S140" s="2">
        <v>153</v>
      </c>
      <c r="T140" t="s">
        <v>3149</v>
      </c>
      <c r="U140" s="6">
        <v>24833</v>
      </c>
      <c r="V140" s="2">
        <v>47037015700</v>
      </c>
      <c r="W140" s="2" t="s">
        <v>68</v>
      </c>
      <c r="X140" s="1">
        <v>45658</v>
      </c>
      <c r="Y140" s="2">
        <v>63400</v>
      </c>
      <c r="Z140" s="2">
        <v>0</v>
      </c>
      <c r="AA140" s="2">
        <v>63400</v>
      </c>
    </row>
    <row r="141" spans="1:27" x14ac:dyDescent="0.3">
      <c r="A141" s="3">
        <v>13</v>
      </c>
      <c r="B141" s="2" t="str">
        <f>"12014011300"</f>
        <v>12014011300</v>
      </c>
      <c r="C141" s="2" t="s">
        <v>3150</v>
      </c>
      <c r="D141" t="s">
        <v>29</v>
      </c>
      <c r="E141" s="2" t="s">
        <v>30</v>
      </c>
      <c r="F141" s="2">
        <v>37217</v>
      </c>
      <c r="G141" s="2" t="s">
        <v>64</v>
      </c>
      <c r="H141" t="s">
        <v>2707</v>
      </c>
      <c r="I141" s="6">
        <v>32349</v>
      </c>
      <c r="J141" s="2" t="s">
        <v>3151</v>
      </c>
      <c r="K141" s="2">
        <v>81000</v>
      </c>
      <c r="L141" t="s">
        <v>2689</v>
      </c>
      <c r="M141" t="s">
        <v>29</v>
      </c>
      <c r="N141" t="s">
        <v>30</v>
      </c>
      <c r="O141">
        <v>37214</v>
      </c>
      <c r="P141" t="s">
        <v>3152</v>
      </c>
      <c r="Q141" s="2">
        <v>0.4</v>
      </c>
      <c r="R141" s="2">
        <v>105</v>
      </c>
      <c r="S141" s="2">
        <v>161</v>
      </c>
      <c r="T141" t="s">
        <v>3153</v>
      </c>
      <c r="U141" s="6">
        <v>21305</v>
      </c>
      <c r="V141" s="2">
        <v>47037015700</v>
      </c>
      <c r="W141" s="2" t="s">
        <v>68</v>
      </c>
      <c r="X141" s="1">
        <v>45658</v>
      </c>
      <c r="Y141" s="2">
        <v>57600</v>
      </c>
      <c r="Z141" s="2">
        <v>0</v>
      </c>
      <c r="AA141" s="2">
        <v>57600</v>
      </c>
    </row>
    <row r="142" spans="1:27" x14ac:dyDescent="0.3">
      <c r="A142" s="3">
        <v>13</v>
      </c>
      <c r="B142" s="2" t="str">
        <f>"12014011400"</f>
        <v>12014011400</v>
      </c>
      <c r="C142" s="2" t="s">
        <v>3154</v>
      </c>
      <c r="D142" t="s">
        <v>29</v>
      </c>
      <c r="E142" s="2" t="s">
        <v>30</v>
      </c>
      <c r="F142" s="2">
        <v>37217</v>
      </c>
      <c r="G142" s="2" t="s">
        <v>64</v>
      </c>
      <c r="H142" t="s">
        <v>2707</v>
      </c>
      <c r="I142" s="6">
        <v>32370</v>
      </c>
      <c r="J142" s="2" t="s">
        <v>3155</v>
      </c>
      <c r="K142" s="2">
        <v>65000</v>
      </c>
      <c r="L142" t="s">
        <v>2689</v>
      </c>
      <c r="M142" t="s">
        <v>29</v>
      </c>
      <c r="N142" t="s">
        <v>30</v>
      </c>
      <c r="O142">
        <v>37214</v>
      </c>
      <c r="P142" t="s">
        <v>3156</v>
      </c>
      <c r="Q142" s="2">
        <v>0.26</v>
      </c>
      <c r="R142" s="2">
        <v>70</v>
      </c>
      <c r="S142" s="2">
        <v>161</v>
      </c>
      <c r="T142" t="s">
        <v>3157</v>
      </c>
      <c r="U142" s="6">
        <v>17938</v>
      </c>
      <c r="V142" s="2">
        <v>47037015700</v>
      </c>
      <c r="W142" s="2" t="s">
        <v>68</v>
      </c>
      <c r="X142" s="1">
        <v>45658</v>
      </c>
      <c r="Y142" s="2">
        <v>57600</v>
      </c>
      <c r="Z142" s="2">
        <v>0</v>
      </c>
      <c r="AA142" s="2">
        <v>57600</v>
      </c>
    </row>
    <row r="143" spans="1:27" x14ac:dyDescent="0.3">
      <c r="A143" s="3">
        <v>13</v>
      </c>
      <c r="B143" s="2" t="str">
        <f>"12014011500"</f>
        <v>12014011500</v>
      </c>
      <c r="C143" s="2" t="s">
        <v>3158</v>
      </c>
      <c r="D143" t="s">
        <v>29</v>
      </c>
      <c r="E143" s="2" t="s">
        <v>30</v>
      </c>
      <c r="F143" s="2">
        <v>37217</v>
      </c>
      <c r="G143" s="2" t="s">
        <v>64</v>
      </c>
      <c r="H143" t="s">
        <v>2707</v>
      </c>
      <c r="I143" s="6">
        <v>32050</v>
      </c>
      <c r="J143" s="2" t="s">
        <v>3159</v>
      </c>
      <c r="K143" s="2">
        <v>58500</v>
      </c>
      <c r="L143" t="s">
        <v>2689</v>
      </c>
      <c r="M143" t="s">
        <v>29</v>
      </c>
      <c r="N143" t="s">
        <v>30</v>
      </c>
      <c r="O143">
        <v>37214</v>
      </c>
      <c r="P143" t="s">
        <v>3160</v>
      </c>
      <c r="Q143" s="2">
        <v>0.26</v>
      </c>
      <c r="R143" s="2">
        <v>70</v>
      </c>
      <c r="S143" s="2">
        <v>161</v>
      </c>
      <c r="T143" t="s">
        <v>3161</v>
      </c>
      <c r="U143" s="6">
        <v>18205</v>
      </c>
      <c r="V143" s="2">
        <v>47037015700</v>
      </c>
      <c r="W143" s="2" t="s">
        <v>68</v>
      </c>
      <c r="X143" s="1">
        <v>45658</v>
      </c>
      <c r="Y143" s="2">
        <v>57600</v>
      </c>
      <c r="Z143" s="2">
        <v>0</v>
      </c>
      <c r="AA143" s="2">
        <v>57600</v>
      </c>
    </row>
    <row r="144" spans="1:27" x14ac:dyDescent="0.3">
      <c r="A144" s="3">
        <v>13</v>
      </c>
      <c r="B144" s="2" t="str">
        <f>"12014011600"</f>
        <v>12014011600</v>
      </c>
      <c r="C144" s="2" t="s">
        <v>3162</v>
      </c>
      <c r="D144" t="s">
        <v>29</v>
      </c>
      <c r="E144" s="2" t="s">
        <v>30</v>
      </c>
      <c r="F144" s="2">
        <v>37217</v>
      </c>
      <c r="G144" s="2" t="s">
        <v>64</v>
      </c>
      <c r="H144" t="s">
        <v>2707</v>
      </c>
      <c r="I144" s="6">
        <v>32099</v>
      </c>
      <c r="J144" s="2" t="s">
        <v>3163</v>
      </c>
      <c r="K144" s="2">
        <v>54500</v>
      </c>
      <c r="L144" t="s">
        <v>2689</v>
      </c>
      <c r="M144" t="s">
        <v>29</v>
      </c>
      <c r="N144" t="s">
        <v>30</v>
      </c>
      <c r="O144">
        <v>37214</v>
      </c>
      <c r="P144" t="s">
        <v>3164</v>
      </c>
      <c r="Q144" s="2">
        <v>0.26</v>
      </c>
      <c r="R144" s="2">
        <v>70</v>
      </c>
      <c r="S144" s="2">
        <v>161</v>
      </c>
      <c r="T144" t="s">
        <v>3165</v>
      </c>
      <c r="U144" s="6">
        <v>26931</v>
      </c>
      <c r="V144" s="2">
        <v>47037015700</v>
      </c>
      <c r="W144" s="2" t="s">
        <v>68</v>
      </c>
      <c r="X144" s="1">
        <v>45658</v>
      </c>
      <c r="Y144" s="2">
        <v>57600</v>
      </c>
      <c r="Z144" s="2">
        <v>0</v>
      </c>
      <c r="AA144" s="2">
        <v>57600</v>
      </c>
    </row>
    <row r="145" spans="1:27" x14ac:dyDescent="0.3">
      <c r="A145" s="3">
        <v>13</v>
      </c>
      <c r="B145" s="2" t="str">
        <f>"12014011700"</f>
        <v>12014011700</v>
      </c>
      <c r="C145" s="2" t="s">
        <v>3166</v>
      </c>
      <c r="D145" t="s">
        <v>29</v>
      </c>
      <c r="E145" s="2" t="s">
        <v>30</v>
      </c>
      <c r="F145" s="2">
        <v>37217</v>
      </c>
      <c r="G145" s="2" t="s">
        <v>64</v>
      </c>
      <c r="H145" t="s">
        <v>2707</v>
      </c>
      <c r="I145" s="6">
        <v>32309</v>
      </c>
      <c r="J145" s="2" t="s">
        <v>3167</v>
      </c>
      <c r="K145" s="2">
        <v>58800</v>
      </c>
      <c r="L145" t="s">
        <v>2689</v>
      </c>
      <c r="M145" t="s">
        <v>29</v>
      </c>
      <c r="N145" t="s">
        <v>30</v>
      </c>
      <c r="O145">
        <v>37214</v>
      </c>
      <c r="P145" t="s">
        <v>3168</v>
      </c>
      <c r="Q145" s="2">
        <v>0.26</v>
      </c>
      <c r="R145" s="2">
        <v>70</v>
      </c>
      <c r="S145" s="2">
        <v>161</v>
      </c>
      <c r="T145" t="s">
        <v>3169</v>
      </c>
      <c r="U145" s="6">
        <v>26303</v>
      </c>
      <c r="V145" s="2">
        <v>47037015700</v>
      </c>
      <c r="W145" s="2" t="s">
        <v>68</v>
      </c>
      <c r="X145" s="1">
        <v>45658</v>
      </c>
      <c r="Y145" s="2">
        <v>57600</v>
      </c>
      <c r="Z145" s="2">
        <v>0</v>
      </c>
      <c r="AA145" s="2">
        <v>57600</v>
      </c>
    </row>
    <row r="146" spans="1:27" x14ac:dyDescent="0.3">
      <c r="A146" s="3">
        <v>13</v>
      </c>
      <c r="B146" s="2" t="str">
        <f>"12014011900"</f>
        <v>12014011900</v>
      </c>
      <c r="C146" s="2" t="s">
        <v>3170</v>
      </c>
      <c r="D146" t="s">
        <v>29</v>
      </c>
      <c r="E146" s="2" t="s">
        <v>30</v>
      </c>
      <c r="F146" s="2">
        <v>37217</v>
      </c>
      <c r="G146" s="2" t="s">
        <v>64</v>
      </c>
      <c r="H146" t="s">
        <v>2707</v>
      </c>
      <c r="I146" s="6">
        <v>32197</v>
      </c>
      <c r="J146" s="2" t="s">
        <v>3171</v>
      </c>
      <c r="K146" s="2">
        <v>47500</v>
      </c>
      <c r="L146" t="s">
        <v>2689</v>
      </c>
      <c r="M146" t="s">
        <v>29</v>
      </c>
      <c r="N146" t="s">
        <v>30</v>
      </c>
      <c r="O146">
        <v>37214</v>
      </c>
      <c r="P146" t="s">
        <v>3172</v>
      </c>
      <c r="Q146" s="2">
        <v>0.26</v>
      </c>
      <c r="R146" s="2">
        <v>70</v>
      </c>
      <c r="S146" s="2">
        <v>164</v>
      </c>
      <c r="T146" t="s">
        <v>3173</v>
      </c>
      <c r="U146" s="6">
        <v>20662</v>
      </c>
      <c r="V146" s="2">
        <v>47037015700</v>
      </c>
      <c r="W146" s="2" t="s">
        <v>68</v>
      </c>
      <c r="X146" s="1">
        <v>45658</v>
      </c>
      <c r="Y146" s="2">
        <v>57600</v>
      </c>
      <c r="Z146" s="2">
        <v>0</v>
      </c>
      <c r="AA146" s="2">
        <v>57600</v>
      </c>
    </row>
    <row r="147" spans="1:27" x14ac:dyDescent="0.3">
      <c r="A147" s="3">
        <v>13</v>
      </c>
      <c r="B147" s="2" t="str">
        <f>"12014012000"</f>
        <v>12014012000</v>
      </c>
      <c r="C147" s="2" t="s">
        <v>3174</v>
      </c>
      <c r="D147" t="s">
        <v>29</v>
      </c>
      <c r="E147" s="2" t="s">
        <v>30</v>
      </c>
      <c r="F147" s="2">
        <v>37217</v>
      </c>
      <c r="G147" s="2" t="s">
        <v>64</v>
      </c>
      <c r="H147" t="s">
        <v>2707</v>
      </c>
      <c r="I147" s="6">
        <v>32279</v>
      </c>
      <c r="J147" s="2" t="s">
        <v>3175</v>
      </c>
      <c r="K147" s="2">
        <v>54000</v>
      </c>
      <c r="L147" t="s">
        <v>2689</v>
      </c>
      <c r="M147" t="s">
        <v>29</v>
      </c>
      <c r="N147" t="s">
        <v>30</v>
      </c>
      <c r="O147">
        <v>37214</v>
      </c>
      <c r="P147" t="s">
        <v>3176</v>
      </c>
      <c r="Q147" s="2">
        <v>0.25</v>
      </c>
      <c r="R147" s="2">
        <v>69</v>
      </c>
      <c r="S147" s="2">
        <v>164</v>
      </c>
      <c r="T147" t="s">
        <v>3044</v>
      </c>
      <c r="U147" s="6">
        <v>33721</v>
      </c>
      <c r="V147" s="2">
        <v>47037015700</v>
      </c>
      <c r="W147" s="2" t="s">
        <v>68</v>
      </c>
      <c r="X147" s="1">
        <v>45658</v>
      </c>
      <c r="Y147" s="2">
        <v>57600</v>
      </c>
      <c r="Z147" s="2">
        <v>0</v>
      </c>
      <c r="AA147" s="2">
        <v>57600</v>
      </c>
    </row>
    <row r="148" spans="1:27" x14ac:dyDescent="0.3">
      <c r="A148" s="3">
        <v>13</v>
      </c>
      <c r="B148" s="2" t="str">
        <f>"12014012100"</f>
        <v>12014012100</v>
      </c>
      <c r="C148" s="2" t="s">
        <v>3177</v>
      </c>
      <c r="D148" t="s">
        <v>29</v>
      </c>
      <c r="E148" s="2" t="s">
        <v>30</v>
      </c>
      <c r="F148" s="2">
        <v>37217</v>
      </c>
      <c r="G148" s="2" t="s">
        <v>64</v>
      </c>
      <c r="H148" t="s">
        <v>2707</v>
      </c>
      <c r="I148" s="6">
        <v>33051</v>
      </c>
      <c r="J148" s="2" t="s">
        <v>3178</v>
      </c>
      <c r="K148" s="2">
        <v>65000</v>
      </c>
      <c r="L148" t="s">
        <v>2689</v>
      </c>
      <c r="M148" t="s">
        <v>29</v>
      </c>
      <c r="N148" t="s">
        <v>30</v>
      </c>
      <c r="O148">
        <v>37214</v>
      </c>
      <c r="P148" t="s">
        <v>3179</v>
      </c>
      <c r="Q148" s="2">
        <v>0.17</v>
      </c>
      <c r="R148" s="2">
        <v>101</v>
      </c>
      <c r="S148" s="2">
        <v>152</v>
      </c>
      <c r="T148" t="s">
        <v>3044</v>
      </c>
      <c r="U148" s="6">
        <v>33721</v>
      </c>
      <c r="V148" s="2">
        <v>47037015700</v>
      </c>
      <c r="W148" s="2" t="s">
        <v>68</v>
      </c>
      <c r="X148" s="1">
        <v>45658</v>
      </c>
      <c r="Y148" s="2">
        <v>51800</v>
      </c>
      <c r="Z148" s="2">
        <v>0</v>
      </c>
      <c r="AA148" s="2">
        <v>51800</v>
      </c>
    </row>
    <row r="149" spans="1:27" x14ac:dyDescent="0.3">
      <c r="A149" s="3">
        <v>13</v>
      </c>
      <c r="B149" s="2" t="str">
        <f>"12014013900"</f>
        <v>12014013900</v>
      </c>
      <c r="C149" s="2" t="s">
        <v>3180</v>
      </c>
      <c r="D149" t="s">
        <v>29</v>
      </c>
      <c r="E149" s="2" t="s">
        <v>30</v>
      </c>
      <c r="F149" s="2">
        <v>37217</v>
      </c>
      <c r="G149" s="2" t="s">
        <v>64</v>
      </c>
      <c r="H149" t="s">
        <v>2707</v>
      </c>
      <c r="I149" s="6">
        <v>32832</v>
      </c>
      <c r="J149" s="2" t="s">
        <v>3181</v>
      </c>
      <c r="K149" s="2">
        <v>45000</v>
      </c>
      <c r="L149" t="s">
        <v>2689</v>
      </c>
      <c r="M149" t="s">
        <v>29</v>
      </c>
      <c r="N149" t="s">
        <v>30</v>
      </c>
      <c r="O149">
        <v>37217</v>
      </c>
      <c r="P149" t="s">
        <v>3182</v>
      </c>
      <c r="Q149" s="2">
        <v>0.25</v>
      </c>
      <c r="R149" s="2">
        <v>85</v>
      </c>
      <c r="S149" s="2">
        <v>153</v>
      </c>
      <c r="T149" t="s">
        <v>3183</v>
      </c>
      <c r="U149" s="6">
        <v>27158</v>
      </c>
      <c r="V149" s="2">
        <v>47037015700</v>
      </c>
      <c r="W149" s="2" t="s">
        <v>68</v>
      </c>
      <c r="X149" s="1">
        <v>45658</v>
      </c>
      <c r="Y149" s="2">
        <v>57600</v>
      </c>
      <c r="Z149" s="2">
        <v>0</v>
      </c>
      <c r="AA149" s="2">
        <v>57600</v>
      </c>
    </row>
    <row r="150" spans="1:27" x14ac:dyDescent="0.3">
      <c r="A150" s="3">
        <v>13</v>
      </c>
      <c r="B150" s="2" t="str">
        <f>"12014013800"</f>
        <v>12014013800</v>
      </c>
      <c r="C150" s="2" t="s">
        <v>3184</v>
      </c>
      <c r="D150" t="s">
        <v>29</v>
      </c>
      <c r="E150" s="2" t="s">
        <v>30</v>
      </c>
      <c r="F150" s="2">
        <v>37217</v>
      </c>
      <c r="G150" s="2" t="s">
        <v>64</v>
      </c>
      <c r="H150" t="s">
        <v>2707</v>
      </c>
      <c r="I150" s="6">
        <v>32848</v>
      </c>
      <c r="J150" s="2" t="s">
        <v>3185</v>
      </c>
      <c r="K150" s="2">
        <v>46000</v>
      </c>
      <c r="L150" t="s">
        <v>2689</v>
      </c>
      <c r="M150" t="s">
        <v>29</v>
      </c>
      <c r="N150" t="s">
        <v>30</v>
      </c>
      <c r="O150">
        <v>37214</v>
      </c>
      <c r="P150" t="s">
        <v>3186</v>
      </c>
      <c r="Q150" s="2">
        <v>0.23</v>
      </c>
      <c r="R150" s="2">
        <v>85</v>
      </c>
      <c r="S150" s="2">
        <v>149</v>
      </c>
      <c r="T150" t="s">
        <v>3187</v>
      </c>
      <c r="U150" s="6">
        <v>25839</v>
      </c>
      <c r="V150" s="2">
        <v>47037015700</v>
      </c>
      <c r="W150" s="2" t="s">
        <v>68</v>
      </c>
      <c r="X150" s="1">
        <v>45658</v>
      </c>
      <c r="Y150" s="2">
        <v>57600</v>
      </c>
      <c r="Z150" s="2">
        <v>0</v>
      </c>
      <c r="AA150" s="2">
        <v>57600</v>
      </c>
    </row>
    <row r="151" spans="1:27" x14ac:dyDescent="0.3">
      <c r="A151" s="3">
        <v>13</v>
      </c>
      <c r="B151" s="2" t="str">
        <f>"12014013700"</f>
        <v>12014013700</v>
      </c>
      <c r="C151" s="2" t="s">
        <v>3188</v>
      </c>
      <c r="D151" t="s">
        <v>29</v>
      </c>
      <c r="E151" s="2" t="s">
        <v>30</v>
      </c>
      <c r="F151" s="2">
        <v>37217</v>
      </c>
      <c r="G151" s="2" t="s">
        <v>64</v>
      </c>
      <c r="H151" t="s">
        <v>2707</v>
      </c>
      <c r="I151" s="6">
        <v>32877</v>
      </c>
      <c r="J151" s="2" t="s">
        <v>3189</v>
      </c>
      <c r="K151" s="2">
        <v>54500</v>
      </c>
      <c r="L151" t="s">
        <v>2689</v>
      </c>
      <c r="M151" t="s">
        <v>29</v>
      </c>
      <c r="N151" t="s">
        <v>30</v>
      </c>
      <c r="O151">
        <v>37214</v>
      </c>
      <c r="P151" t="s">
        <v>3190</v>
      </c>
      <c r="Q151" s="2">
        <v>0.25</v>
      </c>
      <c r="R151" s="2">
        <v>85</v>
      </c>
      <c r="S151" s="2">
        <v>145</v>
      </c>
      <c r="T151" t="s">
        <v>3191</v>
      </c>
      <c r="U151" s="6">
        <v>26175</v>
      </c>
      <c r="V151" s="2">
        <v>47037015700</v>
      </c>
      <c r="W151" s="2" t="s">
        <v>68</v>
      </c>
      <c r="X151" s="1">
        <v>45658</v>
      </c>
      <c r="Y151" s="2">
        <v>57600</v>
      </c>
      <c r="Z151" s="2">
        <v>0</v>
      </c>
      <c r="AA151" s="2">
        <v>57600</v>
      </c>
    </row>
    <row r="152" spans="1:27" x14ac:dyDescent="0.3">
      <c r="A152" s="3">
        <v>13</v>
      </c>
      <c r="B152" s="2" t="str">
        <f>"12014013600"</f>
        <v>12014013600</v>
      </c>
      <c r="C152" s="2" t="s">
        <v>3192</v>
      </c>
      <c r="D152" t="s">
        <v>29</v>
      </c>
      <c r="E152" s="2" t="s">
        <v>30</v>
      </c>
      <c r="F152" s="2">
        <v>37217</v>
      </c>
      <c r="G152" s="2" t="s">
        <v>64</v>
      </c>
      <c r="H152" t="s">
        <v>2707</v>
      </c>
      <c r="I152" s="6">
        <v>32801</v>
      </c>
      <c r="J152" s="2" t="s">
        <v>3193</v>
      </c>
      <c r="K152" s="2">
        <v>48000</v>
      </c>
      <c r="L152" t="s">
        <v>2689</v>
      </c>
      <c r="M152" t="s">
        <v>29</v>
      </c>
      <c r="N152" t="s">
        <v>30</v>
      </c>
      <c r="O152">
        <v>37214</v>
      </c>
      <c r="P152" t="s">
        <v>3194</v>
      </c>
      <c r="Q152" s="2">
        <v>0.23</v>
      </c>
      <c r="R152" s="2">
        <v>70</v>
      </c>
      <c r="S152" s="2">
        <v>147</v>
      </c>
      <c r="T152" t="s">
        <v>3195</v>
      </c>
      <c r="U152" s="6">
        <v>20223</v>
      </c>
      <c r="V152" s="2">
        <v>47037015700</v>
      </c>
      <c r="W152" s="2" t="s">
        <v>68</v>
      </c>
      <c r="X152" s="1">
        <v>45658</v>
      </c>
      <c r="Y152" s="2">
        <v>57600</v>
      </c>
      <c r="Z152" s="2">
        <v>0</v>
      </c>
      <c r="AA152" s="2">
        <v>57600</v>
      </c>
    </row>
    <row r="153" spans="1:27" x14ac:dyDescent="0.3">
      <c r="A153" s="3">
        <v>13</v>
      </c>
      <c r="B153" s="2" t="str">
        <f>"12014013500"</f>
        <v>12014013500</v>
      </c>
      <c r="C153" s="2" t="s">
        <v>3196</v>
      </c>
      <c r="D153" t="s">
        <v>29</v>
      </c>
      <c r="E153" s="2" t="s">
        <v>30</v>
      </c>
      <c r="F153" s="2">
        <v>37217</v>
      </c>
      <c r="G153" s="2" t="s">
        <v>64</v>
      </c>
      <c r="H153" t="s">
        <v>2707</v>
      </c>
      <c r="I153" s="6">
        <v>33953</v>
      </c>
      <c r="J153" s="2" t="s">
        <v>3197</v>
      </c>
      <c r="K153" s="2" t="s">
        <v>34</v>
      </c>
      <c r="L153" t="s">
        <v>2689</v>
      </c>
      <c r="M153" t="s">
        <v>29</v>
      </c>
      <c r="N153" t="s">
        <v>30</v>
      </c>
      <c r="O153">
        <v>37214</v>
      </c>
      <c r="P153" t="s">
        <v>3198</v>
      </c>
      <c r="Q153" s="2">
        <v>0.22</v>
      </c>
      <c r="R153" s="2">
        <v>70</v>
      </c>
      <c r="S153" s="2">
        <v>149</v>
      </c>
      <c r="T153" t="s">
        <v>3199</v>
      </c>
      <c r="U153" s="6">
        <v>17049</v>
      </c>
      <c r="V153" s="2">
        <v>47037015700</v>
      </c>
      <c r="W153" s="2" t="s">
        <v>68</v>
      </c>
      <c r="X153" s="1">
        <v>45658</v>
      </c>
      <c r="Y153" s="2">
        <v>51800</v>
      </c>
      <c r="Z153" s="2">
        <v>0</v>
      </c>
      <c r="AA153" s="2">
        <v>51800</v>
      </c>
    </row>
    <row r="154" spans="1:27" x14ac:dyDescent="0.3">
      <c r="A154" s="3">
        <v>13</v>
      </c>
      <c r="B154" s="2" t="str">
        <f>"12014013400"</f>
        <v>12014013400</v>
      </c>
      <c r="C154" s="2" t="s">
        <v>3200</v>
      </c>
      <c r="D154" t="s">
        <v>29</v>
      </c>
      <c r="E154" s="2" t="s">
        <v>30</v>
      </c>
      <c r="F154" s="2">
        <v>37217</v>
      </c>
      <c r="G154" s="2" t="s">
        <v>64</v>
      </c>
      <c r="H154" t="s">
        <v>2707</v>
      </c>
      <c r="I154" s="6">
        <v>32566</v>
      </c>
      <c r="J154" s="2" t="s">
        <v>3201</v>
      </c>
      <c r="K154" s="2">
        <v>66000</v>
      </c>
      <c r="L154" t="s">
        <v>2689</v>
      </c>
      <c r="M154" t="s">
        <v>29</v>
      </c>
      <c r="N154" t="s">
        <v>30</v>
      </c>
      <c r="O154">
        <v>37214</v>
      </c>
      <c r="P154" t="s">
        <v>3202</v>
      </c>
      <c r="Q154" s="2">
        <v>0.22</v>
      </c>
      <c r="R154" s="2">
        <v>70</v>
      </c>
      <c r="S154" s="2">
        <v>150</v>
      </c>
      <c r="T154" t="s">
        <v>3203</v>
      </c>
      <c r="U154" s="6">
        <v>23793</v>
      </c>
      <c r="V154" s="2">
        <v>47037015700</v>
      </c>
      <c r="W154" s="2" t="s">
        <v>68</v>
      </c>
      <c r="X154" s="1">
        <v>45658</v>
      </c>
      <c r="Y154" s="2">
        <v>51800</v>
      </c>
      <c r="Z154" s="2">
        <v>0</v>
      </c>
      <c r="AA154" s="2">
        <v>51800</v>
      </c>
    </row>
    <row r="155" spans="1:27" x14ac:dyDescent="0.3">
      <c r="A155" s="3">
        <v>13</v>
      </c>
      <c r="B155" s="2" t="str">
        <f>"12014013300"</f>
        <v>12014013300</v>
      </c>
      <c r="C155" s="2" t="s">
        <v>3204</v>
      </c>
      <c r="D155" t="s">
        <v>29</v>
      </c>
      <c r="E155" s="2" t="s">
        <v>30</v>
      </c>
      <c r="F155" s="2">
        <v>37217</v>
      </c>
      <c r="G155" s="2" t="s">
        <v>64</v>
      </c>
      <c r="H155" t="s">
        <v>2707</v>
      </c>
      <c r="I155" s="6">
        <v>32617</v>
      </c>
      <c r="J155" s="2" t="s">
        <v>3205</v>
      </c>
      <c r="K155" s="2">
        <v>47000</v>
      </c>
      <c r="L155" t="s">
        <v>2689</v>
      </c>
      <c r="M155" t="s">
        <v>29</v>
      </c>
      <c r="N155" t="s">
        <v>30</v>
      </c>
      <c r="O155">
        <v>37214</v>
      </c>
      <c r="P155" t="s">
        <v>3206</v>
      </c>
      <c r="Q155" s="2">
        <v>0.21</v>
      </c>
      <c r="R155" s="2">
        <v>70</v>
      </c>
      <c r="S155" s="2">
        <v>153</v>
      </c>
      <c r="T155" t="s">
        <v>3207</v>
      </c>
      <c r="U155" s="6">
        <v>25514</v>
      </c>
      <c r="V155" s="2">
        <v>47037015700</v>
      </c>
      <c r="W155" s="2" t="s">
        <v>68</v>
      </c>
      <c r="X155" s="1">
        <v>45658</v>
      </c>
      <c r="Y155" s="2">
        <v>51800</v>
      </c>
      <c r="Z155" s="2">
        <v>0</v>
      </c>
      <c r="AA155" s="2">
        <v>51800</v>
      </c>
    </row>
    <row r="156" spans="1:27" x14ac:dyDescent="0.3">
      <c r="A156" s="3">
        <v>13</v>
      </c>
      <c r="B156" s="2" t="str">
        <f>"12014013200"</f>
        <v>12014013200</v>
      </c>
      <c r="C156" s="2" t="s">
        <v>3208</v>
      </c>
      <c r="D156" t="s">
        <v>29</v>
      </c>
      <c r="E156" s="2" t="s">
        <v>30</v>
      </c>
      <c r="F156" s="2">
        <v>37217</v>
      </c>
      <c r="G156" s="2" t="s">
        <v>64</v>
      </c>
      <c r="H156" t="s">
        <v>2707</v>
      </c>
      <c r="I156" s="6">
        <v>32582</v>
      </c>
      <c r="J156" s="2" t="s">
        <v>3209</v>
      </c>
      <c r="K156" s="2">
        <v>66500</v>
      </c>
      <c r="L156" t="s">
        <v>2689</v>
      </c>
      <c r="M156" t="s">
        <v>29</v>
      </c>
      <c r="N156" t="s">
        <v>30</v>
      </c>
      <c r="O156">
        <v>37214</v>
      </c>
      <c r="P156" t="s">
        <v>3210</v>
      </c>
      <c r="Q156" s="2">
        <v>0.25</v>
      </c>
      <c r="R156" s="2">
        <v>70</v>
      </c>
      <c r="S156" s="2">
        <v>155</v>
      </c>
      <c r="T156" t="s">
        <v>3211</v>
      </c>
      <c r="U156" s="6">
        <v>26487</v>
      </c>
      <c r="V156" s="2">
        <v>47037015700</v>
      </c>
      <c r="W156" s="2" t="s">
        <v>68</v>
      </c>
      <c r="X156" s="1">
        <v>45658</v>
      </c>
      <c r="Y156" s="2">
        <v>57600</v>
      </c>
      <c r="Z156" s="2">
        <v>0</v>
      </c>
      <c r="AA156" s="2">
        <v>57600</v>
      </c>
    </row>
    <row r="157" spans="1:27" x14ac:dyDescent="0.3">
      <c r="A157" s="3">
        <v>13</v>
      </c>
      <c r="B157" s="2" t="str">
        <f>"12014013000"</f>
        <v>12014013000</v>
      </c>
      <c r="C157" s="2" t="s">
        <v>3212</v>
      </c>
      <c r="D157" t="s">
        <v>29</v>
      </c>
      <c r="E157" s="2" t="s">
        <v>30</v>
      </c>
      <c r="F157" s="2">
        <v>37217</v>
      </c>
      <c r="G157" s="2" t="s">
        <v>64</v>
      </c>
      <c r="H157" t="s">
        <v>2707</v>
      </c>
      <c r="I157" s="6">
        <v>32421</v>
      </c>
      <c r="J157" s="2" t="s">
        <v>3213</v>
      </c>
      <c r="K157" s="2">
        <v>45000</v>
      </c>
      <c r="L157" t="s">
        <v>2689</v>
      </c>
      <c r="M157" t="s">
        <v>29</v>
      </c>
      <c r="N157" t="s">
        <v>30</v>
      </c>
      <c r="O157">
        <v>37214</v>
      </c>
      <c r="P157" t="s">
        <v>3214</v>
      </c>
      <c r="Q157" s="2">
        <v>0.24</v>
      </c>
      <c r="R157" s="2">
        <v>70</v>
      </c>
      <c r="S157" s="2">
        <v>158</v>
      </c>
      <c r="T157" t="s">
        <v>3215</v>
      </c>
      <c r="U157" s="6">
        <v>21052</v>
      </c>
      <c r="V157" s="2">
        <v>47037015700</v>
      </c>
      <c r="W157" s="2" t="s">
        <v>68</v>
      </c>
      <c r="X157" s="1">
        <v>45658</v>
      </c>
      <c r="Y157" s="2">
        <v>57600</v>
      </c>
      <c r="Z157" s="2">
        <v>0</v>
      </c>
      <c r="AA157" s="2">
        <v>57600</v>
      </c>
    </row>
    <row r="158" spans="1:27" x14ac:dyDescent="0.3">
      <c r="A158" s="3">
        <v>13</v>
      </c>
      <c r="B158" s="2" t="str">
        <f>"12014012900"</f>
        <v>12014012900</v>
      </c>
      <c r="C158" s="2" t="s">
        <v>3216</v>
      </c>
      <c r="D158" t="s">
        <v>29</v>
      </c>
      <c r="E158" s="2" t="s">
        <v>30</v>
      </c>
      <c r="F158" s="2">
        <v>37217</v>
      </c>
      <c r="G158" s="2" t="s">
        <v>64</v>
      </c>
      <c r="H158" t="s">
        <v>2707</v>
      </c>
      <c r="I158" s="6">
        <v>32335</v>
      </c>
      <c r="J158" s="2" t="s">
        <v>3217</v>
      </c>
      <c r="K158" s="2">
        <v>50000</v>
      </c>
      <c r="L158" t="s">
        <v>2689</v>
      </c>
      <c r="M158" t="s">
        <v>29</v>
      </c>
      <c r="N158" t="s">
        <v>30</v>
      </c>
      <c r="O158">
        <v>37214</v>
      </c>
      <c r="P158" t="s">
        <v>3218</v>
      </c>
      <c r="Q158" s="2">
        <v>0.26</v>
      </c>
      <c r="R158" s="2">
        <v>70</v>
      </c>
      <c r="S158" s="2">
        <v>160</v>
      </c>
      <c r="T158" t="s">
        <v>3219</v>
      </c>
      <c r="U158" s="6">
        <v>21690</v>
      </c>
      <c r="V158" s="2">
        <v>47037015700</v>
      </c>
      <c r="W158" s="2" t="s">
        <v>68</v>
      </c>
      <c r="X158" s="1">
        <v>45658</v>
      </c>
      <c r="Y158" s="2">
        <v>57600</v>
      </c>
      <c r="Z158" s="2">
        <v>0</v>
      </c>
      <c r="AA158" s="2">
        <v>57600</v>
      </c>
    </row>
    <row r="159" spans="1:27" x14ac:dyDescent="0.3">
      <c r="A159" s="3">
        <v>13</v>
      </c>
      <c r="B159" s="2" t="str">
        <f>"12014012800"</f>
        <v>12014012800</v>
      </c>
      <c r="C159" s="2" t="s">
        <v>3220</v>
      </c>
      <c r="D159" t="s">
        <v>29</v>
      </c>
      <c r="E159" s="2" t="s">
        <v>30</v>
      </c>
      <c r="F159" s="2">
        <v>37217</v>
      </c>
      <c r="G159" s="2" t="s">
        <v>64</v>
      </c>
      <c r="H159" t="s">
        <v>2707</v>
      </c>
      <c r="I159" s="6">
        <v>32148</v>
      </c>
      <c r="J159" s="2" t="s">
        <v>3221</v>
      </c>
      <c r="K159" s="2">
        <v>53000</v>
      </c>
      <c r="L159" t="s">
        <v>2689</v>
      </c>
      <c r="M159" t="s">
        <v>29</v>
      </c>
      <c r="N159" t="s">
        <v>30</v>
      </c>
      <c r="O159">
        <v>37214</v>
      </c>
      <c r="P159" t="s">
        <v>3222</v>
      </c>
      <c r="Q159" s="2">
        <v>0.26</v>
      </c>
      <c r="R159" s="2">
        <v>70</v>
      </c>
      <c r="S159" s="2">
        <v>162</v>
      </c>
      <c r="T159" t="s">
        <v>3223</v>
      </c>
      <c r="U159" s="6">
        <v>21452</v>
      </c>
      <c r="V159" s="2">
        <v>47037015700</v>
      </c>
      <c r="W159" s="2" t="s">
        <v>68</v>
      </c>
      <c r="X159" s="1">
        <v>45658</v>
      </c>
      <c r="Y159" s="2">
        <v>57600</v>
      </c>
      <c r="Z159" s="2">
        <v>0</v>
      </c>
      <c r="AA159" s="2">
        <v>57600</v>
      </c>
    </row>
    <row r="160" spans="1:27" x14ac:dyDescent="0.3">
      <c r="A160" s="3">
        <v>13</v>
      </c>
      <c r="B160" s="2" t="str">
        <f>"12014012700"</f>
        <v>12014012700</v>
      </c>
      <c r="C160" s="2" t="s">
        <v>3224</v>
      </c>
      <c r="D160" t="s">
        <v>29</v>
      </c>
      <c r="E160" s="2" t="s">
        <v>30</v>
      </c>
      <c r="F160" s="2">
        <v>37217</v>
      </c>
      <c r="G160" s="2" t="s">
        <v>64</v>
      </c>
      <c r="H160" t="s">
        <v>2707</v>
      </c>
      <c r="I160" s="6">
        <v>32100</v>
      </c>
      <c r="J160" s="2" t="s">
        <v>3225</v>
      </c>
      <c r="K160" s="2">
        <v>63000</v>
      </c>
      <c r="L160" t="s">
        <v>2689</v>
      </c>
      <c r="M160" t="s">
        <v>29</v>
      </c>
      <c r="N160" t="s">
        <v>30</v>
      </c>
      <c r="O160">
        <v>37214</v>
      </c>
      <c r="P160" t="s">
        <v>3226</v>
      </c>
      <c r="Q160" s="2">
        <v>0.26</v>
      </c>
      <c r="R160" s="2">
        <v>70</v>
      </c>
      <c r="S160" s="2">
        <v>164</v>
      </c>
      <c r="T160" t="s">
        <v>3227</v>
      </c>
      <c r="U160" s="6">
        <v>26310</v>
      </c>
      <c r="V160" s="2">
        <v>47037015700</v>
      </c>
      <c r="W160" s="2" t="s">
        <v>68</v>
      </c>
      <c r="X160" s="1">
        <v>45658</v>
      </c>
      <c r="Y160" s="2">
        <v>57600</v>
      </c>
      <c r="Z160" s="2">
        <v>0</v>
      </c>
      <c r="AA160" s="2">
        <v>57600</v>
      </c>
    </row>
    <row r="161" spans="1:27" x14ac:dyDescent="0.3">
      <c r="A161" s="3">
        <v>13</v>
      </c>
      <c r="B161" s="2" t="str">
        <f>"12014014200"</f>
        <v>12014014200</v>
      </c>
      <c r="C161" s="2" t="s">
        <v>3228</v>
      </c>
      <c r="D161" t="s">
        <v>29</v>
      </c>
      <c r="E161" s="2" t="s">
        <v>30</v>
      </c>
      <c r="F161" s="2">
        <v>37217</v>
      </c>
      <c r="G161" s="2" t="s">
        <v>64</v>
      </c>
      <c r="H161" t="s">
        <v>2707</v>
      </c>
      <c r="I161" s="6">
        <v>32877</v>
      </c>
      <c r="J161" s="2" t="s">
        <v>3229</v>
      </c>
      <c r="K161" s="2">
        <v>52500</v>
      </c>
      <c r="L161" t="s">
        <v>2689</v>
      </c>
      <c r="M161" t="s">
        <v>29</v>
      </c>
      <c r="N161" t="s">
        <v>30</v>
      </c>
      <c r="O161">
        <v>37214</v>
      </c>
      <c r="P161" t="s">
        <v>3230</v>
      </c>
      <c r="Q161" s="2">
        <v>0.39</v>
      </c>
      <c r="R161" s="2">
        <v>139</v>
      </c>
      <c r="S161" s="2">
        <v>105</v>
      </c>
      <c r="T161" t="s">
        <v>3231</v>
      </c>
      <c r="U161" s="6">
        <v>18379</v>
      </c>
      <c r="V161" s="2">
        <v>47037015700</v>
      </c>
      <c r="W161" s="2" t="s">
        <v>68</v>
      </c>
      <c r="X161" s="1">
        <v>45658</v>
      </c>
      <c r="Y161" s="2">
        <v>57600</v>
      </c>
      <c r="Z161" s="2">
        <v>0</v>
      </c>
      <c r="AA161" s="2">
        <v>57600</v>
      </c>
    </row>
    <row r="162" spans="1:27" x14ac:dyDescent="0.3">
      <c r="A162" s="3">
        <v>13</v>
      </c>
      <c r="B162" s="2" t="str">
        <f>"12014012600"</f>
        <v>12014012600</v>
      </c>
      <c r="C162" s="2" t="s">
        <v>3232</v>
      </c>
      <c r="D162" t="s">
        <v>29</v>
      </c>
      <c r="E162" s="2" t="s">
        <v>30</v>
      </c>
      <c r="F162" s="2">
        <v>37217</v>
      </c>
      <c r="G162" s="2" t="s">
        <v>64</v>
      </c>
      <c r="H162" t="s">
        <v>2707</v>
      </c>
      <c r="I162" s="6">
        <v>32146</v>
      </c>
      <c r="J162" s="2" t="s">
        <v>3233</v>
      </c>
      <c r="K162" s="2">
        <v>57750</v>
      </c>
      <c r="L162" t="s">
        <v>2689</v>
      </c>
      <c r="M162" t="s">
        <v>29</v>
      </c>
      <c r="N162" t="s">
        <v>30</v>
      </c>
      <c r="O162">
        <v>37214</v>
      </c>
      <c r="P162" t="s">
        <v>3234</v>
      </c>
      <c r="Q162" s="2">
        <v>0.26</v>
      </c>
      <c r="R162" s="2">
        <v>70</v>
      </c>
      <c r="S162" s="2">
        <v>166</v>
      </c>
      <c r="T162" t="s">
        <v>3235</v>
      </c>
      <c r="U162" s="6">
        <v>24987</v>
      </c>
      <c r="V162" s="2">
        <v>47037015700</v>
      </c>
      <c r="W162" s="2" t="s">
        <v>68</v>
      </c>
      <c r="X162" s="1">
        <v>45658</v>
      </c>
      <c r="Y162" s="2">
        <v>57600</v>
      </c>
      <c r="Z162" s="2">
        <v>0</v>
      </c>
      <c r="AA162" s="2">
        <v>57600</v>
      </c>
    </row>
    <row r="163" spans="1:27" x14ac:dyDescent="0.3">
      <c r="A163" s="3">
        <v>13</v>
      </c>
      <c r="B163" s="2" t="str">
        <f>"12014012500"</f>
        <v>12014012500</v>
      </c>
      <c r="C163" s="2" t="s">
        <v>3236</v>
      </c>
      <c r="D163" t="s">
        <v>29</v>
      </c>
      <c r="E163" s="2" t="s">
        <v>30</v>
      </c>
      <c r="F163" s="2">
        <v>37217</v>
      </c>
      <c r="G163" s="2" t="s">
        <v>64</v>
      </c>
      <c r="H163" t="s">
        <v>2707</v>
      </c>
      <c r="I163" s="6">
        <v>32161</v>
      </c>
      <c r="J163" s="2" t="s">
        <v>3237</v>
      </c>
      <c r="K163" s="2">
        <v>46000</v>
      </c>
      <c r="L163" t="s">
        <v>2689</v>
      </c>
      <c r="M163" t="s">
        <v>29</v>
      </c>
      <c r="N163" t="s">
        <v>30</v>
      </c>
      <c r="O163">
        <v>37214</v>
      </c>
      <c r="P163" t="s">
        <v>3238</v>
      </c>
      <c r="Q163" s="2">
        <v>0.27</v>
      </c>
      <c r="R163" s="2">
        <v>70</v>
      </c>
      <c r="S163" s="2">
        <v>166</v>
      </c>
      <c r="T163" t="s">
        <v>3239</v>
      </c>
      <c r="U163" s="6">
        <v>27187</v>
      </c>
      <c r="V163" s="2">
        <v>47037015700</v>
      </c>
      <c r="W163" s="2" t="s">
        <v>68</v>
      </c>
      <c r="X163" s="1">
        <v>45658</v>
      </c>
      <c r="Y163" s="2">
        <v>57600</v>
      </c>
      <c r="Z163" s="2">
        <v>0</v>
      </c>
      <c r="AA163" s="2">
        <v>57600</v>
      </c>
    </row>
    <row r="164" spans="1:27" x14ac:dyDescent="0.3">
      <c r="A164" s="3">
        <v>13</v>
      </c>
      <c r="B164" s="2" t="str">
        <f>"12014012400"</f>
        <v>12014012400</v>
      </c>
      <c r="C164" s="2" t="s">
        <v>3240</v>
      </c>
      <c r="D164" t="s">
        <v>29</v>
      </c>
      <c r="E164" s="2" t="s">
        <v>30</v>
      </c>
      <c r="F164" s="2">
        <v>37217</v>
      </c>
      <c r="G164" s="2" t="s">
        <v>64</v>
      </c>
      <c r="H164" t="s">
        <v>2707</v>
      </c>
      <c r="I164" s="6">
        <v>32100</v>
      </c>
      <c r="J164" s="2" t="s">
        <v>3241</v>
      </c>
      <c r="K164" s="2">
        <v>40000</v>
      </c>
      <c r="L164" t="s">
        <v>2689</v>
      </c>
      <c r="M164" t="s">
        <v>29</v>
      </c>
      <c r="N164" t="s">
        <v>30</v>
      </c>
      <c r="O164">
        <v>37214</v>
      </c>
      <c r="P164" t="s">
        <v>3242</v>
      </c>
      <c r="Q164" s="2">
        <v>0.26</v>
      </c>
      <c r="R164" s="2">
        <v>29</v>
      </c>
      <c r="S164" s="2">
        <v>164</v>
      </c>
      <c r="T164" t="s">
        <v>3044</v>
      </c>
      <c r="U164" s="6">
        <v>33721</v>
      </c>
      <c r="V164" s="2">
        <v>47037015700</v>
      </c>
      <c r="W164" s="2" t="s">
        <v>68</v>
      </c>
      <c r="X164" s="1">
        <v>45658</v>
      </c>
      <c r="Y164" s="2">
        <v>57600</v>
      </c>
      <c r="Z164" s="2">
        <v>0</v>
      </c>
      <c r="AA164" s="2">
        <v>57600</v>
      </c>
    </row>
    <row r="165" spans="1:27" x14ac:dyDescent="0.3">
      <c r="A165" s="3">
        <v>13</v>
      </c>
      <c r="B165" s="2" t="str">
        <f>"12014014300"</f>
        <v>12014014300</v>
      </c>
      <c r="C165" s="2" t="s">
        <v>3243</v>
      </c>
      <c r="D165" t="s">
        <v>29</v>
      </c>
      <c r="E165" s="2" t="s">
        <v>30</v>
      </c>
      <c r="F165" s="2">
        <v>37217</v>
      </c>
      <c r="G165" s="2" t="s">
        <v>64</v>
      </c>
      <c r="H165" t="s">
        <v>2707</v>
      </c>
      <c r="I165" s="6">
        <v>32804</v>
      </c>
      <c r="J165" s="2" t="s">
        <v>3244</v>
      </c>
      <c r="K165" s="2" t="s">
        <v>34</v>
      </c>
      <c r="L165" t="s">
        <v>2689</v>
      </c>
      <c r="M165" t="s">
        <v>29</v>
      </c>
      <c r="N165" t="s">
        <v>30</v>
      </c>
      <c r="O165">
        <v>37214</v>
      </c>
      <c r="P165" t="s">
        <v>3245</v>
      </c>
      <c r="Q165" s="2">
        <v>0.33</v>
      </c>
      <c r="R165" s="2">
        <v>70</v>
      </c>
      <c r="S165" s="2">
        <v>191</v>
      </c>
      <c r="T165" t="s">
        <v>3246</v>
      </c>
      <c r="U165" s="6">
        <v>19386</v>
      </c>
      <c r="V165" s="2">
        <v>47037015700</v>
      </c>
      <c r="W165" s="2" t="s">
        <v>68</v>
      </c>
      <c r="X165" s="1">
        <v>45658</v>
      </c>
      <c r="Y165" s="2">
        <v>57600</v>
      </c>
      <c r="Z165" s="2">
        <v>0</v>
      </c>
      <c r="AA165" s="2">
        <v>57600</v>
      </c>
    </row>
    <row r="166" spans="1:27" x14ac:dyDescent="0.3">
      <c r="A166" s="3">
        <v>13</v>
      </c>
      <c r="B166" s="2" t="str">
        <f>"12014014400"</f>
        <v>12014014400</v>
      </c>
      <c r="C166" s="2" t="s">
        <v>3247</v>
      </c>
      <c r="D166" t="s">
        <v>29</v>
      </c>
      <c r="E166" s="2" t="s">
        <v>30</v>
      </c>
      <c r="F166" s="2">
        <v>37217</v>
      </c>
      <c r="G166" s="2" t="s">
        <v>64</v>
      </c>
      <c r="H166" t="s">
        <v>2707</v>
      </c>
      <c r="I166" s="6">
        <v>32919</v>
      </c>
      <c r="J166" s="2" t="s">
        <v>3248</v>
      </c>
      <c r="K166" s="2">
        <v>62000</v>
      </c>
      <c r="L166" t="s">
        <v>2689</v>
      </c>
      <c r="M166" t="s">
        <v>29</v>
      </c>
      <c r="N166" t="s">
        <v>30</v>
      </c>
      <c r="O166">
        <v>37214</v>
      </c>
      <c r="P166" t="s">
        <v>3249</v>
      </c>
      <c r="Q166" s="2">
        <v>0.34</v>
      </c>
      <c r="R166" s="2">
        <v>70</v>
      </c>
      <c r="S166" s="2">
        <v>191</v>
      </c>
      <c r="T166" t="s">
        <v>3250</v>
      </c>
      <c r="U166" s="6">
        <v>25510</v>
      </c>
      <c r="V166" s="2">
        <v>47037015700</v>
      </c>
      <c r="W166" s="2" t="s">
        <v>68</v>
      </c>
      <c r="X166" s="1">
        <v>45658</v>
      </c>
      <c r="Y166" s="2">
        <v>57600</v>
      </c>
      <c r="Z166" s="2">
        <v>0</v>
      </c>
      <c r="AA166" s="2">
        <v>57600</v>
      </c>
    </row>
    <row r="167" spans="1:27" x14ac:dyDescent="0.3">
      <c r="A167" s="3">
        <v>13</v>
      </c>
      <c r="B167" s="2" t="str">
        <f>"12014014500"</f>
        <v>12014014500</v>
      </c>
      <c r="C167" s="2" t="s">
        <v>3251</v>
      </c>
      <c r="D167" t="s">
        <v>29</v>
      </c>
      <c r="E167" s="2" t="s">
        <v>30</v>
      </c>
      <c r="F167" s="2">
        <v>37217</v>
      </c>
      <c r="G167" s="2" t="s">
        <v>64</v>
      </c>
      <c r="H167" t="s">
        <v>2707</v>
      </c>
      <c r="I167" s="6">
        <v>32812</v>
      </c>
      <c r="J167" s="2" t="s">
        <v>3252</v>
      </c>
      <c r="K167" s="2">
        <v>38500</v>
      </c>
      <c r="L167" t="s">
        <v>2689</v>
      </c>
      <c r="M167" t="s">
        <v>29</v>
      </c>
      <c r="N167" t="s">
        <v>30</v>
      </c>
      <c r="O167">
        <v>37214</v>
      </c>
      <c r="P167" t="s">
        <v>3253</v>
      </c>
      <c r="Q167" s="2">
        <v>0.28999999999999998</v>
      </c>
      <c r="R167" s="2">
        <v>70</v>
      </c>
      <c r="S167" s="2">
        <v>173</v>
      </c>
      <c r="T167" t="s">
        <v>3254</v>
      </c>
      <c r="U167" s="6">
        <v>26709</v>
      </c>
      <c r="V167" s="2">
        <v>47037015700</v>
      </c>
      <c r="W167" s="2" t="s">
        <v>68</v>
      </c>
      <c r="X167" s="1">
        <v>45658</v>
      </c>
      <c r="Y167" s="2">
        <v>57600</v>
      </c>
      <c r="Z167" s="2">
        <v>0</v>
      </c>
      <c r="AA167" s="2">
        <v>57600</v>
      </c>
    </row>
    <row r="168" spans="1:27" x14ac:dyDescent="0.3">
      <c r="A168" s="3">
        <v>13</v>
      </c>
      <c r="B168" s="2" t="str">
        <f>"12014014100"</f>
        <v>12014014100</v>
      </c>
      <c r="C168" s="2" t="s">
        <v>3255</v>
      </c>
      <c r="D168" t="s">
        <v>29</v>
      </c>
      <c r="E168" s="2" t="s">
        <v>30</v>
      </c>
      <c r="F168" s="2">
        <v>37217</v>
      </c>
      <c r="G168" s="2" t="s">
        <v>64</v>
      </c>
      <c r="H168" t="s">
        <v>2707</v>
      </c>
      <c r="I168" s="6">
        <v>32843</v>
      </c>
      <c r="J168" s="2" t="s">
        <v>3256</v>
      </c>
      <c r="K168" s="2">
        <v>58000</v>
      </c>
      <c r="L168" t="s">
        <v>2689</v>
      </c>
      <c r="M168" t="s">
        <v>29</v>
      </c>
      <c r="N168" t="s">
        <v>30</v>
      </c>
      <c r="O168">
        <v>37214</v>
      </c>
      <c r="P168" t="s">
        <v>3257</v>
      </c>
      <c r="Q168" s="2">
        <v>0.27</v>
      </c>
      <c r="R168" s="2">
        <v>130</v>
      </c>
      <c r="S168" s="2">
        <v>105</v>
      </c>
      <c r="T168" t="s">
        <v>3258</v>
      </c>
      <c r="U168" s="6">
        <v>19528</v>
      </c>
      <c r="V168" s="2">
        <v>47037015700</v>
      </c>
      <c r="W168" s="2" t="s">
        <v>68</v>
      </c>
      <c r="X168" s="1">
        <v>45658</v>
      </c>
      <c r="Y168" s="2">
        <v>57600</v>
      </c>
      <c r="Z168" s="2">
        <v>0</v>
      </c>
      <c r="AA168" s="2">
        <v>57600</v>
      </c>
    </row>
    <row r="169" spans="1:27" x14ac:dyDescent="0.3">
      <c r="A169" s="3">
        <v>13</v>
      </c>
      <c r="B169" s="2" t="str">
        <f>"12014014600"</f>
        <v>12014014600</v>
      </c>
      <c r="C169" s="2" t="s">
        <v>3259</v>
      </c>
      <c r="D169" t="s">
        <v>29</v>
      </c>
      <c r="E169" s="2" t="s">
        <v>30</v>
      </c>
      <c r="F169" s="2">
        <v>37217</v>
      </c>
      <c r="G169" s="2" t="s">
        <v>64</v>
      </c>
      <c r="H169" t="s">
        <v>2707</v>
      </c>
      <c r="I169" s="6">
        <v>34782</v>
      </c>
      <c r="J169" s="2" t="s">
        <v>3260</v>
      </c>
      <c r="K169" s="2" t="s">
        <v>34</v>
      </c>
      <c r="L169" t="s">
        <v>2689</v>
      </c>
      <c r="M169" t="s">
        <v>29</v>
      </c>
      <c r="N169" t="s">
        <v>30</v>
      </c>
      <c r="O169">
        <v>37214</v>
      </c>
      <c r="P169" t="s">
        <v>3261</v>
      </c>
      <c r="Q169" s="2">
        <v>0.26</v>
      </c>
      <c r="R169" s="2">
        <v>68</v>
      </c>
      <c r="S169" s="2">
        <v>162</v>
      </c>
      <c r="T169" t="s">
        <v>3262</v>
      </c>
      <c r="U169" s="6">
        <v>18827</v>
      </c>
      <c r="V169" s="2">
        <v>47037015700</v>
      </c>
      <c r="W169" s="2" t="s">
        <v>68</v>
      </c>
      <c r="X169" s="1">
        <v>45658</v>
      </c>
      <c r="Y169" s="2">
        <v>57600</v>
      </c>
      <c r="Z169" s="2">
        <v>0</v>
      </c>
      <c r="AA169" s="2">
        <v>57600</v>
      </c>
    </row>
    <row r="170" spans="1:27" x14ac:dyDescent="0.3">
      <c r="A170" s="3">
        <v>13</v>
      </c>
      <c r="B170" s="2" t="str">
        <f>"12014014700"</f>
        <v>12014014700</v>
      </c>
      <c r="C170" s="2" t="s">
        <v>3263</v>
      </c>
      <c r="D170" t="s">
        <v>29</v>
      </c>
      <c r="E170" s="2" t="s">
        <v>30</v>
      </c>
      <c r="F170" s="2">
        <v>37217</v>
      </c>
      <c r="G170" s="2" t="s">
        <v>64</v>
      </c>
      <c r="H170" t="s">
        <v>2707</v>
      </c>
      <c r="I170" s="6">
        <v>32549</v>
      </c>
      <c r="J170" s="2" t="s">
        <v>3264</v>
      </c>
      <c r="K170" s="2">
        <v>52000</v>
      </c>
      <c r="L170" t="s">
        <v>2689</v>
      </c>
      <c r="M170" t="s">
        <v>29</v>
      </c>
      <c r="N170" t="s">
        <v>30</v>
      </c>
      <c r="O170">
        <v>37214</v>
      </c>
      <c r="P170" t="s">
        <v>3265</v>
      </c>
      <c r="Q170" s="2">
        <v>0.27</v>
      </c>
      <c r="R170" s="2">
        <v>70</v>
      </c>
      <c r="S170" s="2">
        <v>159</v>
      </c>
      <c r="T170" t="s">
        <v>3266</v>
      </c>
      <c r="U170" s="6">
        <v>24072</v>
      </c>
      <c r="V170" s="2">
        <v>47037015700</v>
      </c>
      <c r="W170" s="2" t="s">
        <v>68</v>
      </c>
      <c r="X170" s="1">
        <v>45658</v>
      </c>
      <c r="Y170" s="2">
        <v>57600</v>
      </c>
      <c r="Z170" s="2">
        <v>0</v>
      </c>
      <c r="AA170" s="2">
        <v>57600</v>
      </c>
    </row>
    <row r="171" spans="1:27" x14ac:dyDescent="0.3">
      <c r="A171" s="3">
        <v>13</v>
      </c>
      <c r="B171" s="2" t="str">
        <f>"12014000900"</f>
        <v>12014000900</v>
      </c>
      <c r="C171" s="2" t="s">
        <v>3267</v>
      </c>
      <c r="D171" t="s">
        <v>29</v>
      </c>
      <c r="E171" s="2" t="s">
        <v>30</v>
      </c>
      <c r="F171" s="2">
        <v>37217</v>
      </c>
      <c r="G171" s="2" t="s">
        <v>64</v>
      </c>
      <c r="H171" t="s">
        <v>2707</v>
      </c>
      <c r="I171" s="6">
        <v>32821</v>
      </c>
      <c r="J171" s="2" t="s">
        <v>3268</v>
      </c>
      <c r="K171" s="2">
        <v>46000</v>
      </c>
      <c r="L171" t="s">
        <v>2689</v>
      </c>
      <c r="M171" t="s">
        <v>29</v>
      </c>
      <c r="N171" t="s">
        <v>30</v>
      </c>
      <c r="O171">
        <v>37214</v>
      </c>
      <c r="P171" t="s">
        <v>3269</v>
      </c>
      <c r="Q171" s="2">
        <v>0.56000000000000005</v>
      </c>
      <c r="R171" s="2">
        <v>126</v>
      </c>
      <c r="S171" s="2">
        <v>184</v>
      </c>
      <c r="T171" t="s">
        <v>3270</v>
      </c>
      <c r="U171" s="6">
        <v>18135</v>
      </c>
      <c r="V171" s="2">
        <v>47037015700</v>
      </c>
      <c r="W171" s="2" t="s">
        <v>68</v>
      </c>
      <c r="X171" s="1">
        <v>45658</v>
      </c>
      <c r="Y171" s="2">
        <v>63400</v>
      </c>
      <c r="Z171" s="2">
        <v>0</v>
      </c>
      <c r="AA171" s="2">
        <v>63400</v>
      </c>
    </row>
    <row r="172" spans="1:27" x14ac:dyDescent="0.3">
      <c r="A172" s="3">
        <v>13</v>
      </c>
      <c r="B172" s="2" t="str">
        <f>"12014014800"</f>
        <v>12014014800</v>
      </c>
      <c r="C172" s="2" t="s">
        <v>3271</v>
      </c>
      <c r="D172" t="s">
        <v>29</v>
      </c>
      <c r="E172" s="2" t="s">
        <v>30</v>
      </c>
      <c r="F172" s="2">
        <v>37217</v>
      </c>
      <c r="G172" s="2" t="s">
        <v>64</v>
      </c>
      <c r="H172" t="s">
        <v>2707</v>
      </c>
      <c r="I172" s="6">
        <v>32661</v>
      </c>
      <c r="J172" s="2" t="s">
        <v>3272</v>
      </c>
      <c r="K172" s="2">
        <v>52500</v>
      </c>
      <c r="L172" t="s">
        <v>2689</v>
      </c>
      <c r="M172" t="s">
        <v>29</v>
      </c>
      <c r="N172" t="s">
        <v>30</v>
      </c>
      <c r="O172">
        <v>37214</v>
      </c>
      <c r="P172" t="s">
        <v>3273</v>
      </c>
      <c r="Q172" s="2">
        <v>0.26</v>
      </c>
      <c r="R172" s="2">
        <v>70</v>
      </c>
      <c r="S172" s="2">
        <v>159</v>
      </c>
      <c r="T172" t="s">
        <v>3274</v>
      </c>
      <c r="U172" s="6">
        <v>21200</v>
      </c>
      <c r="V172" s="2">
        <v>47037015700</v>
      </c>
      <c r="W172" s="2" t="s">
        <v>68</v>
      </c>
      <c r="X172" s="1">
        <v>45658</v>
      </c>
      <c r="Y172" s="2">
        <v>57600</v>
      </c>
      <c r="Z172" s="2">
        <v>0</v>
      </c>
      <c r="AA172" s="2">
        <v>57600</v>
      </c>
    </row>
    <row r="173" spans="1:27" x14ac:dyDescent="0.3">
      <c r="A173" s="3">
        <v>13</v>
      </c>
      <c r="B173" s="2" t="str">
        <f>"12014014900"</f>
        <v>12014014900</v>
      </c>
      <c r="C173" s="2" t="s">
        <v>3275</v>
      </c>
      <c r="D173" t="s">
        <v>29</v>
      </c>
      <c r="E173" s="2" t="s">
        <v>30</v>
      </c>
      <c r="F173" s="2">
        <v>37217</v>
      </c>
      <c r="G173" s="2" t="s">
        <v>64</v>
      </c>
      <c r="H173" t="s">
        <v>2707</v>
      </c>
      <c r="I173" s="6">
        <v>32573</v>
      </c>
      <c r="J173" s="2" t="s">
        <v>3276</v>
      </c>
      <c r="K173" s="2">
        <v>47000</v>
      </c>
      <c r="L173" t="s">
        <v>2689</v>
      </c>
      <c r="M173" t="s">
        <v>29</v>
      </c>
      <c r="N173" t="s">
        <v>30</v>
      </c>
      <c r="O173">
        <v>37214</v>
      </c>
      <c r="P173" t="s">
        <v>3277</v>
      </c>
      <c r="Q173" s="2">
        <v>0.26</v>
      </c>
      <c r="R173" s="2">
        <v>70</v>
      </c>
      <c r="S173" s="2">
        <v>160</v>
      </c>
      <c r="T173" t="s">
        <v>3278</v>
      </c>
      <c r="U173" s="6">
        <v>20569</v>
      </c>
      <c r="V173" s="2">
        <v>47037015700</v>
      </c>
      <c r="W173" s="2" t="s">
        <v>68</v>
      </c>
      <c r="X173" s="1">
        <v>45658</v>
      </c>
      <c r="Y173" s="2">
        <v>57600</v>
      </c>
      <c r="Z173" s="2">
        <v>0</v>
      </c>
      <c r="AA173" s="2">
        <v>57600</v>
      </c>
    </row>
    <row r="174" spans="1:27" x14ac:dyDescent="0.3">
      <c r="A174" s="3">
        <v>13</v>
      </c>
      <c r="B174" s="2" t="str">
        <f>"12014015100"</f>
        <v>12014015100</v>
      </c>
      <c r="C174" s="2" t="s">
        <v>3279</v>
      </c>
      <c r="D174" t="s">
        <v>29</v>
      </c>
      <c r="E174" s="2" t="s">
        <v>30</v>
      </c>
      <c r="F174" s="2">
        <v>37217</v>
      </c>
      <c r="G174" s="2" t="s">
        <v>64</v>
      </c>
      <c r="H174" t="s">
        <v>2707</v>
      </c>
      <c r="I174" s="6">
        <v>32541</v>
      </c>
      <c r="J174" s="2" t="s">
        <v>3280</v>
      </c>
      <c r="K174" s="2" t="s">
        <v>34</v>
      </c>
      <c r="L174" t="s">
        <v>2689</v>
      </c>
      <c r="M174" t="s">
        <v>29</v>
      </c>
      <c r="N174" t="s">
        <v>30</v>
      </c>
      <c r="O174">
        <v>37214</v>
      </c>
      <c r="P174" t="s">
        <v>3281</v>
      </c>
      <c r="Q174" s="2">
        <v>0.26</v>
      </c>
      <c r="R174" s="2">
        <v>70</v>
      </c>
      <c r="S174" s="2">
        <v>161</v>
      </c>
      <c r="T174" t="s">
        <v>3282</v>
      </c>
      <c r="U174" s="6">
        <v>21153</v>
      </c>
      <c r="V174" s="2">
        <v>47037015700</v>
      </c>
      <c r="W174" s="2" t="s">
        <v>68</v>
      </c>
      <c r="X174" s="1">
        <v>45658</v>
      </c>
      <c r="Y174" s="2">
        <v>57600</v>
      </c>
      <c r="Z174" s="2">
        <v>0</v>
      </c>
      <c r="AA174" s="2">
        <v>57600</v>
      </c>
    </row>
    <row r="175" spans="1:27" x14ac:dyDescent="0.3">
      <c r="A175" s="3">
        <v>13</v>
      </c>
      <c r="B175" s="2" t="str">
        <f>"12014015200"</f>
        <v>12014015200</v>
      </c>
      <c r="C175" s="2" t="s">
        <v>3283</v>
      </c>
      <c r="D175" t="s">
        <v>29</v>
      </c>
      <c r="E175" s="2" t="s">
        <v>30</v>
      </c>
      <c r="F175" s="2">
        <v>37217</v>
      </c>
      <c r="G175" s="2" t="s">
        <v>64</v>
      </c>
      <c r="H175" t="s">
        <v>2707</v>
      </c>
      <c r="I175" s="6">
        <v>33115</v>
      </c>
      <c r="J175" s="2" t="s">
        <v>3284</v>
      </c>
      <c r="K175" s="2">
        <v>60000</v>
      </c>
      <c r="L175" t="s">
        <v>2689</v>
      </c>
      <c r="M175" t="s">
        <v>29</v>
      </c>
      <c r="N175" t="s">
        <v>30</v>
      </c>
      <c r="O175">
        <v>37214</v>
      </c>
      <c r="P175" t="s">
        <v>3285</v>
      </c>
      <c r="Q175" s="2">
        <v>0.26</v>
      </c>
      <c r="R175" s="2">
        <v>70</v>
      </c>
      <c r="S175" s="2">
        <v>162</v>
      </c>
      <c r="T175" t="s">
        <v>3286</v>
      </c>
      <c r="U175" s="6">
        <v>22825</v>
      </c>
      <c r="V175" s="2">
        <v>47037015700</v>
      </c>
      <c r="W175" s="2" t="s">
        <v>68</v>
      </c>
      <c r="X175" s="1">
        <v>45658</v>
      </c>
      <c r="Y175" s="2">
        <v>57600</v>
      </c>
      <c r="Z175" s="2">
        <v>0</v>
      </c>
      <c r="AA175" s="2">
        <v>57600</v>
      </c>
    </row>
    <row r="176" spans="1:27" x14ac:dyDescent="0.3">
      <c r="A176" s="3">
        <v>13</v>
      </c>
      <c r="B176" s="2" t="str">
        <f>"12014015300"</f>
        <v>12014015300</v>
      </c>
      <c r="C176" s="2" t="s">
        <v>3287</v>
      </c>
      <c r="D176" t="s">
        <v>29</v>
      </c>
      <c r="E176" s="2" t="s">
        <v>30</v>
      </c>
      <c r="F176" s="2">
        <v>37217</v>
      </c>
      <c r="G176" s="2" t="s">
        <v>64</v>
      </c>
      <c r="H176" t="s">
        <v>2707</v>
      </c>
      <c r="I176" s="6">
        <v>32337</v>
      </c>
      <c r="J176" s="2" t="s">
        <v>3288</v>
      </c>
      <c r="K176" s="2">
        <v>50000</v>
      </c>
      <c r="L176" t="s">
        <v>2689</v>
      </c>
      <c r="M176" t="s">
        <v>29</v>
      </c>
      <c r="N176" t="s">
        <v>30</v>
      </c>
      <c r="O176">
        <v>37214</v>
      </c>
      <c r="P176" t="s">
        <v>3289</v>
      </c>
      <c r="Q176" s="2">
        <v>0.26</v>
      </c>
      <c r="R176" s="2">
        <v>70</v>
      </c>
      <c r="S176" s="2">
        <v>163</v>
      </c>
      <c r="T176" t="s">
        <v>3290</v>
      </c>
      <c r="U176" s="6">
        <v>27394</v>
      </c>
      <c r="V176" s="2">
        <v>47037015700</v>
      </c>
      <c r="W176" s="2" t="s">
        <v>68</v>
      </c>
      <c r="X176" s="1">
        <v>45658</v>
      </c>
      <c r="Y176" s="2">
        <v>57600</v>
      </c>
      <c r="Z176" s="2">
        <v>0</v>
      </c>
      <c r="AA176" s="2">
        <v>57600</v>
      </c>
    </row>
    <row r="177" spans="1:27" x14ac:dyDescent="0.3">
      <c r="A177" s="3">
        <v>13</v>
      </c>
      <c r="B177" s="2" t="str">
        <f>"12014015400"</f>
        <v>12014015400</v>
      </c>
      <c r="C177" s="2" t="s">
        <v>3291</v>
      </c>
      <c r="D177" t="s">
        <v>29</v>
      </c>
      <c r="E177" s="2" t="s">
        <v>30</v>
      </c>
      <c r="F177" s="2">
        <v>37217</v>
      </c>
      <c r="G177" s="2" t="s">
        <v>64</v>
      </c>
      <c r="H177" t="s">
        <v>2707</v>
      </c>
      <c r="I177" s="6">
        <v>32100</v>
      </c>
      <c r="J177" s="2" t="s">
        <v>3292</v>
      </c>
      <c r="K177" s="2">
        <v>58000</v>
      </c>
      <c r="L177" t="s">
        <v>2689</v>
      </c>
      <c r="M177" t="s">
        <v>29</v>
      </c>
      <c r="N177" t="s">
        <v>30</v>
      </c>
      <c r="O177">
        <v>37214</v>
      </c>
      <c r="P177" t="s">
        <v>3293</v>
      </c>
      <c r="Q177" s="2">
        <v>0.26</v>
      </c>
      <c r="R177" s="2">
        <v>70</v>
      </c>
      <c r="S177" s="2">
        <v>163</v>
      </c>
      <c r="T177" t="s">
        <v>3294</v>
      </c>
      <c r="U177" s="6">
        <v>27179</v>
      </c>
      <c r="V177" s="2">
        <v>47037015700</v>
      </c>
      <c r="W177" s="2" t="s">
        <v>68</v>
      </c>
      <c r="X177" s="1">
        <v>45658</v>
      </c>
      <c r="Y177" s="2">
        <v>57600</v>
      </c>
      <c r="Z177" s="2">
        <v>0</v>
      </c>
      <c r="AA177" s="2">
        <v>57600</v>
      </c>
    </row>
    <row r="178" spans="1:27" x14ac:dyDescent="0.3">
      <c r="A178" s="3">
        <v>13</v>
      </c>
      <c r="B178" s="2" t="str">
        <f>"12014015500"</f>
        <v>12014015500</v>
      </c>
      <c r="C178" s="2" t="s">
        <v>3295</v>
      </c>
      <c r="D178" t="s">
        <v>29</v>
      </c>
      <c r="E178" s="2" t="s">
        <v>30</v>
      </c>
      <c r="F178" s="2">
        <v>37217</v>
      </c>
      <c r="G178" s="2" t="s">
        <v>64</v>
      </c>
      <c r="H178" t="s">
        <v>2707</v>
      </c>
      <c r="I178" s="6">
        <v>32106</v>
      </c>
      <c r="J178" s="2" t="s">
        <v>3296</v>
      </c>
      <c r="K178" s="2">
        <v>54950</v>
      </c>
      <c r="L178" t="s">
        <v>2689</v>
      </c>
      <c r="M178" t="s">
        <v>29</v>
      </c>
      <c r="N178" t="s">
        <v>30</v>
      </c>
      <c r="O178">
        <v>37214</v>
      </c>
      <c r="P178" t="s">
        <v>3297</v>
      </c>
      <c r="Q178" s="2">
        <v>0.26</v>
      </c>
      <c r="R178" s="2">
        <v>70</v>
      </c>
      <c r="S178" s="2">
        <v>164</v>
      </c>
      <c r="T178" t="s">
        <v>3298</v>
      </c>
      <c r="U178" s="6">
        <v>24874</v>
      </c>
      <c r="V178" s="2">
        <v>47037015700</v>
      </c>
      <c r="W178" s="2" t="s">
        <v>68</v>
      </c>
      <c r="X178" s="1">
        <v>45658</v>
      </c>
      <c r="Y178" s="2">
        <v>57600</v>
      </c>
      <c r="Z178" s="2">
        <v>0</v>
      </c>
      <c r="AA178" s="2">
        <v>57600</v>
      </c>
    </row>
    <row r="179" spans="1:27" x14ac:dyDescent="0.3">
      <c r="A179" s="3">
        <v>13</v>
      </c>
      <c r="B179" s="2" t="str">
        <f>"12014015600"</f>
        <v>12014015600</v>
      </c>
      <c r="C179" s="2" t="s">
        <v>3299</v>
      </c>
      <c r="D179" t="s">
        <v>29</v>
      </c>
      <c r="E179" s="2" t="s">
        <v>30</v>
      </c>
      <c r="F179" s="2">
        <v>37217</v>
      </c>
      <c r="G179" s="2" t="s">
        <v>64</v>
      </c>
      <c r="H179" t="s">
        <v>2707</v>
      </c>
      <c r="I179" s="6">
        <v>32087</v>
      </c>
      <c r="J179" s="2" t="s">
        <v>3300</v>
      </c>
      <c r="K179" s="2">
        <v>52000</v>
      </c>
      <c r="L179" t="s">
        <v>2689</v>
      </c>
      <c r="M179" t="s">
        <v>29</v>
      </c>
      <c r="N179" t="s">
        <v>30</v>
      </c>
      <c r="O179">
        <v>37214</v>
      </c>
      <c r="P179" t="s">
        <v>3301</v>
      </c>
      <c r="Q179" s="2">
        <v>0.26</v>
      </c>
      <c r="R179" s="2">
        <v>70</v>
      </c>
      <c r="S179" s="2">
        <v>165</v>
      </c>
      <c r="T179" t="s">
        <v>3302</v>
      </c>
      <c r="U179" s="6">
        <v>24012</v>
      </c>
      <c r="V179" s="2">
        <v>47037015700</v>
      </c>
      <c r="W179" s="2" t="s">
        <v>68</v>
      </c>
      <c r="X179" s="1">
        <v>45658</v>
      </c>
      <c r="Y179" s="2">
        <v>57600</v>
      </c>
      <c r="Z179" s="2">
        <v>0</v>
      </c>
      <c r="AA179" s="2">
        <v>57600</v>
      </c>
    </row>
    <row r="180" spans="1:27" x14ac:dyDescent="0.3">
      <c r="A180" s="3">
        <v>13</v>
      </c>
      <c r="B180" s="2" t="str">
        <f>"12014015700"</f>
        <v>12014015700</v>
      </c>
      <c r="C180" s="2" t="s">
        <v>3303</v>
      </c>
      <c r="D180" t="s">
        <v>29</v>
      </c>
      <c r="E180" s="2" t="s">
        <v>30</v>
      </c>
      <c r="F180" s="2">
        <v>37217</v>
      </c>
      <c r="G180" s="2" t="s">
        <v>64</v>
      </c>
      <c r="H180" t="s">
        <v>2707</v>
      </c>
      <c r="I180" s="6">
        <v>32171</v>
      </c>
      <c r="J180" s="2" t="s">
        <v>3304</v>
      </c>
      <c r="K180" s="2">
        <v>49000</v>
      </c>
      <c r="L180" t="s">
        <v>2689</v>
      </c>
      <c r="M180" t="s">
        <v>29</v>
      </c>
      <c r="N180" t="s">
        <v>30</v>
      </c>
      <c r="O180">
        <v>37214</v>
      </c>
      <c r="P180" t="s">
        <v>3305</v>
      </c>
      <c r="Q180" s="2">
        <v>0.26</v>
      </c>
      <c r="R180" s="2">
        <v>70</v>
      </c>
      <c r="S180" s="2">
        <v>165</v>
      </c>
      <c r="T180" t="s">
        <v>3306</v>
      </c>
      <c r="U180" s="6">
        <v>27285</v>
      </c>
      <c r="V180" s="2">
        <v>47037015700</v>
      </c>
      <c r="W180" s="2" t="s">
        <v>68</v>
      </c>
      <c r="X180" s="1">
        <v>45658</v>
      </c>
      <c r="Y180" s="2">
        <v>57600</v>
      </c>
      <c r="Z180" s="2">
        <v>0</v>
      </c>
      <c r="AA180" s="2">
        <v>57600</v>
      </c>
    </row>
    <row r="181" spans="1:27" x14ac:dyDescent="0.3">
      <c r="A181" s="3">
        <v>13</v>
      </c>
      <c r="B181" s="2" t="str">
        <f>"12014015800"</f>
        <v>12014015800</v>
      </c>
      <c r="C181" s="2" t="s">
        <v>3307</v>
      </c>
      <c r="D181" t="s">
        <v>29</v>
      </c>
      <c r="E181" s="2" t="s">
        <v>30</v>
      </c>
      <c r="F181" s="2">
        <v>37217</v>
      </c>
      <c r="G181" s="2" t="s">
        <v>64</v>
      </c>
      <c r="H181" t="s">
        <v>2707</v>
      </c>
      <c r="I181" s="6">
        <v>32122</v>
      </c>
      <c r="J181" s="2" t="s">
        <v>3308</v>
      </c>
      <c r="K181" s="2">
        <v>53000</v>
      </c>
      <c r="L181" t="s">
        <v>2689</v>
      </c>
      <c r="M181" t="s">
        <v>29</v>
      </c>
      <c r="N181" t="s">
        <v>30</v>
      </c>
      <c r="O181">
        <v>37214</v>
      </c>
      <c r="P181" t="s">
        <v>3309</v>
      </c>
      <c r="Q181" s="2">
        <v>0.17</v>
      </c>
      <c r="R181" s="2">
        <v>77</v>
      </c>
      <c r="S181" s="2">
        <v>165</v>
      </c>
      <c r="T181" t="s">
        <v>3044</v>
      </c>
      <c r="U181" s="6">
        <v>33721</v>
      </c>
      <c r="V181" s="2">
        <v>47037015700</v>
      </c>
      <c r="W181" s="2" t="s">
        <v>68</v>
      </c>
      <c r="X181" s="1">
        <v>45658</v>
      </c>
      <c r="Y181" s="2">
        <v>51800</v>
      </c>
      <c r="Z181" s="2">
        <v>0</v>
      </c>
      <c r="AA181" s="2">
        <v>51800</v>
      </c>
    </row>
    <row r="182" spans="1:27" x14ac:dyDescent="0.3">
      <c r="A182" s="3">
        <v>13</v>
      </c>
      <c r="B182" s="2" t="str">
        <f>"12014018300"</f>
        <v>12014018300</v>
      </c>
      <c r="C182" s="2" t="s">
        <v>3310</v>
      </c>
      <c r="D182" t="s">
        <v>29</v>
      </c>
      <c r="E182" s="2" t="s">
        <v>30</v>
      </c>
      <c r="F182" s="2">
        <v>37217</v>
      </c>
      <c r="G182" s="2" t="s">
        <v>64</v>
      </c>
      <c r="H182" t="s">
        <v>2707</v>
      </c>
      <c r="I182" s="6">
        <v>32961</v>
      </c>
      <c r="J182" s="2" t="s">
        <v>3311</v>
      </c>
      <c r="K182" s="2">
        <v>51500</v>
      </c>
      <c r="L182" t="s">
        <v>2689</v>
      </c>
      <c r="M182" t="s">
        <v>29</v>
      </c>
      <c r="N182" t="s">
        <v>30</v>
      </c>
      <c r="O182">
        <v>37214</v>
      </c>
      <c r="P182" t="s">
        <v>3312</v>
      </c>
      <c r="Q182" s="2">
        <v>0.36</v>
      </c>
      <c r="R182" s="2">
        <v>59</v>
      </c>
      <c r="S182" s="2">
        <v>166</v>
      </c>
      <c r="T182" t="s">
        <v>3313</v>
      </c>
      <c r="U182" s="6">
        <v>26714</v>
      </c>
      <c r="V182" s="2">
        <v>47037015700</v>
      </c>
      <c r="W182" s="2" t="s">
        <v>68</v>
      </c>
      <c r="X182" s="1">
        <v>45658</v>
      </c>
      <c r="Y182" s="2">
        <v>57600</v>
      </c>
      <c r="Z182" s="2">
        <v>0</v>
      </c>
      <c r="AA182" s="2">
        <v>57600</v>
      </c>
    </row>
    <row r="183" spans="1:27" x14ac:dyDescent="0.3">
      <c r="A183" s="3">
        <v>13</v>
      </c>
      <c r="B183" s="2" t="str">
        <f>"12014018200"</f>
        <v>12014018200</v>
      </c>
      <c r="C183" s="2" t="s">
        <v>3314</v>
      </c>
      <c r="D183" t="s">
        <v>29</v>
      </c>
      <c r="E183" s="2" t="s">
        <v>30</v>
      </c>
      <c r="F183" s="2">
        <v>37217</v>
      </c>
      <c r="G183" s="2" t="s">
        <v>64</v>
      </c>
      <c r="H183" t="s">
        <v>2707</v>
      </c>
      <c r="I183" s="6">
        <v>32839</v>
      </c>
      <c r="J183" s="2" t="s">
        <v>3315</v>
      </c>
      <c r="K183" s="2" t="s">
        <v>34</v>
      </c>
      <c r="L183" t="s">
        <v>2689</v>
      </c>
      <c r="M183" t="s">
        <v>29</v>
      </c>
      <c r="N183" t="s">
        <v>30</v>
      </c>
      <c r="O183">
        <v>37214</v>
      </c>
      <c r="P183" t="s">
        <v>3316</v>
      </c>
      <c r="Q183" s="2">
        <v>0.28000000000000003</v>
      </c>
      <c r="R183" s="2">
        <v>80</v>
      </c>
      <c r="S183" s="2">
        <v>166</v>
      </c>
      <c r="T183" t="s">
        <v>3317</v>
      </c>
      <c r="U183" s="6">
        <v>21548</v>
      </c>
      <c r="V183" s="2">
        <v>47037015700</v>
      </c>
      <c r="W183" s="2" t="s">
        <v>68</v>
      </c>
      <c r="X183" s="1">
        <v>45658</v>
      </c>
      <c r="Y183" s="2">
        <v>57600</v>
      </c>
      <c r="Z183" s="2">
        <v>0</v>
      </c>
      <c r="AA183" s="2">
        <v>57600</v>
      </c>
    </row>
    <row r="184" spans="1:27" x14ac:dyDescent="0.3">
      <c r="A184" s="3">
        <v>13</v>
      </c>
      <c r="B184" s="2" t="str">
        <f>"12014018000"</f>
        <v>12014018000</v>
      </c>
      <c r="C184" s="2" t="s">
        <v>3318</v>
      </c>
      <c r="D184" t="s">
        <v>29</v>
      </c>
      <c r="E184" s="2" t="s">
        <v>30</v>
      </c>
      <c r="F184" s="2">
        <v>37217</v>
      </c>
      <c r="G184" s="2" t="s">
        <v>64</v>
      </c>
      <c r="H184" t="s">
        <v>2707</v>
      </c>
      <c r="I184" s="6">
        <v>32870</v>
      </c>
      <c r="J184" s="2" t="s">
        <v>3319</v>
      </c>
      <c r="K184" s="2">
        <v>44000</v>
      </c>
      <c r="L184" t="s">
        <v>2689</v>
      </c>
      <c r="M184" t="s">
        <v>29</v>
      </c>
      <c r="N184" t="s">
        <v>30</v>
      </c>
      <c r="O184">
        <v>37214</v>
      </c>
      <c r="P184" t="s">
        <v>3320</v>
      </c>
      <c r="Q184" s="2">
        <v>0.28000000000000003</v>
      </c>
      <c r="R184" s="2">
        <v>80</v>
      </c>
      <c r="S184" s="2">
        <v>166</v>
      </c>
      <c r="T184" t="s">
        <v>3321</v>
      </c>
      <c r="U184" s="6">
        <v>24824</v>
      </c>
      <c r="V184" s="2">
        <v>47037015700</v>
      </c>
      <c r="W184" s="2" t="s">
        <v>68</v>
      </c>
      <c r="X184" s="1">
        <v>45658</v>
      </c>
      <c r="Y184" s="2">
        <v>57600</v>
      </c>
      <c r="Z184" s="2">
        <v>0</v>
      </c>
      <c r="AA184" s="2">
        <v>57600</v>
      </c>
    </row>
    <row r="185" spans="1:27" x14ac:dyDescent="0.3">
      <c r="A185" s="3">
        <v>13</v>
      </c>
      <c r="B185" s="2" t="str">
        <f>"12014000800"</f>
        <v>12014000800</v>
      </c>
      <c r="C185" s="2" t="s">
        <v>3322</v>
      </c>
      <c r="D185" t="s">
        <v>29</v>
      </c>
      <c r="E185" s="2" t="s">
        <v>30</v>
      </c>
      <c r="F185" s="2">
        <v>37217</v>
      </c>
      <c r="G185" s="2" t="s">
        <v>64</v>
      </c>
      <c r="H185" t="s">
        <v>2707</v>
      </c>
      <c r="I185" s="6">
        <v>32807</v>
      </c>
      <c r="J185" s="2" t="s">
        <v>3323</v>
      </c>
      <c r="K185" s="2" t="s">
        <v>34</v>
      </c>
      <c r="L185" t="s">
        <v>2689</v>
      </c>
      <c r="M185" t="s">
        <v>29</v>
      </c>
      <c r="N185" t="s">
        <v>30</v>
      </c>
      <c r="O185">
        <v>37214</v>
      </c>
      <c r="P185" t="s">
        <v>3324</v>
      </c>
      <c r="Q185" s="2">
        <v>0.5</v>
      </c>
      <c r="R185" s="2">
        <v>101</v>
      </c>
      <c r="S185" s="2">
        <v>184</v>
      </c>
      <c r="T185" t="s">
        <v>3325</v>
      </c>
      <c r="U185" s="6">
        <v>25464</v>
      </c>
      <c r="V185" s="2">
        <v>47037015700</v>
      </c>
      <c r="W185" s="2" t="s">
        <v>68</v>
      </c>
      <c r="X185" s="1">
        <v>45658</v>
      </c>
      <c r="Y185" s="2">
        <v>63400</v>
      </c>
      <c r="Z185" s="2">
        <v>0</v>
      </c>
      <c r="AA185" s="2">
        <v>63400</v>
      </c>
    </row>
    <row r="186" spans="1:27" x14ac:dyDescent="0.3">
      <c r="A186" s="3">
        <v>13</v>
      </c>
      <c r="B186" s="2" t="str">
        <f>"12014017900"</f>
        <v>12014017900</v>
      </c>
      <c r="C186" s="2" t="s">
        <v>3326</v>
      </c>
      <c r="D186" t="s">
        <v>29</v>
      </c>
      <c r="E186" s="2" t="s">
        <v>30</v>
      </c>
      <c r="F186" s="2">
        <v>37217</v>
      </c>
      <c r="G186" s="2" t="s">
        <v>64</v>
      </c>
      <c r="H186" t="s">
        <v>2707</v>
      </c>
      <c r="I186" s="6">
        <v>32861</v>
      </c>
      <c r="J186" s="2" t="s">
        <v>3327</v>
      </c>
      <c r="K186" s="2">
        <v>50000</v>
      </c>
      <c r="L186" t="s">
        <v>2689</v>
      </c>
      <c r="M186" t="s">
        <v>29</v>
      </c>
      <c r="N186" t="s">
        <v>30</v>
      </c>
      <c r="O186">
        <v>37214</v>
      </c>
      <c r="P186" t="s">
        <v>3328</v>
      </c>
      <c r="Q186" s="2">
        <v>0.28000000000000003</v>
      </c>
      <c r="R186" s="2">
        <v>80</v>
      </c>
      <c r="S186" s="2">
        <v>165</v>
      </c>
      <c r="T186" t="s">
        <v>3329</v>
      </c>
      <c r="U186" s="6">
        <v>26089</v>
      </c>
      <c r="V186" s="2">
        <v>47037015700</v>
      </c>
      <c r="W186" s="2" t="s">
        <v>68</v>
      </c>
      <c r="X186" s="1">
        <v>45658</v>
      </c>
      <c r="Y186" s="2">
        <v>57600</v>
      </c>
      <c r="Z186" s="2">
        <v>0</v>
      </c>
      <c r="AA186" s="2">
        <v>57600</v>
      </c>
    </row>
    <row r="187" spans="1:27" x14ac:dyDescent="0.3">
      <c r="A187" s="3">
        <v>13</v>
      </c>
      <c r="B187" s="2" t="str">
        <f>"12014017800"</f>
        <v>12014017800</v>
      </c>
      <c r="C187" s="2" t="s">
        <v>3330</v>
      </c>
      <c r="D187" t="s">
        <v>29</v>
      </c>
      <c r="E187" s="2" t="s">
        <v>30</v>
      </c>
      <c r="F187" s="2">
        <v>37217</v>
      </c>
      <c r="G187" s="2" t="s">
        <v>64</v>
      </c>
      <c r="H187" t="s">
        <v>2707</v>
      </c>
      <c r="I187" s="6">
        <v>32416</v>
      </c>
      <c r="J187" s="2" t="s">
        <v>3331</v>
      </c>
      <c r="K187" s="2">
        <v>48000</v>
      </c>
      <c r="L187" t="s">
        <v>2689</v>
      </c>
      <c r="M187" t="s">
        <v>29</v>
      </c>
      <c r="N187" t="s">
        <v>30</v>
      </c>
      <c r="O187">
        <v>37214</v>
      </c>
      <c r="P187" t="s">
        <v>3332</v>
      </c>
      <c r="Q187" s="2">
        <v>0.28000000000000003</v>
      </c>
      <c r="R187" s="2">
        <v>80</v>
      </c>
      <c r="S187" s="2">
        <v>163</v>
      </c>
      <c r="T187" t="s">
        <v>3333</v>
      </c>
      <c r="U187" s="6">
        <v>22229</v>
      </c>
      <c r="V187" s="2">
        <v>47037015700</v>
      </c>
      <c r="W187" s="2" t="s">
        <v>68</v>
      </c>
      <c r="X187" s="1">
        <v>45658</v>
      </c>
      <c r="Y187" s="2">
        <v>57600</v>
      </c>
      <c r="Z187" s="2">
        <v>0</v>
      </c>
      <c r="AA187" s="2">
        <v>57600</v>
      </c>
    </row>
    <row r="188" spans="1:27" x14ac:dyDescent="0.3">
      <c r="A188" s="3">
        <v>13</v>
      </c>
      <c r="B188" s="2" t="str">
        <f>"12014017700"</f>
        <v>12014017700</v>
      </c>
      <c r="C188" s="2" t="s">
        <v>3334</v>
      </c>
      <c r="D188" t="s">
        <v>29</v>
      </c>
      <c r="E188" s="2" t="s">
        <v>30</v>
      </c>
      <c r="F188" s="2">
        <v>37217</v>
      </c>
      <c r="G188" s="2" t="s">
        <v>64</v>
      </c>
      <c r="H188" t="s">
        <v>2707</v>
      </c>
      <c r="I188" s="6">
        <v>32393</v>
      </c>
      <c r="J188" s="2" t="s">
        <v>3335</v>
      </c>
      <c r="K188" s="2">
        <v>59000</v>
      </c>
      <c r="L188" t="s">
        <v>2689</v>
      </c>
      <c r="M188" t="s">
        <v>29</v>
      </c>
      <c r="N188" t="s">
        <v>30</v>
      </c>
      <c r="O188">
        <v>37214</v>
      </c>
      <c r="P188" t="s">
        <v>3336</v>
      </c>
      <c r="Q188" s="2">
        <v>0.28000000000000003</v>
      </c>
      <c r="R188" s="2">
        <v>80</v>
      </c>
      <c r="S188" s="2">
        <v>162</v>
      </c>
      <c r="T188" t="s">
        <v>3337</v>
      </c>
      <c r="U188" s="6">
        <v>27127</v>
      </c>
      <c r="V188" s="2">
        <v>47037015700</v>
      </c>
      <c r="W188" s="2" t="s">
        <v>68</v>
      </c>
      <c r="X188" s="1">
        <v>45658</v>
      </c>
      <c r="Y188" s="2">
        <v>57600</v>
      </c>
      <c r="Z188" s="2">
        <v>0</v>
      </c>
      <c r="AA188" s="2">
        <v>57600</v>
      </c>
    </row>
    <row r="189" spans="1:27" x14ac:dyDescent="0.3">
      <c r="A189" s="3">
        <v>13</v>
      </c>
      <c r="B189" s="2" t="str">
        <f>"12014017600"</f>
        <v>12014017600</v>
      </c>
      <c r="C189" s="2" t="s">
        <v>3338</v>
      </c>
      <c r="D189" t="s">
        <v>29</v>
      </c>
      <c r="E189" s="2" t="s">
        <v>30</v>
      </c>
      <c r="F189" s="2">
        <v>37217</v>
      </c>
      <c r="G189" s="2" t="s">
        <v>64</v>
      </c>
      <c r="H189" t="s">
        <v>2707</v>
      </c>
      <c r="I189" s="6">
        <v>32129</v>
      </c>
      <c r="J189" s="2" t="s">
        <v>3339</v>
      </c>
      <c r="K189" s="2">
        <v>45000</v>
      </c>
      <c r="L189" t="s">
        <v>2689</v>
      </c>
      <c r="M189" t="s">
        <v>29</v>
      </c>
      <c r="N189" t="s">
        <v>30</v>
      </c>
      <c r="O189">
        <v>37214</v>
      </c>
      <c r="P189" t="s">
        <v>3340</v>
      </c>
      <c r="Q189" s="2">
        <v>0.28000000000000003</v>
      </c>
      <c r="R189" s="2">
        <v>80</v>
      </c>
      <c r="S189" s="2">
        <v>161</v>
      </c>
      <c r="T189" t="s">
        <v>3341</v>
      </c>
      <c r="U189" s="6">
        <v>25841</v>
      </c>
      <c r="V189" s="2">
        <v>47037015700</v>
      </c>
      <c r="W189" s="2" t="s">
        <v>68</v>
      </c>
      <c r="X189" s="1">
        <v>45658</v>
      </c>
      <c r="Y189" s="2">
        <v>57600</v>
      </c>
      <c r="Z189" s="2">
        <v>0</v>
      </c>
      <c r="AA189" s="2">
        <v>57600</v>
      </c>
    </row>
    <row r="190" spans="1:27" x14ac:dyDescent="0.3">
      <c r="A190" s="3">
        <v>13</v>
      </c>
      <c r="B190" s="2" t="str">
        <f>"12014017500"</f>
        <v>12014017500</v>
      </c>
      <c r="C190" s="2" t="s">
        <v>3342</v>
      </c>
      <c r="D190" t="s">
        <v>29</v>
      </c>
      <c r="E190" s="2" t="s">
        <v>30</v>
      </c>
      <c r="F190" s="2">
        <v>37217</v>
      </c>
      <c r="G190" s="2" t="s">
        <v>64</v>
      </c>
      <c r="H190" t="s">
        <v>2707</v>
      </c>
      <c r="I190" s="6">
        <v>32517</v>
      </c>
      <c r="J190" s="2" t="s">
        <v>3343</v>
      </c>
      <c r="K190" s="2">
        <v>62000</v>
      </c>
      <c r="L190" t="s">
        <v>2689</v>
      </c>
      <c r="M190" t="s">
        <v>29</v>
      </c>
      <c r="N190" t="s">
        <v>30</v>
      </c>
      <c r="O190">
        <v>37214</v>
      </c>
      <c r="P190" t="s">
        <v>3344</v>
      </c>
      <c r="Q190" s="2">
        <v>0.28000000000000003</v>
      </c>
      <c r="R190" s="2">
        <v>80</v>
      </c>
      <c r="S190" s="2">
        <v>161</v>
      </c>
      <c r="T190" t="s">
        <v>3345</v>
      </c>
      <c r="U190" s="6">
        <v>17778</v>
      </c>
      <c r="V190" s="2">
        <v>47037015700</v>
      </c>
      <c r="W190" s="2" t="s">
        <v>68</v>
      </c>
      <c r="X190" s="1">
        <v>45658</v>
      </c>
      <c r="Y190" s="2">
        <v>57600</v>
      </c>
      <c r="Z190" s="2">
        <v>0</v>
      </c>
      <c r="AA190" s="2">
        <v>57600</v>
      </c>
    </row>
    <row r="191" spans="1:27" x14ac:dyDescent="0.3">
      <c r="A191" s="3">
        <v>13</v>
      </c>
      <c r="B191" s="2" t="str">
        <f>"12014017400"</f>
        <v>12014017400</v>
      </c>
      <c r="C191" s="2" t="s">
        <v>3346</v>
      </c>
      <c r="D191" t="s">
        <v>29</v>
      </c>
      <c r="E191" s="2" t="s">
        <v>30</v>
      </c>
      <c r="F191" s="2">
        <v>37217</v>
      </c>
      <c r="G191" s="2" t="s">
        <v>64</v>
      </c>
      <c r="H191" t="s">
        <v>2707</v>
      </c>
      <c r="I191" s="6">
        <v>32342</v>
      </c>
      <c r="J191" s="2" t="s">
        <v>3347</v>
      </c>
      <c r="K191" s="2">
        <v>52000</v>
      </c>
      <c r="L191" t="s">
        <v>2689</v>
      </c>
      <c r="M191" t="s">
        <v>29</v>
      </c>
      <c r="N191" t="s">
        <v>30</v>
      </c>
      <c r="O191">
        <v>37214</v>
      </c>
      <c r="P191" t="s">
        <v>3348</v>
      </c>
      <c r="Q191" s="2">
        <v>0.28000000000000003</v>
      </c>
      <c r="R191" s="2">
        <v>80</v>
      </c>
      <c r="S191" s="2">
        <v>162</v>
      </c>
      <c r="T191" t="s">
        <v>3349</v>
      </c>
      <c r="U191" s="6">
        <v>23334</v>
      </c>
      <c r="V191" s="2">
        <v>47037015700</v>
      </c>
      <c r="W191" s="2" t="s">
        <v>68</v>
      </c>
      <c r="X191" s="1">
        <v>45658</v>
      </c>
      <c r="Y191" s="2">
        <v>57600</v>
      </c>
      <c r="Z191" s="2">
        <v>0</v>
      </c>
      <c r="AA191" s="2">
        <v>57600</v>
      </c>
    </row>
    <row r="192" spans="1:27" x14ac:dyDescent="0.3">
      <c r="A192" s="3">
        <v>13</v>
      </c>
      <c r="B192" s="2" t="str">
        <f>"12014017300"</f>
        <v>12014017300</v>
      </c>
      <c r="C192" s="2" t="s">
        <v>3350</v>
      </c>
      <c r="D192" t="s">
        <v>29</v>
      </c>
      <c r="E192" s="2" t="s">
        <v>30</v>
      </c>
      <c r="F192" s="2">
        <v>37217</v>
      </c>
      <c r="G192" s="2" t="s">
        <v>64</v>
      </c>
      <c r="H192" t="s">
        <v>2707</v>
      </c>
      <c r="I192" s="6">
        <v>32335</v>
      </c>
      <c r="J192" s="2" t="s">
        <v>3351</v>
      </c>
      <c r="K192" s="2">
        <v>56000</v>
      </c>
      <c r="L192" t="s">
        <v>2689</v>
      </c>
      <c r="M192" t="s">
        <v>29</v>
      </c>
      <c r="N192" t="s">
        <v>30</v>
      </c>
      <c r="O192">
        <v>37214</v>
      </c>
      <c r="P192" t="s">
        <v>3352</v>
      </c>
      <c r="Q192" s="2">
        <v>0.28000000000000003</v>
      </c>
      <c r="R192" s="2">
        <v>80</v>
      </c>
      <c r="S192" s="2">
        <v>162</v>
      </c>
      <c r="T192" t="s">
        <v>3353</v>
      </c>
      <c r="U192" s="6">
        <v>24947</v>
      </c>
      <c r="V192" s="2">
        <v>47037015700</v>
      </c>
      <c r="W192" s="2" t="s">
        <v>68</v>
      </c>
      <c r="X192" s="1">
        <v>45658</v>
      </c>
      <c r="Y192" s="2">
        <v>57600</v>
      </c>
      <c r="Z192" s="2">
        <v>0</v>
      </c>
      <c r="AA192" s="2">
        <v>57600</v>
      </c>
    </row>
    <row r="193" spans="1:27" x14ac:dyDescent="0.3">
      <c r="A193" s="3">
        <v>13</v>
      </c>
      <c r="B193" s="2" t="str">
        <f>"12014017200"</f>
        <v>12014017200</v>
      </c>
      <c r="C193" s="2" t="s">
        <v>3354</v>
      </c>
      <c r="D193" t="s">
        <v>29</v>
      </c>
      <c r="E193" s="2" t="s">
        <v>30</v>
      </c>
      <c r="F193" s="2">
        <v>37217</v>
      </c>
      <c r="G193" s="2" t="s">
        <v>64</v>
      </c>
      <c r="H193" t="s">
        <v>2707</v>
      </c>
      <c r="I193" s="6">
        <v>32101</v>
      </c>
      <c r="J193" s="2" t="s">
        <v>3355</v>
      </c>
      <c r="K193" s="2">
        <v>55000</v>
      </c>
      <c r="L193" t="s">
        <v>2689</v>
      </c>
      <c r="M193" t="s">
        <v>29</v>
      </c>
      <c r="N193" t="s">
        <v>30</v>
      </c>
      <c r="O193">
        <v>37214</v>
      </c>
      <c r="P193" t="s">
        <v>3356</v>
      </c>
      <c r="Q193" s="2">
        <v>0.28000000000000003</v>
      </c>
      <c r="R193" s="2">
        <v>80</v>
      </c>
      <c r="S193" s="2">
        <v>163</v>
      </c>
      <c r="T193" t="s">
        <v>3357</v>
      </c>
      <c r="U193" s="6">
        <v>20502</v>
      </c>
      <c r="V193" s="2">
        <v>47037015700</v>
      </c>
      <c r="W193" s="2" t="s">
        <v>68</v>
      </c>
      <c r="X193" s="1">
        <v>45658</v>
      </c>
      <c r="Y193" s="2">
        <v>57600</v>
      </c>
      <c r="Z193" s="2">
        <v>0</v>
      </c>
      <c r="AA193" s="2">
        <v>57600</v>
      </c>
    </row>
    <row r="194" spans="1:27" x14ac:dyDescent="0.3">
      <c r="A194" s="3">
        <v>13</v>
      </c>
      <c r="B194" s="2" t="str">
        <f>"12014017100"</f>
        <v>12014017100</v>
      </c>
      <c r="C194" s="2" t="s">
        <v>3358</v>
      </c>
      <c r="D194" t="s">
        <v>29</v>
      </c>
      <c r="E194" s="2" t="s">
        <v>30</v>
      </c>
      <c r="F194" s="2">
        <v>37217</v>
      </c>
      <c r="G194" s="2" t="s">
        <v>64</v>
      </c>
      <c r="H194" t="s">
        <v>2707</v>
      </c>
      <c r="I194" s="6">
        <v>32077</v>
      </c>
      <c r="J194" s="2" t="s">
        <v>3359</v>
      </c>
      <c r="K194" s="2">
        <v>43500</v>
      </c>
      <c r="L194" t="s">
        <v>2689</v>
      </c>
      <c r="M194" t="s">
        <v>29</v>
      </c>
      <c r="N194" t="s">
        <v>30</v>
      </c>
      <c r="O194">
        <v>37214</v>
      </c>
      <c r="P194" t="s">
        <v>3360</v>
      </c>
      <c r="Q194" s="2">
        <v>0.28000000000000003</v>
      </c>
      <c r="R194" s="2">
        <v>80</v>
      </c>
      <c r="S194" s="2">
        <v>164</v>
      </c>
      <c r="T194" t="s">
        <v>3361</v>
      </c>
      <c r="U194" s="6">
        <v>26564</v>
      </c>
      <c r="V194" s="2">
        <v>47037015700</v>
      </c>
      <c r="W194" s="2" t="s">
        <v>68</v>
      </c>
      <c r="X194" s="1">
        <v>45658</v>
      </c>
      <c r="Y194" s="2">
        <v>57600</v>
      </c>
      <c r="Z194" s="2">
        <v>0</v>
      </c>
      <c r="AA194" s="2">
        <v>57600</v>
      </c>
    </row>
    <row r="195" spans="1:27" x14ac:dyDescent="0.3">
      <c r="A195" s="3">
        <v>13</v>
      </c>
      <c r="B195" s="2" t="str">
        <f>"12014017000"</f>
        <v>12014017000</v>
      </c>
      <c r="C195" s="2" t="s">
        <v>3362</v>
      </c>
      <c r="D195" t="s">
        <v>29</v>
      </c>
      <c r="E195" s="2" t="s">
        <v>30</v>
      </c>
      <c r="F195" s="2">
        <v>37217</v>
      </c>
      <c r="G195" s="2" t="s">
        <v>64</v>
      </c>
      <c r="H195" t="s">
        <v>2707</v>
      </c>
      <c r="I195" s="6">
        <v>32126</v>
      </c>
      <c r="J195" s="2" t="s">
        <v>3363</v>
      </c>
      <c r="K195" s="2">
        <v>45650</v>
      </c>
      <c r="L195" t="s">
        <v>2689</v>
      </c>
      <c r="M195" t="s">
        <v>29</v>
      </c>
      <c r="N195" t="s">
        <v>30</v>
      </c>
      <c r="O195">
        <v>37214</v>
      </c>
      <c r="P195" t="s">
        <v>3364</v>
      </c>
      <c r="Q195" s="2">
        <v>0.28999999999999998</v>
      </c>
      <c r="R195" s="2">
        <v>80</v>
      </c>
      <c r="S195" s="2">
        <v>164</v>
      </c>
      <c r="T195" t="s">
        <v>3365</v>
      </c>
      <c r="U195" s="6">
        <v>18195</v>
      </c>
      <c r="V195" s="2">
        <v>47037015700</v>
      </c>
      <c r="W195" s="2" t="s">
        <v>68</v>
      </c>
      <c r="X195" s="1">
        <v>45658</v>
      </c>
      <c r="Y195" s="2">
        <v>57600</v>
      </c>
      <c r="Z195" s="2">
        <v>0</v>
      </c>
      <c r="AA195" s="2">
        <v>57600</v>
      </c>
    </row>
    <row r="196" spans="1:27" x14ac:dyDescent="0.3">
      <c r="A196" s="3">
        <v>13</v>
      </c>
      <c r="B196" s="2" t="str">
        <f>"12014016900"</f>
        <v>12014016900</v>
      </c>
      <c r="C196" s="2" t="s">
        <v>3366</v>
      </c>
      <c r="D196" t="s">
        <v>29</v>
      </c>
      <c r="E196" s="2" t="s">
        <v>30</v>
      </c>
      <c r="F196" s="2">
        <v>37217</v>
      </c>
      <c r="G196" s="2" t="s">
        <v>64</v>
      </c>
      <c r="H196" t="s">
        <v>2707</v>
      </c>
      <c r="I196" s="6">
        <v>32195</v>
      </c>
      <c r="J196" s="2" t="s">
        <v>3367</v>
      </c>
      <c r="K196" s="2">
        <v>64000</v>
      </c>
      <c r="L196" t="s">
        <v>2689</v>
      </c>
      <c r="M196" t="s">
        <v>29</v>
      </c>
      <c r="N196" t="s">
        <v>30</v>
      </c>
      <c r="O196">
        <v>37214</v>
      </c>
      <c r="P196" t="s">
        <v>3368</v>
      </c>
      <c r="Q196" s="2">
        <v>0.23</v>
      </c>
      <c r="R196" s="2">
        <v>35</v>
      </c>
      <c r="S196" s="2">
        <v>164</v>
      </c>
      <c r="T196" t="s">
        <v>3044</v>
      </c>
      <c r="U196" s="6">
        <v>33721</v>
      </c>
      <c r="V196" s="2">
        <v>47037015700</v>
      </c>
      <c r="W196" s="2" t="s">
        <v>68</v>
      </c>
      <c r="X196" s="1">
        <v>45658</v>
      </c>
      <c r="Y196" s="2">
        <v>57600</v>
      </c>
      <c r="Z196" s="2">
        <v>0</v>
      </c>
      <c r="AA196" s="2">
        <v>57600</v>
      </c>
    </row>
    <row r="197" spans="1:27" x14ac:dyDescent="0.3">
      <c r="A197" s="3">
        <v>13</v>
      </c>
      <c r="B197" s="2" t="str">
        <f>"10700005001"</f>
        <v>10700005001</v>
      </c>
      <c r="C197" s="2" t="s">
        <v>3369</v>
      </c>
      <c r="D197" t="s">
        <v>29</v>
      </c>
      <c r="E197" s="2" t="s">
        <v>30</v>
      </c>
      <c r="F197" s="2">
        <v>37214</v>
      </c>
      <c r="G197" s="2" t="s">
        <v>152</v>
      </c>
      <c r="H197" t="s">
        <v>2707</v>
      </c>
      <c r="I197" s="6">
        <v>25797</v>
      </c>
      <c r="J197" s="2" t="s">
        <v>2712</v>
      </c>
      <c r="K197" s="2" t="s">
        <v>34</v>
      </c>
      <c r="L197" t="s">
        <v>2689</v>
      </c>
      <c r="M197" t="s">
        <v>29</v>
      </c>
      <c r="N197" t="s">
        <v>30</v>
      </c>
      <c r="O197">
        <v>37214</v>
      </c>
      <c r="P197" t="s">
        <v>3370</v>
      </c>
      <c r="Q197" s="2">
        <v>11.79</v>
      </c>
      <c r="R197" s="2">
        <v>539</v>
      </c>
      <c r="S197" s="2">
        <v>0</v>
      </c>
      <c r="T197" t="s">
        <v>2710</v>
      </c>
      <c r="U197" s="6">
        <v>41814</v>
      </c>
      <c r="V197" s="2">
        <v>47037980100</v>
      </c>
      <c r="W197" s="2" t="s">
        <v>68</v>
      </c>
      <c r="X197" s="1">
        <v>45658</v>
      </c>
      <c r="Y197" s="2">
        <v>4005900</v>
      </c>
      <c r="Z197" s="2">
        <v>0</v>
      </c>
      <c r="AA197" s="2">
        <v>4005900</v>
      </c>
    </row>
    <row r="198" spans="1:27" x14ac:dyDescent="0.3">
      <c r="A198" s="3">
        <v>13</v>
      </c>
      <c r="B198" s="2" t="str">
        <f>"12015001500"</f>
        <v>12015001500</v>
      </c>
      <c r="C198" s="2" t="s">
        <v>3371</v>
      </c>
      <c r="D198" t="s">
        <v>29</v>
      </c>
      <c r="E198" s="2" t="s">
        <v>30</v>
      </c>
      <c r="F198" s="2">
        <v>37217</v>
      </c>
      <c r="G198" s="2" t="s">
        <v>64</v>
      </c>
      <c r="H198" t="s">
        <v>2707</v>
      </c>
      <c r="I198" s="6">
        <v>32071</v>
      </c>
      <c r="J198" s="2" t="s">
        <v>3372</v>
      </c>
      <c r="K198" s="2">
        <v>57000</v>
      </c>
      <c r="L198" t="s">
        <v>2689</v>
      </c>
      <c r="M198" t="s">
        <v>29</v>
      </c>
      <c r="N198" t="s">
        <v>30</v>
      </c>
      <c r="O198">
        <v>37214</v>
      </c>
      <c r="P198" t="s">
        <v>3373</v>
      </c>
      <c r="Q198" s="2">
        <v>0.14000000000000001</v>
      </c>
      <c r="R198" s="2">
        <v>88</v>
      </c>
      <c r="S198" s="2">
        <v>91</v>
      </c>
      <c r="T198" t="s">
        <v>3044</v>
      </c>
      <c r="U198" s="6">
        <v>33721</v>
      </c>
      <c r="V198" s="2">
        <v>47037015700</v>
      </c>
      <c r="W198" s="2" t="s">
        <v>68</v>
      </c>
      <c r="X198" s="1">
        <v>45658</v>
      </c>
      <c r="Y198" s="2">
        <v>51800</v>
      </c>
      <c r="Z198" s="2">
        <v>0</v>
      </c>
      <c r="AA198" s="2">
        <v>51800</v>
      </c>
    </row>
    <row r="199" spans="1:27" x14ac:dyDescent="0.3">
      <c r="A199" s="3">
        <v>13</v>
      </c>
      <c r="B199" s="2" t="str">
        <f>"12014012300"</f>
        <v>12014012300</v>
      </c>
      <c r="C199" s="2" t="s">
        <v>3374</v>
      </c>
      <c r="D199" t="s">
        <v>29</v>
      </c>
      <c r="E199" s="2" t="s">
        <v>30</v>
      </c>
      <c r="F199" s="2">
        <v>37217</v>
      </c>
      <c r="G199" s="2" t="s">
        <v>64</v>
      </c>
      <c r="H199" t="s">
        <v>2707</v>
      </c>
      <c r="I199" s="6">
        <v>32098</v>
      </c>
      <c r="J199" s="2" t="s">
        <v>3375</v>
      </c>
      <c r="K199" s="2">
        <v>50000</v>
      </c>
      <c r="L199" t="s">
        <v>2689</v>
      </c>
      <c r="M199" t="s">
        <v>29</v>
      </c>
      <c r="N199" t="s">
        <v>30</v>
      </c>
      <c r="O199">
        <v>37214</v>
      </c>
      <c r="P199" t="s">
        <v>3376</v>
      </c>
      <c r="Q199" s="2">
        <v>0.06</v>
      </c>
      <c r="R199" s="2">
        <v>111</v>
      </c>
      <c r="S199" s="2">
        <v>89</v>
      </c>
      <c r="T199" t="s">
        <v>3044</v>
      </c>
      <c r="U199" s="6">
        <v>33721</v>
      </c>
      <c r="V199" s="2">
        <v>47037015700</v>
      </c>
      <c r="W199" s="2" t="s">
        <v>68</v>
      </c>
      <c r="X199" s="1">
        <v>45658</v>
      </c>
      <c r="Y199" s="2">
        <v>1400</v>
      </c>
      <c r="Z199" s="2">
        <v>0</v>
      </c>
      <c r="AA199" s="2">
        <v>1400</v>
      </c>
    </row>
    <row r="200" spans="1:27" x14ac:dyDescent="0.3">
      <c r="A200" s="3">
        <v>13</v>
      </c>
      <c r="B200" s="2" t="str">
        <f>"12100008700"</f>
        <v>12100008700</v>
      </c>
      <c r="C200" s="2" t="s">
        <v>3377</v>
      </c>
      <c r="D200" t="s">
        <v>29</v>
      </c>
      <c r="E200" s="2" t="s">
        <v>30</v>
      </c>
      <c r="F200" s="2">
        <v>37217</v>
      </c>
      <c r="G200" s="2" t="s">
        <v>152</v>
      </c>
      <c r="H200" t="s">
        <v>2707</v>
      </c>
      <c r="I200" s="6">
        <v>32161</v>
      </c>
      <c r="J200" s="2" t="s">
        <v>3378</v>
      </c>
      <c r="K200" s="2" t="s">
        <v>34</v>
      </c>
      <c r="L200" t="s">
        <v>2689</v>
      </c>
      <c r="M200" t="s">
        <v>29</v>
      </c>
      <c r="N200" t="s">
        <v>30</v>
      </c>
      <c r="O200">
        <v>37214</v>
      </c>
      <c r="P200" t="s">
        <v>3379</v>
      </c>
      <c r="Q200" s="2">
        <v>325.39999999999998</v>
      </c>
      <c r="R200" s="2">
        <v>1288</v>
      </c>
      <c r="S200" s="2">
        <v>0</v>
      </c>
      <c r="T200" t="s">
        <v>2710</v>
      </c>
      <c r="U200" s="6">
        <v>41814</v>
      </c>
      <c r="V200" s="2">
        <v>47037015612</v>
      </c>
      <c r="W200" s="2" t="s">
        <v>68</v>
      </c>
      <c r="X200" s="1">
        <v>45658</v>
      </c>
      <c r="Y200" s="2">
        <v>18407800</v>
      </c>
      <c r="Z200" s="2">
        <v>510800</v>
      </c>
      <c r="AA200" s="2">
        <v>17897000</v>
      </c>
    </row>
    <row r="201" spans="1:27" x14ac:dyDescent="0.3">
      <c r="A201" s="3">
        <v>13</v>
      </c>
      <c r="B201" s="2" t="str">
        <f>"12100000400"</f>
        <v>12100000400</v>
      </c>
      <c r="C201" s="2" t="s">
        <v>3380</v>
      </c>
      <c r="D201" t="s">
        <v>29</v>
      </c>
      <c r="E201" s="2" t="s">
        <v>30</v>
      </c>
      <c r="F201" s="2">
        <v>37214</v>
      </c>
      <c r="G201" s="2" t="s">
        <v>152</v>
      </c>
      <c r="H201" t="s">
        <v>2707</v>
      </c>
      <c r="I201" s="6">
        <v>32161</v>
      </c>
      <c r="J201" s="2" t="s">
        <v>3378</v>
      </c>
      <c r="K201" s="2">
        <v>200000</v>
      </c>
      <c r="L201" t="s">
        <v>2689</v>
      </c>
      <c r="M201" t="s">
        <v>29</v>
      </c>
      <c r="N201" t="s">
        <v>30</v>
      </c>
      <c r="O201">
        <v>37214</v>
      </c>
      <c r="P201" t="s">
        <v>3381</v>
      </c>
      <c r="Q201" s="2">
        <v>59.91</v>
      </c>
      <c r="R201" s="2">
        <v>1787</v>
      </c>
      <c r="S201" s="2">
        <v>0</v>
      </c>
      <c r="T201" t="s">
        <v>2710</v>
      </c>
      <c r="U201" s="6">
        <v>41814</v>
      </c>
      <c r="V201" s="2">
        <v>47037015625</v>
      </c>
      <c r="W201" s="2" t="s">
        <v>68</v>
      </c>
      <c r="X201" s="1">
        <v>45658</v>
      </c>
      <c r="Y201" s="2">
        <v>3295100</v>
      </c>
      <c r="Z201" s="2">
        <v>0</v>
      </c>
      <c r="AA201" s="2">
        <v>3295100</v>
      </c>
    </row>
    <row r="202" spans="1:27" x14ac:dyDescent="0.3">
      <c r="A202" s="3">
        <v>13</v>
      </c>
      <c r="B202" s="2" t="str">
        <f>"10700004900"</f>
        <v>10700004900</v>
      </c>
      <c r="C202" s="2" t="s">
        <v>3382</v>
      </c>
      <c r="D202" t="s">
        <v>29</v>
      </c>
      <c r="E202" s="2" t="s">
        <v>30</v>
      </c>
      <c r="F202" s="2">
        <v>37217</v>
      </c>
      <c r="G202" s="2" t="s">
        <v>2601</v>
      </c>
      <c r="H202" t="s">
        <v>2707</v>
      </c>
      <c r="I202" s="6">
        <v>25798</v>
      </c>
      <c r="J202" s="2" t="s">
        <v>2715</v>
      </c>
      <c r="K202" s="2" t="s">
        <v>34</v>
      </c>
      <c r="L202" t="s">
        <v>2689</v>
      </c>
      <c r="M202" t="s">
        <v>29</v>
      </c>
      <c r="N202" t="s">
        <v>30</v>
      </c>
      <c r="O202">
        <v>37214</v>
      </c>
      <c r="P202" t="s">
        <v>3383</v>
      </c>
      <c r="Q202" s="2">
        <v>21.05</v>
      </c>
      <c r="R202" s="2">
        <v>0</v>
      </c>
      <c r="S202" s="2">
        <v>0</v>
      </c>
      <c r="T202" t="s">
        <v>3384</v>
      </c>
      <c r="U202" s="6">
        <v>28314</v>
      </c>
      <c r="V202" s="2">
        <v>47037015804</v>
      </c>
      <c r="W202" s="2" t="s">
        <v>68</v>
      </c>
      <c r="X202" s="1">
        <v>45658</v>
      </c>
      <c r="Y202" s="2">
        <v>0</v>
      </c>
      <c r="Z202" s="2">
        <v>0</v>
      </c>
      <c r="AA202" s="2">
        <v>0</v>
      </c>
    </row>
    <row r="203" spans="1:27" x14ac:dyDescent="0.3">
      <c r="A203" s="3">
        <v>13</v>
      </c>
      <c r="B203" s="2" t="str">
        <f>"10800033200"</f>
        <v>10800033200</v>
      </c>
      <c r="C203" s="2" t="s">
        <v>1986</v>
      </c>
      <c r="D203" t="s">
        <v>29</v>
      </c>
      <c r="E203" s="2" t="s">
        <v>30</v>
      </c>
      <c r="F203" s="2">
        <v>37214</v>
      </c>
      <c r="G203" s="2" t="s">
        <v>1485</v>
      </c>
      <c r="H203" t="s">
        <v>2707</v>
      </c>
      <c r="I203" s="6">
        <v>37034</v>
      </c>
      <c r="J203" s="2" t="s">
        <v>3385</v>
      </c>
      <c r="K203" s="2" t="s">
        <v>34</v>
      </c>
      <c r="L203" t="s">
        <v>2689</v>
      </c>
      <c r="M203" t="s">
        <v>29</v>
      </c>
      <c r="N203" t="s">
        <v>30</v>
      </c>
      <c r="O203">
        <v>37214</v>
      </c>
      <c r="P203" t="s">
        <v>3386</v>
      </c>
      <c r="Q203" s="2">
        <v>42.57</v>
      </c>
      <c r="R203" s="2">
        <v>403</v>
      </c>
      <c r="S203" s="2">
        <v>0</v>
      </c>
      <c r="T203" t="s">
        <v>2710</v>
      </c>
      <c r="U203" s="6">
        <v>41814</v>
      </c>
      <c r="V203" s="2">
        <v>47037980100</v>
      </c>
      <c r="W203" s="2" t="s">
        <v>68</v>
      </c>
      <c r="X203" s="1">
        <v>45658</v>
      </c>
      <c r="Y203" s="2">
        <v>4682700</v>
      </c>
      <c r="Z203" s="2">
        <v>0</v>
      </c>
      <c r="AA203" s="2">
        <v>4682700</v>
      </c>
    </row>
    <row r="204" spans="1:27" x14ac:dyDescent="0.3">
      <c r="A204" s="3">
        <v>13</v>
      </c>
      <c r="B204" s="2" t="str">
        <f>"10800006600"</f>
        <v>10800006600</v>
      </c>
      <c r="C204" s="2" t="s">
        <v>3387</v>
      </c>
      <c r="D204" t="s">
        <v>29</v>
      </c>
      <c r="E204" s="2" t="s">
        <v>30</v>
      </c>
      <c r="F204" s="2">
        <v>37214</v>
      </c>
      <c r="G204" s="2" t="s">
        <v>2495</v>
      </c>
      <c r="H204" t="s">
        <v>2707</v>
      </c>
      <c r="I204" s="6">
        <v>39139</v>
      </c>
      <c r="J204" s="2" t="s">
        <v>3388</v>
      </c>
      <c r="K204" s="2" t="s">
        <v>34</v>
      </c>
      <c r="L204" t="s">
        <v>2689</v>
      </c>
      <c r="M204" t="s">
        <v>29</v>
      </c>
      <c r="N204" t="s">
        <v>30</v>
      </c>
      <c r="O204">
        <v>37214</v>
      </c>
      <c r="P204" t="s">
        <v>3389</v>
      </c>
      <c r="Q204" s="2">
        <v>1167.94</v>
      </c>
      <c r="R204" s="2">
        <v>1888</v>
      </c>
      <c r="S204" s="2">
        <v>0</v>
      </c>
      <c r="T204" t="s">
        <v>3390</v>
      </c>
      <c r="U204" s="6">
        <v>44909</v>
      </c>
      <c r="V204" s="2">
        <v>47037980100</v>
      </c>
      <c r="W204" s="2" t="s">
        <v>68</v>
      </c>
      <c r="X204" s="1">
        <v>45658</v>
      </c>
      <c r="Y204" s="2">
        <v>78915200</v>
      </c>
      <c r="Z204" s="2">
        <v>14678500</v>
      </c>
      <c r="AA204" s="2">
        <v>64236700</v>
      </c>
    </row>
    <row r="205" spans="1:27" x14ac:dyDescent="0.3">
      <c r="A205" s="3">
        <v>13</v>
      </c>
      <c r="B205" s="2" t="str">
        <f>"10700005000"</f>
        <v>10700005000</v>
      </c>
      <c r="C205" s="2" t="s">
        <v>3391</v>
      </c>
      <c r="D205" t="s">
        <v>29</v>
      </c>
      <c r="E205" s="2" t="s">
        <v>30</v>
      </c>
      <c r="F205" s="2">
        <v>37214</v>
      </c>
      <c r="G205" s="2" t="s">
        <v>152</v>
      </c>
      <c r="H205" t="s">
        <v>2707</v>
      </c>
      <c r="I205" s="6">
        <v>28313</v>
      </c>
      <c r="J205" s="2" t="s">
        <v>2708</v>
      </c>
      <c r="K205" s="2">
        <v>0</v>
      </c>
      <c r="L205" t="s">
        <v>2689</v>
      </c>
      <c r="M205" t="s">
        <v>29</v>
      </c>
      <c r="N205" t="s">
        <v>30</v>
      </c>
      <c r="O205">
        <v>37214</v>
      </c>
      <c r="P205" t="s">
        <v>3392</v>
      </c>
      <c r="Q205" s="2">
        <v>2110.61</v>
      </c>
      <c r="R205" s="2">
        <v>0</v>
      </c>
      <c r="S205" s="2">
        <v>0</v>
      </c>
      <c r="T205" t="s">
        <v>3390</v>
      </c>
      <c r="U205" s="6">
        <v>44909</v>
      </c>
      <c r="V205" s="2">
        <v>47037980100</v>
      </c>
      <c r="W205" s="2" t="s">
        <v>68</v>
      </c>
      <c r="X205" s="1">
        <v>45658</v>
      </c>
      <c r="Y205" s="2">
        <v>125232600</v>
      </c>
      <c r="Z205" s="2">
        <v>40808200</v>
      </c>
      <c r="AA205" s="2">
        <v>84424400</v>
      </c>
    </row>
    <row r="206" spans="1:27" x14ac:dyDescent="0.3">
      <c r="A206" s="3">
        <v>13</v>
      </c>
      <c r="B206" s="2" t="str">
        <f>"12000015400"</f>
        <v>12000015400</v>
      </c>
      <c r="C206" s="2" t="s">
        <v>3393</v>
      </c>
      <c r="D206" t="s">
        <v>29</v>
      </c>
      <c r="E206" s="2" t="s">
        <v>30</v>
      </c>
      <c r="F206" s="2">
        <v>37217</v>
      </c>
      <c r="G206" s="2" t="s">
        <v>1485</v>
      </c>
      <c r="H206" t="s">
        <v>2707</v>
      </c>
      <c r="I206" s="6">
        <v>33780</v>
      </c>
      <c r="J206" s="2" t="s">
        <v>3394</v>
      </c>
      <c r="K206" s="2">
        <v>0</v>
      </c>
      <c r="L206" t="s">
        <v>2689</v>
      </c>
      <c r="M206" t="s">
        <v>29</v>
      </c>
      <c r="N206" t="s">
        <v>30</v>
      </c>
      <c r="O206">
        <v>37214</v>
      </c>
      <c r="P206" t="s">
        <v>2616</v>
      </c>
      <c r="Q206" s="2">
        <v>344.91</v>
      </c>
      <c r="R206" s="2">
        <v>2094</v>
      </c>
      <c r="S206" s="2">
        <v>0</v>
      </c>
      <c r="T206" t="s">
        <v>2615</v>
      </c>
      <c r="U206" s="6">
        <v>41976</v>
      </c>
      <c r="V206" s="2">
        <v>47037980100</v>
      </c>
      <c r="W206" s="2" t="s">
        <v>68</v>
      </c>
      <c r="X206" s="1">
        <v>45658</v>
      </c>
      <c r="Y206" s="2">
        <v>18970100</v>
      </c>
      <c r="Z206" s="2">
        <v>0</v>
      </c>
      <c r="AA206" s="2">
        <v>18970100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F0C7-1F17-4D59-AE0F-0F4BD7A36256}">
  <sheetPr>
    <tabColor rgb="FF002060"/>
  </sheetPr>
  <dimension ref="A1:AA30"/>
  <sheetViews>
    <sheetView workbookViewId="0">
      <selection activeCell="E24" sqref="E24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14</v>
      </c>
      <c r="B2" s="2" t="str">
        <f>"07408024300"</f>
        <v>07408024300</v>
      </c>
      <c r="C2" s="2" t="s">
        <v>3395</v>
      </c>
      <c r="D2" t="s">
        <v>2512</v>
      </c>
      <c r="E2" s="2" t="s">
        <v>30</v>
      </c>
      <c r="F2" s="2">
        <v>37076</v>
      </c>
      <c r="G2" s="2" t="s">
        <v>152</v>
      </c>
      <c r="H2" t="s">
        <v>32</v>
      </c>
      <c r="I2" s="6">
        <v>26846</v>
      </c>
      <c r="J2" s="2" t="s">
        <v>1990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3396</v>
      </c>
      <c r="Q2" s="2">
        <v>2.79</v>
      </c>
      <c r="R2" s="2">
        <v>507</v>
      </c>
      <c r="S2" s="2">
        <v>230</v>
      </c>
      <c r="T2" t="s">
        <v>3397</v>
      </c>
      <c r="U2" s="6">
        <v>39100</v>
      </c>
      <c r="V2" s="2">
        <v>47037015402</v>
      </c>
      <c r="W2" s="2" t="s">
        <v>38</v>
      </c>
      <c r="X2" s="1">
        <v>45658</v>
      </c>
      <c r="Y2" s="2">
        <v>688000</v>
      </c>
      <c r="Z2" s="2">
        <v>0</v>
      </c>
      <c r="AA2" s="2">
        <v>688000</v>
      </c>
    </row>
    <row r="3" spans="1:27" x14ac:dyDescent="0.3">
      <c r="A3" s="3">
        <v>14</v>
      </c>
      <c r="B3" s="2" t="str">
        <f>"08507002600"</f>
        <v>08507002600</v>
      </c>
      <c r="C3" s="2" t="s">
        <v>3398</v>
      </c>
      <c r="D3" t="s">
        <v>29</v>
      </c>
      <c r="E3" s="2" t="s">
        <v>30</v>
      </c>
      <c r="F3" s="2">
        <v>37214</v>
      </c>
      <c r="G3" s="2" t="s">
        <v>194</v>
      </c>
      <c r="H3" t="s">
        <v>32</v>
      </c>
      <c r="I3" s="6">
        <v>43601</v>
      </c>
      <c r="J3" s="2" t="s">
        <v>3399</v>
      </c>
      <c r="K3" s="2">
        <v>0</v>
      </c>
      <c r="L3" t="s">
        <v>2247</v>
      </c>
      <c r="M3" t="s">
        <v>29</v>
      </c>
      <c r="N3" t="s">
        <v>30</v>
      </c>
      <c r="O3">
        <v>37219</v>
      </c>
      <c r="P3" t="s">
        <v>3400</v>
      </c>
      <c r="Q3" s="2">
        <v>0.72</v>
      </c>
      <c r="R3" s="2">
        <v>114</v>
      </c>
      <c r="S3" s="2">
        <v>243</v>
      </c>
      <c r="T3" t="s">
        <v>3401</v>
      </c>
      <c r="U3" s="6">
        <v>22696</v>
      </c>
      <c r="V3" s="2">
        <v>47037015501</v>
      </c>
      <c r="W3" s="2" t="s">
        <v>68</v>
      </c>
      <c r="X3" s="1">
        <v>45658</v>
      </c>
      <c r="Y3" s="2">
        <v>321800</v>
      </c>
      <c r="Z3" s="2">
        <v>183800</v>
      </c>
      <c r="AA3" s="2">
        <v>138000</v>
      </c>
    </row>
    <row r="4" spans="1:27" x14ac:dyDescent="0.3">
      <c r="A4" s="3">
        <v>14</v>
      </c>
      <c r="B4" s="2" t="str">
        <f>"08500001600"</f>
        <v>08500001600</v>
      </c>
      <c r="C4" s="2" t="s">
        <v>3402</v>
      </c>
      <c r="D4" t="s">
        <v>2512</v>
      </c>
      <c r="E4" s="2" t="s">
        <v>30</v>
      </c>
      <c r="F4" s="2">
        <v>37076</v>
      </c>
      <c r="G4" s="2" t="s">
        <v>31</v>
      </c>
      <c r="H4" t="s">
        <v>32</v>
      </c>
      <c r="I4" s="6">
        <v>40927</v>
      </c>
      <c r="J4" s="2" t="s">
        <v>3403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3404</v>
      </c>
      <c r="Q4" s="2">
        <v>6.94</v>
      </c>
      <c r="R4" s="2">
        <v>0</v>
      </c>
      <c r="S4" s="2">
        <v>0</v>
      </c>
      <c r="T4" t="s">
        <v>3405</v>
      </c>
      <c r="U4" s="6">
        <v>22769</v>
      </c>
      <c r="V4" s="2">
        <v>47037015402</v>
      </c>
      <c r="W4" s="2" t="s">
        <v>38</v>
      </c>
      <c r="X4" s="1">
        <v>45658</v>
      </c>
      <c r="Y4" s="2">
        <v>85900</v>
      </c>
      <c r="Z4" s="2">
        <v>0</v>
      </c>
      <c r="AA4" s="2">
        <v>85900</v>
      </c>
    </row>
    <row r="5" spans="1:27" x14ac:dyDescent="0.3">
      <c r="A5" s="3">
        <v>14</v>
      </c>
      <c r="B5" s="2" t="str">
        <f>"08500021700"</f>
        <v>08500021700</v>
      </c>
      <c r="C5" s="2" t="s">
        <v>3406</v>
      </c>
      <c r="D5" t="s">
        <v>2512</v>
      </c>
      <c r="E5" s="2" t="s">
        <v>30</v>
      </c>
      <c r="F5" s="2">
        <v>37076</v>
      </c>
      <c r="G5" s="2" t="s">
        <v>200</v>
      </c>
      <c r="H5" t="s">
        <v>32</v>
      </c>
      <c r="I5" s="6">
        <v>40927</v>
      </c>
      <c r="J5" s="2" t="s">
        <v>3403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3407</v>
      </c>
      <c r="Q5" s="2">
        <v>169.17</v>
      </c>
      <c r="R5" s="2">
        <v>5450</v>
      </c>
      <c r="S5" s="2">
        <v>0</v>
      </c>
      <c r="T5" t="s">
        <v>3408</v>
      </c>
      <c r="U5" s="6">
        <v>40938</v>
      </c>
      <c r="V5" s="2">
        <v>47037015402</v>
      </c>
      <c r="W5" s="2" t="s">
        <v>38</v>
      </c>
      <c r="X5" s="1">
        <v>45658</v>
      </c>
      <c r="Y5" s="2">
        <v>5632600</v>
      </c>
      <c r="Z5" s="2">
        <v>161900</v>
      </c>
      <c r="AA5" s="2">
        <v>5470700</v>
      </c>
    </row>
    <row r="6" spans="1:27" x14ac:dyDescent="0.3">
      <c r="A6" s="3">
        <v>14</v>
      </c>
      <c r="B6" s="2" t="str">
        <f>"08500001200"</f>
        <v>08500001200</v>
      </c>
      <c r="C6" s="2" t="s">
        <v>3409</v>
      </c>
      <c r="D6" t="s">
        <v>29</v>
      </c>
      <c r="E6" s="2" t="s">
        <v>30</v>
      </c>
      <c r="F6" s="2">
        <v>37214</v>
      </c>
      <c r="G6" s="2" t="s">
        <v>31</v>
      </c>
      <c r="H6" t="s">
        <v>32</v>
      </c>
      <c r="I6" s="6">
        <v>43601</v>
      </c>
      <c r="J6" s="2" t="s">
        <v>3399</v>
      </c>
      <c r="K6" s="2">
        <v>0</v>
      </c>
      <c r="L6" t="s">
        <v>2247</v>
      </c>
      <c r="M6" t="s">
        <v>29</v>
      </c>
      <c r="N6" t="s">
        <v>30</v>
      </c>
      <c r="O6">
        <v>37219</v>
      </c>
      <c r="P6" t="s">
        <v>3410</v>
      </c>
      <c r="Q6" s="2">
        <v>53.44</v>
      </c>
      <c r="R6" s="2">
        <v>0</v>
      </c>
      <c r="S6" s="2">
        <v>0</v>
      </c>
      <c r="T6" t="s">
        <v>3411</v>
      </c>
      <c r="U6" s="6">
        <v>30790</v>
      </c>
      <c r="V6" s="2">
        <v>47037015501</v>
      </c>
      <c r="W6" s="2" t="s">
        <v>68</v>
      </c>
      <c r="X6" s="1">
        <v>45658</v>
      </c>
      <c r="Y6" s="2">
        <v>1306200</v>
      </c>
      <c r="Z6" s="2">
        <v>0</v>
      </c>
      <c r="AA6" s="2">
        <v>1306200</v>
      </c>
    </row>
    <row r="7" spans="1:27" x14ac:dyDescent="0.3">
      <c r="A7" s="3">
        <v>14</v>
      </c>
      <c r="B7" s="2" t="str">
        <f>"07412017200"</f>
        <v>07412017200</v>
      </c>
      <c r="C7" s="2" t="s">
        <v>3412</v>
      </c>
      <c r="D7" t="s">
        <v>2512</v>
      </c>
      <c r="E7" s="2" t="s">
        <v>30</v>
      </c>
      <c r="F7" s="2">
        <v>37076</v>
      </c>
      <c r="G7" s="2" t="s">
        <v>64</v>
      </c>
      <c r="H7" t="s">
        <v>32</v>
      </c>
      <c r="I7" s="6">
        <v>42633</v>
      </c>
      <c r="J7" s="2" t="s">
        <v>3413</v>
      </c>
      <c r="K7" s="2">
        <v>482</v>
      </c>
      <c r="L7" t="s">
        <v>35</v>
      </c>
      <c r="M7" t="s">
        <v>29</v>
      </c>
      <c r="N7" t="s">
        <v>30</v>
      </c>
      <c r="O7">
        <v>37219</v>
      </c>
      <c r="P7" t="s">
        <v>3414</v>
      </c>
      <c r="Q7" s="2">
        <v>0.01</v>
      </c>
      <c r="R7" s="2">
        <v>2</v>
      </c>
      <c r="S7" s="2">
        <v>10</v>
      </c>
      <c r="T7" t="s">
        <v>3415</v>
      </c>
      <c r="U7" s="6">
        <v>22803</v>
      </c>
      <c r="V7" s="2">
        <v>47037015402</v>
      </c>
      <c r="W7" s="2" t="s">
        <v>38</v>
      </c>
      <c r="X7" s="1">
        <v>45658</v>
      </c>
      <c r="Y7" s="2">
        <v>1500</v>
      </c>
      <c r="Z7" s="2">
        <v>0</v>
      </c>
      <c r="AA7" s="2">
        <v>1500</v>
      </c>
    </row>
    <row r="8" spans="1:27" x14ac:dyDescent="0.3">
      <c r="A8" s="3">
        <v>14</v>
      </c>
      <c r="B8" s="2" t="str">
        <f>"07404013200"</f>
        <v>07404013200</v>
      </c>
      <c r="C8" s="2" t="s">
        <v>3416</v>
      </c>
      <c r="D8" t="s">
        <v>2512</v>
      </c>
      <c r="E8" s="2" t="s">
        <v>30</v>
      </c>
      <c r="F8" s="2">
        <v>37076</v>
      </c>
      <c r="G8" s="2" t="s">
        <v>64</v>
      </c>
      <c r="H8" t="s">
        <v>99</v>
      </c>
      <c r="I8" s="6">
        <v>32926</v>
      </c>
      <c r="J8" s="2" t="s">
        <v>3417</v>
      </c>
      <c r="K8" s="2">
        <v>327</v>
      </c>
      <c r="L8" t="s">
        <v>35</v>
      </c>
      <c r="M8" t="s">
        <v>29</v>
      </c>
      <c r="N8" t="s">
        <v>30</v>
      </c>
      <c r="O8">
        <v>37219</v>
      </c>
      <c r="P8" t="s">
        <v>3418</v>
      </c>
      <c r="Q8" s="2">
        <v>0.03</v>
      </c>
      <c r="R8" s="2">
        <v>0</v>
      </c>
      <c r="S8" s="2">
        <v>43</v>
      </c>
      <c r="T8" t="s">
        <v>3419</v>
      </c>
      <c r="U8" s="6">
        <v>28874</v>
      </c>
      <c r="V8" s="2">
        <v>47037015402</v>
      </c>
      <c r="W8" s="2" t="s">
        <v>38</v>
      </c>
      <c r="X8" s="1">
        <v>45658</v>
      </c>
      <c r="Y8" s="2">
        <v>1100</v>
      </c>
      <c r="Z8" s="2">
        <v>0</v>
      </c>
      <c r="AA8" s="2">
        <v>1100</v>
      </c>
    </row>
    <row r="9" spans="1:27" x14ac:dyDescent="0.3">
      <c r="A9" s="3">
        <v>14</v>
      </c>
      <c r="B9" s="2" t="str">
        <f>"07509014100"</f>
        <v>07509014100</v>
      </c>
      <c r="C9" s="2" t="s">
        <v>3420</v>
      </c>
      <c r="D9" t="s">
        <v>2512</v>
      </c>
      <c r="E9" s="2" t="s">
        <v>30</v>
      </c>
      <c r="F9" s="2">
        <v>37076</v>
      </c>
      <c r="G9" s="2" t="s">
        <v>147</v>
      </c>
      <c r="H9" t="s">
        <v>1131</v>
      </c>
      <c r="I9" s="6">
        <v>28509</v>
      </c>
      <c r="J9" s="2" t="s">
        <v>3421</v>
      </c>
      <c r="K9" s="2" t="s">
        <v>34</v>
      </c>
      <c r="L9" t="s">
        <v>35</v>
      </c>
      <c r="M9" t="s">
        <v>29</v>
      </c>
      <c r="N9" t="s">
        <v>30</v>
      </c>
      <c r="O9">
        <v>37219</v>
      </c>
      <c r="P9" t="s">
        <v>3422</v>
      </c>
      <c r="Q9" s="2">
        <v>0.76</v>
      </c>
      <c r="R9" s="2">
        <v>130</v>
      </c>
      <c r="S9" s="2">
        <v>300</v>
      </c>
      <c r="T9" t="s">
        <v>3423</v>
      </c>
      <c r="U9" s="6">
        <v>21057</v>
      </c>
      <c r="V9" s="2">
        <v>47037015402</v>
      </c>
      <c r="W9" s="2" t="s">
        <v>38</v>
      </c>
      <c r="X9" s="1">
        <v>45658</v>
      </c>
      <c r="Y9" s="2">
        <v>496600</v>
      </c>
      <c r="Z9" s="2">
        <v>0</v>
      </c>
      <c r="AA9" s="2">
        <v>496600</v>
      </c>
    </row>
    <row r="10" spans="1:27" x14ac:dyDescent="0.3">
      <c r="A10" s="3">
        <v>14</v>
      </c>
      <c r="B10" s="2" t="str">
        <f>"08600014700"</f>
        <v>08600014700</v>
      </c>
      <c r="C10" s="2" t="s">
        <v>3424</v>
      </c>
      <c r="D10" t="s">
        <v>2512</v>
      </c>
      <c r="E10" s="2" t="s">
        <v>30</v>
      </c>
      <c r="F10" s="2">
        <v>37076</v>
      </c>
      <c r="G10" s="2" t="s">
        <v>77</v>
      </c>
      <c r="H10" t="s">
        <v>171</v>
      </c>
      <c r="I10" s="6">
        <v>35317</v>
      </c>
      <c r="J10" s="2" t="s">
        <v>3425</v>
      </c>
      <c r="K10" s="2">
        <v>615000</v>
      </c>
      <c r="L10" t="s">
        <v>35</v>
      </c>
      <c r="M10" t="s">
        <v>29</v>
      </c>
      <c r="N10" t="s">
        <v>30</v>
      </c>
      <c r="O10">
        <v>37219</v>
      </c>
      <c r="P10" t="s">
        <v>3426</v>
      </c>
      <c r="Q10" s="2">
        <v>22.03</v>
      </c>
      <c r="R10" s="2">
        <v>0</v>
      </c>
      <c r="S10" s="2">
        <v>0</v>
      </c>
      <c r="T10" t="s">
        <v>3427</v>
      </c>
      <c r="U10" s="6">
        <v>35306</v>
      </c>
      <c r="V10" s="2">
        <v>47037015623</v>
      </c>
      <c r="W10" s="2" t="s">
        <v>38</v>
      </c>
      <c r="X10" s="1">
        <v>45658</v>
      </c>
      <c r="Y10" s="2">
        <v>699900</v>
      </c>
      <c r="Z10" s="2">
        <v>34400</v>
      </c>
      <c r="AA10" s="2">
        <v>665500</v>
      </c>
    </row>
    <row r="11" spans="1:27" x14ac:dyDescent="0.3">
      <c r="A11" s="3">
        <v>14</v>
      </c>
      <c r="B11" s="2" t="str">
        <f>"07408007000"</f>
        <v>07408007000</v>
      </c>
      <c r="C11" s="2" t="s">
        <v>3428</v>
      </c>
      <c r="D11" t="s">
        <v>2512</v>
      </c>
      <c r="E11" s="2" t="s">
        <v>30</v>
      </c>
      <c r="F11" s="2">
        <v>37076</v>
      </c>
      <c r="G11" s="2" t="s">
        <v>152</v>
      </c>
      <c r="H11" t="s">
        <v>176</v>
      </c>
      <c r="I11" s="6">
        <v>22864</v>
      </c>
      <c r="J11" s="2" t="s">
        <v>3429</v>
      </c>
      <c r="K11" s="2" t="s">
        <v>34</v>
      </c>
      <c r="L11" t="s">
        <v>178</v>
      </c>
      <c r="M11" t="s">
        <v>29</v>
      </c>
      <c r="N11" t="s">
        <v>30</v>
      </c>
      <c r="O11">
        <v>37246</v>
      </c>
      <c r="P11" t="s">
        <v>3430</v>
      </c>
      <c r="Q11" s="2">
        <v>0.28999999999999998</v>
      </c>
      <c r="R11" s="2">
        <v>80</v>
      </c>
      <c r="S11" s="2">
        <v>155</v>
      </c>
      <c r="T11" t="s">
        <v>3431</v>
      </c>
      <c r="U11" s="6">
        <v>22864</v>
      </c>
      <c r="V11" s="2">
        <v>47037015402</v>
      </c>
      <c r="W11" s="2" t="s">
        <v>38</v>
      </c>
      <c r="X11" s="1">
        <v>45658</v>
      </c>
      <c r="Y11" s="2">
        <v>86000</v>
      </c>
      <c r="Z11" s="2">
        <v>0</v>
      </c>
      <c r="AA11" s="2">
        <v>86000</v>
      </c>
    </row>
    <row r="12" spans="1:27" x14ac:dyDescent="0.3">
      <c r="A12" s="3">
        <v>14</v>
      </c>
      <c r="B12" s="2" t="str">
        <f>"07514004200"</f>
        <v>07514004200</v>
      </c>
      <c r="C12" s="2" t="s">
        <v>3432</v>
      </c>
      <c r="D12" t="s">
        <v>2512</v>
      </c>
      <c r="E12" s="2" t="s">
        <v>30</v>
      </c>
      <c r="F12" s="2">
        <v>37076</v>
      </c>
      <c r="G12" s="2" t="s">
        <v>152</v>
      </c>
      <c r="H12" t="s">
        <v>176</v>
      </c>
      <c r="I12" s="6">
        <v>23964</v>
      </c>
      <c r="J12" s="2" t="s">
        <v>3433</v>
      </c>
      <c r="K12" s="2" t="s">
        <v>34</v>
      </c>
      <c r="L12" t="s">
        <v>178</v>
      </c>
      <c r="M12" t="s">
        <v>29</v>
      </c>
      <c r="N12" t="s">
        <v>30</v>
      </c>
      <c r="O12">
        <v>37246</v>
      </c>
      <c r="P12" t="s">
        <v>3434</v>
      </c>
      <c r="Q12" s="2">
        <v>4.63</v>
      </c>
      <c r="R12" s="2">
        <v>0</v>
      </c>
      <c r="S12" s="2">
        <v>0</v>
      </c>
      <c r="T12" t="s">
        <v>3433</v>
      </c>
      <c r="U12" s="6">
        <v>23964</v>
      </c>
      <c r="V12" s="2">
        <v>47037015404</v>
      </c>
      <c r="W12" s="2" t="s">
        <v>38</v>
      </c>
      <c r="X12" s="1">
        <v>45658</v>
      </c>
      <c r="Y12" s="2">
        <v>1978600</v>
      </c>
      <c r="Z12" s="2">
        <v>0</v>
      </c>
      <c r="AA12" s="2">
        <v>1978600</v>
      </c>
    </row>
    <row r="13" spans="1:27" x14ac:dyDescent="0.3">
      <c r="A13" s="3">
        <v>14</v>
      </c>
      <c r="B13" s="2" t="str">
        <f>"07513012200"</f>
        <v>07513012200</v>
      </c>
      <c r="C13" s="2" t="s">
        <v>3435</v>
      </c>
      <c r="D13" t="s">
        <v>2512</v>
      </c>
      <c r="E13" s="2" t="s">
        <v>30</v>
      </c>
      <c r="F13" s="2">
        <v>37076</v>
      </c>
      <c r="G13" s="2" t="s">
        <v>152</v>
      </c>
      <c r="H13" t="s">
        <v>176</v>
      </c>
      <c r="I13" s="6">
        <v>21760</v>
      </c>
      <c r="J13" s="2" t="s">
        <v>3436</v>
      </c>
      <c r="K13" s="2" t="s">
        <v>34</v>
      </c>
      <c r="L13" t="s">
        <v>178</v>
      </c>
      <c r="M13" t="s">
        <v>29</v>
      </c>
      <c r="N13" t="s">
        <v>30</v>
      </c>
      <c r="O13">
        <v>37246</v>
      </c>
      <c r="P13" t="s">
        <v>3437</v>
      </c>
      <c r="Q13" s="2">
        <v>0.36</v>
      </c>
      <c r="R13" s="2">
        <v>77</v>
      </c>
      <c r="S13" s="2">
        <v>205</v>
      </c>
      <c r="T13" t="s">
        <v>3436</v>
      </c>
      <c r="U13" s="6">
        <v>21760</v>
      </c>
      <c r="V13" s="2">
        <v>47037015402</v>
      </c>
      <c r="W13" s="2" t="s">
        <v>38</v>
      </c>
      <c r="X13" s="1">
        <v>45658</v>
      </c>
      <c r="Y13" s="2">
        <v>86000</v>
      </c>
      <c r="Z13" s="2">
        <v>0</v>
      </c>
      <c r="AA13" s="2">
        <v>86000</v>
      </c>
    </row>
    <row r="14" spans="1:27" x14ac:dyDescent="0.3">
      <c r="A14" s="3">
        <v>14</v>
      </c>
      <c r="B14" s="2" t="str">
        <f>"08500004400"</f>
        <v>08500004400</v>
      </c>
      <c r="C14" s="2" t="s">
        <v>3438</v>
      </c>
      <c r="D14" t="s">
        <v>2512</v>
      </c>
      <c r="E14" s="2" t="s">
        <v>30</v>
      </c>
      <c r="F14" s="2">
        <v>37076</v>
      </c>
      <c r="G14" s="2" t="s">
        <v>31</v>
      </c>
      <c r="H14" t="s">
        <v>176</v>
      </c>
      <c r="I14" s="6">
        <v>32674</v>
      </c>
      <c r="J14" s="2" t="s">
        <v>3439</v>
      </c>
      <c r="K14" s="2" t="s">
        <v>34</v>
      </c>
      <c r="L14" t="s">
        <v>178</v>
      </c>
      <c r="M14" t="s">
        <v>29</v>
      </c>
      <c r="N14" t="s">
        <v>30</v>
      </c>
      <c r="O14">
        <v>37246</v>
      </c>
      <c r="P14" t="s">
        <v>3440</v>
      </c>
      <c r="Q14" s="2">
        <v>5.42</v>
      </c>
      <c r="R14" s="2">
        <v>0</v>
      </c>
      <c r="S14" s="2">
        <v>0</v>
      </c>
      <c r="T14" t="s">
        <v>3441</v>
      </c>
      <c r="U14" s="6">
        <v>26050</v>
      </c>
      <c r="V14" s="2">
        <v>47037015609</v>
      </c>
      <c r="W14" s="2" t="s">
        <v>38</v>
      </c>
      <c r="X14" s="1">
        <v>45658</v>
      </c>
      <c r="Y14" s="2">
        <v>293500</v>
      </c>
      <c r="Z14" s="2">
        <v>0</v>
      </c>
      <c r="AA14" s="2">
        <v>293500</v>
      </c>
    </row>
    <row r="15" spans="1:27" x14ac:dyDescent="0.3">
      <c r="A15" s="3">
        <v>14</v>
      </c>
      <c r="B15" s="2" t="str">
        <f>"09600000100"</f>
        <v>09600000100</v>
      </c>
      <c r="C15" s="2" t="s">
        <v>3442</v>
      </c>
      <c r="D15" t="s">
        <v>29</v>
      </c>
      <c r="E15" s="2" t="s">
        <v>30</v>
      </c>
      <c r="F15" s="2">
        <v>37214</v>
      </c>
      <c r="G15" s="2" t="s">
        <v>152</v>
      </c>
      <c r="H15" t="s">
        <v>176</v>
      </c>
      <c r="I15" s="6">
        <v>29486</v>
      </c>
      <c r="J15" s="2" t="s">
        <v>3443</v>
      </c>
      <c r="K15" s="2" t="s">
        <v>34</v>
      </c>
      <c r="L15" t="s">
        <v>178</v>
      </c>
      <c r="M15" t="s">
        <v>29</v>
      </c>
      <c r="N15" t="s">
        <v>30</v>
      </c>
      <c r="O15">
        <v>37246</v>
      </c>
      <c r="P15" t="s">
        <v>3444</v>
      </c>
      <c r="Q15" s="2">
        <v>16.82</v>
      </c>
      <c r="R15" s="2">
        <v>0</v>
      </c>
      <c r="S15" s="2">
        <v>0</v>
      </c>
      <c r="T15" t="s">
        <v>3445</v>
      </c>
      <c r="U15" s="6">
        <v>38330</v>
      </c>
      <c r="V15" s="2">
        <v>47037015501</v>
      </c>
      <c r="W15" s="2" t="s">
        <v>68</v>
      </c>
      <c r="X15" s="1">
        <v>45658</v>
      </c>
      <c r="Y15" s="2">
        <v>54700</v>
      </c>
      <c r="Z15" s="2">
        <v>0</v>
      </c>
      <c r="AA15" s="2">
        <v>54700</v>
      </c>
    </row>
    <row r="16" spans="1:27" x14ac:dyDescent="0.3">
      <c r="A16" s="3">
        <v>14</v>
      </c>
      <c r="B16" s="2" t="str">
        <f>"08500002900"</f>
        <v>08500002900</v>
      </c>
      <c r="C16" s="2" t="s">
        <v>3446</v>
      </c>
      <c r="D16" t="s">
        <v>2512</v>
      </c>
      <c r="E16" s="2" t="s">
        <v>30</v>
      </c>
      <c r="F16" s="2">
        <v>37076</v>
      </c>
      <c r="G16" s="2" t="s">
        <v>2267</v>
      </c>
      <c r="H16" t="s">
        <v>176</v>
      </c>
      <c r="I16" s="6">
        <v>32674</v>
      </c>
      <c r="J16" s="2" t="s">
        <v>3439</v>
      </c>
      <c r="K16" s="2" t="s">
        <v>34</v>
      </c>
      <c r="L16" t="s">
        <v>178</v>
      </c>
      <c r="M16" t="s">
        <v>29</v>
      </c>
      <c r="N16" t="s">
        <v>30</v>
      </c>
      <c r="O16">
        <v>37246</v>
      </c>
      <c r="P16" t="s">
        <v>3447</v>
      </c>
      <c r="Q16" s="2">
        <v>8.9499999999999993</v>
      </c>
      <c r="R16" s="2">
        <v>0</v>
      </c>
      <c r="S16" s="2">
        <v>0</v>
      </c>
      <c r="T16" t="s">
        <v>3448</v>
      </c>
      <c r="U16" s="6">
        <v>26015</v>
      </c>
      <c r="V16" s="2">
        <v>47037015609</v>
      </c>
      <c r="W16" s="2" t="s">
        <v>38</v>
      </c>
      <c r="X16" s="1">
        <v>45658</v>
      </c>
      <c r="Y16" s="2">
        <v>365000</v>
      </c>
      <c r="Z16" s="2">
        <v>0</v>
      </c>
      <c r="AA16" s="2">
        <v>365000</v>
      </c>
    </row>
    <row r="17" spans="1:27" x14ac:dyDescent="0.3">
      <c r="A17" s="3">
        <v>14</v>
      </c>
      <c r="B17" s="2" t="str">
        <f>"08500000600"</f>
        <v>08500000600</v>
      </c>
      <c r="C17" s="2" t="s">
        <v>3449</v>
      </c>
      <c r="D17" t="s">
        <v>2512</v>
      </c>
      <c r="E17" s="2" t="s">
        <v>30</v>
      </c>
      <c r="F17" s="2">
        <v>37076</v>
      </c>
      <c r="G17" s="2" t="s">
        <v>200</v>
      </c>
      <c r="H17" t="s">
        <v>206</v>
      </c>
      <c r="I17" s="6">
        <v>41285</v>
      </c>
      <c r="J17" s="2" t="s">
        <v>3450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3451</v>
      </c>
      <c r="Q17" s="2">
        <v>601</v>
      </c>
      <c r="R17" s="2">
        <v>0</v>
      </c>
      <c r="S17" s="2">
        <v>0</v>
      </c>
      <c r="T17" t="s">
        <v>3452</v>
      </c>
      <c r="U17" s="6">
        <v>40234</v>
      </c>
      <c r="V17" s="2">
        <v>47037015402</v>
      </c>
      <c r="W17" s="2" t="s">
        <v>38</v>
      </c>
      <c r="X17" s="1">
        <v>45658</v>
      </c>
      <c r="Y17" s="2">
        <v>9412900</v>
      </c>
      <c r="Z17" s="2">
        <v>22600</v>
      </c>
      <c r="AA17" s="2">
        <v>9390300</v>
      </c>
    </row>
    <row r="18" spans="1:27" x14ac:dyDescent="0.3">
      <c r="A18" s="3">
        <v>14</v>
      </c>
      <c r="B18" s="2" t="str">
        <f>"08500006500"</f>
        <v>08500006500</v>
      </c>
      <c r="C18" s="2" t="s">
        <v>3402</v>
      </c>
      <c r="D18" t="s">
        <v>2512</v>
      </c>
      <c r="E18" s="2" t="s">
        <v>30</v>
      </c>
      <c r="F18" s="2">
        <v>37076</v>
      </c>
      <c r="G18" s="2" t="s">
        <v>200</v>
      </c>
      <c r="H18" t="s">
        <v>3453</v>
      </c>
      <c r="I18" s="6">
        <v>36816</v>
      </c>
      <c r="J18" s="2" t="s">
        <v>3454</v>
      </c>
      <c r="K18" s="2">
        <v>180500</v>
      </c>
      <c r="L18" t="s">
        <v>35</v>
      </c>
      <c r="M18" t="s">
        <v>29</v>
      </c>
      <c r="N18" t="s">
        <v>30</v>
      </c>
      <c r="O18">
        <v>37219</v>
      </c>
      <c r="P18" t="s">
        <v>3455</v>
      </c>
      <c r="Q18" s="2">
        <v>5.93</v>
      </c>
      <c r="R18" s="2">
        <v>0</v>
      </c>
      <c r="S18" s="2">
        <v>0</v>
      </c>
      <c r="T18" t="s">
        <v>3456</v>
      </c>
      <c r="U18" s="6">
        <v>29361</v>
      </c>
      <c r="V18" s="2">
        <v>47037015402</v>
      </c>
      <c r="W18" s="2" t="s">
        <v>38</v>
      </c>
      <c r="X18" s="1">
        <v>45658</v>
      </c>
      <c r="Y18" s="2">
        <v>314600</v>
      </c>
      <c r="Z18" s="2">
        <v>0</v>
      </c>
      <c r="AA18" s="2">
        <v>314600</v>
      </c>
    </row>
    <row r="19" spans="1:27" x14ac:dyDescent="0.3">
      <c r="A19" s="3">
        <v>14</v>
      </c>
      <c r="B19" s="2" t="str">
        <f>"08500000800"</f>
        <v>08500000800</v>
      </c>
      <c r="C19" s="2" t="s">
        <v>3457</v>
      </c>
      <c r="D19" t="s">
        <v>2512</v>
      </c>
      <c r="E19" s="2" t="s">
        <v>30</v>
      </c>
      <c r="F19" s="2">
        <v>37076</v>
      </c>
      <c r="G19" s="2" t="s">
        <v>200</v>
      </c>
      <c r="H19" t="s">
        <v>3453</v>
      </c>
      <c r="I19" s="6">
        <v>36816</v>
      </c>
      <c r="J19" s="2" t="s">
        <v>3454</v>
      </c>
      <c r="K19" s="2">
        <v>180500</v>
      </c>
      <c r="L19" t="s">
        <v>35</v>
      </c>
      <c r="M19" t="s">
        <v>29</v>
      </c>
      <c r="N19" t="s">
        <v>30</v>
      </c>
      <c r="O19">
        <v>37219</v>
      </c>
      <c r="P19" t="s">
        <v>3404</v>
      </c>
      <c r="Q19" s="2">
        <v>2.76</v>
      </c>
      <c r="R19" s="2">
        <v>0</v>
      </c>
      <c r="S19" s="2">
        <v>0</v>
      </c>
      <c r="T19" t="s">
        <v>3458</v>
      </c>
      <c r="U19" s="6">
        <v>21655</v>
      </c>
      <c r="V19" s="2">
        <v>47037015402</v>
      </c>
      <c r="W19" s="2" t="s">
        <v>38</v>
      </c>
      <c r="X19" s="1">
        <v>45658</v>
      </c>
      <c r="Y19" s="2">
        <v>204500</v>
      </c>
      <c r="Z19" s="2">
        <v>0</v>
      </c>
      <c r="AA19" s="2">
        <v>204500</v>
      </c>
    </row>
    <row r="20" spans="1:27" x14ac:dyDescent="0.3">
      <c r="A20" s="3">
        <v>14</v>
      </c>
      <c r="B20" s="2" t="str">
        <f>"08500001700"</f>
        <v>08500001700</v>
      </c>
      <c r="C20" s="2" t="s">
        <v>3459</v>
      </c>
      <c r="D20" t="s">
        <v>2512</v>
      </c>
      <c r="E20" s="2" t="s">
        <v>30</v>
      </c>
      <c r="F20" s="2">
        <v>37076</v>
      </c>
      <c r="G20" s="2" t="s">
        <v>194</v>
      </c>
      <c r="H20" t="s">
        <v>249</v>
      </c>
      <c r="I20" s="6">
        <v>39122</v>
      </c>
      <c r="J20" s="2" t="s">
        <v>3460</v>
      </c>
      <c r="K20" s="2">
        <v>1975000</v>
      </c>
      <c r="L20" t="s">
        <v>35</v>
      </c>
      <c r="M20" t="s">
        <v>29</v>
      </c>
      <c r="N20" t="s">
        <v>30</v>
      </c>
      <c r="O20">
        <v>37219</v>
      </c>
      <c r="P20" t="s">
        <v>3461</v>
      </c>
      <c r="Q20" s="2">
        <v>2.1</v>
      </c>
      <c r="R20" s="2">
        <v>0</v>
      </c>
      <c r="S20" s="2">
        <v>0</v>
      </c>
      <c r="T20" t="s">
        <v>3462</v>
      </c>
      <c r="U20" s="6">
        <v>40136</v>
      </c>
      <c r="V20" s="2">
        <v>47037015402</v>
      </c>
      <c r="W20" s="2" t="s">
        <v>38</v>
      </c>
      <c r="X20" s="1">
        <v>45658</v>
      </c>
      <c r="Y20" s="2">
        <v>198600</v>
      </c>
      <c r="Z20" s="2">
        <v>66300</v>
      </c>
      <c r="AA20" s="2">
        <v>132300</v>
      </c>
    </row>
    <row r="21" spans="1:27" x14ac:dyDescent="0.3">
      <c r="A21" s="3">
        <v>14</v>
      </c>
      <c r="B21" s="2" t="str">
        <f>"08500001800"</f>
        <v>08500001800</v>
      </c>
      <c r="C21" s="2" t="s">
        <v>3463</v>
      </c>
      <c r="D21" t="s">
        <v>2512</v>
      </c>
      <c r="E21" s="2" t="s">
        <v>30</v>
      </c>
      <c r="F21" s="2">
        <v>37076</v>
      </c>
      <c r="G21" s="2" t="s">
        <v>194</v>
      </c>
      <c r="H21" t="s">
        <v>249</v>
      </c>
      <c r="I21" s="6">
        <v>39122</v>
      </c>
      <c r="J21" s="2" t="s">
        <v>3460</v>
      </c>
      <c r="K21" s="2">
        <v>1975000</v>
      </c>
      <c r="L21" t="s">
        <v>35</v>
      </c>
      <c r="M21" t="s">
        <v>29</v>
      </c>
      <c r="N21" t="s">
        <v>30</v>
      </c>
      <c r="O21">
        <v>37219</v>
      </c>
      <c r="P21" t="s">
        <v>3464</v>
      </c>
      <c r="Q21" s="2">
        <v>7.46</v>
      </c>
      <c r="R21" s="2">
        <v>516</v>
      </c>
      <c r="S21" s="2">
        <v>0</v>
      </c>
      <c r="T21" t="s">
        <v>3465</v>
      </c>
      <c r="U21" s="6">
        <v>39693</v>
      </c>
      <c r="V21" s="2">
        <v>47037015402</v>
      </c>
      <c r="W21" s="2" t="s">
        <v>38</v>
      </c>
      <c r="X21" s="1">
        <v>45658</v>
      </c>
      <c r="Y21" s="2">
        <v>963200</v>
      </c>
      <c r="Z21" s="2">
        <v>654400</v>
      </c>
      <c r="AA21" s="2">
        <v>308800</v>
      </c>
    </row>
    <row r="22" spans="1:27" x14ac:dyDescent="0.3">
      <c r="A22" s="3">
        <v>14</v>
      </c>
      <c r="B22" s="2" t="str">
        <f>"08500021400"</f>
        <v>08500021400</v>
      </c>
      <c r="C22" s="2" t="s">
        <v>3466</v>
      </c>
      <c r="D22" t="s">
        <v>2512</v>
      </c>
      <c r="E22" s="2" t="s">
        <v>30</v>
      </c>
      <c r="F22" s="2">
        <v>37076</v>
      </c>
      <c r="G22" s="2" t="s">
        <v>77</v>
      </c>
      <c r="H22" t="s">
        <v>249</v>
      </c>
      <c r="I22" s="6">
        <v>39122</v>
      </c>
      <c r="J22" s="2" t="s">
        <v>3460</v>
      </c>
      <c r="K22" s="2">
        <v>1975000</v>
      </c>
      <c r="L22" t="s">
        <v>35</v>
      </c>
      <c r="M22" t="s">
        <v>29</v>
      </c>
      <c r="N22" t="s">
        <v>30</v>
      </c>
      <c r="O22">
        <v>37219</v>
      </c>
      <c r="P22" t="s">
        <v>3467</v>
      </c>
      <c r="Q22" s="2">
        <v>1.06</v>
      </c>
      <c r="R22" s="2">
        <v>1052</v>
      </c>
      <c r="S22" s="2">
        <v>198</v>
      </c>
      <c r="T22" t="s">
        <v>3465</v>
      </c>
      <c r="U22" s="6">
        <v>39693</v>
      </c>
      <c r="V22" s="2">
        <v>47037015402</v>
      </c>
      <c r="W22" s="2" t="s">
        <v>38</v>
      </c>
      <c r="X22" s="1">
        <v>45658</v>
      </c>
      <c r="Y22" s="2">
        <v>150600</v>
      </c>
      <c r="Z22" s="2">
        <v>26700</v>
      </c>
      <c r="AA22" s="2">
        <v>123900</v>
      </c>
    </row>
    <row r="23" spans="1:27" x14ac:dyDescent="0.3">
      <c r="A23" s="3">
        <v>14</v>
      </c>
      <c r="B23" s="2" t="str">
        <f>"07500004500"</f>
        <v>07500004500</v>
      </c>
      <c r="C23" s="2" t="s">
        <v>3468</v>
      </c>
      <c r="D23" t="s">
        <v>2512</v>
      </c>
      <c r="E23" s="2" t="s">
        <v>30</v>
      </c>
      <c r="F23" s="2">
        <v>37076</v>
      </c>
      <c r="G23" s="2" t="s">
        <v>253</v>
      </c>
      <c r="H23" t="s">
        <v>2444</v>
      </c>
      <c r="I23" s="6">
        <v>22406</v>
      </c>
      <c r="J23" s="2" t="s">
        <v>3469</v>
      </c>
      <c r="K23" s="2" t="s">
        <v>34</v>
      </c>
      <c r="L23" t="s">
        <v>35</v>
      </c>
      <c r="M23" t="s">
        <v>29</v>
      </c>
      <c r="N23" t="s">
        <v>30</v>
      </c>
      <c r="O23">
        <v>37219</v>
      </c>
      <c r="P23" t="s">
        <v>3470</v>
      </c>
      <c r="Q23" s="2">
        <v>34.200000000000003</v>
      </c>
      <c r="R23" s="2">
        <v>0</v>
      </c>
      <c r="S23" s="2">
        <v>0</v>
      </c>
      <c r="T23" t="s">
        <v>3471</v>
      </c>
      <c r="U23" s="6">
        <v>28990</v>
      </c>
      <c r="V23" s="2">
        <v>47037015404</v>
      </c>
      <c r="W23" s="2" t="s">
        <v>38</v>
      </c>
      <c r="X23" s="1">
        <v>45658</v>
      </c>
      <c r="Y23" s="2">
        <v>1325200</v>
      </c>
      <c r="Z23" s="2">
        <v>0</v>
      </c>
      <c r="AA23" s="2">
        <v>1325200</v>
      </c>
    </row>
    <row r="24" spans="1:27" x14ac:dyDescent="0.3">
      <c r="A24" s="3">
        <v>14</v>
      </c>
      <c r="B24" s="2" t="str">
        <f>"07416000100"</f>
        <v>07416000100</v>
      </c>
      <c r="C24" s="2" t="s">
        <v>3472</v>
      </c>
      <c r="D24" t="s">
        <v>2512</v>
      </c>
      <c r="E24" s="2" t="s">
        <v>30</v>
      </c>
      <c r="F24" s="2">
        <v>37076</v>
      </c>
      <c r="G24" s="2" t="s">
        <v>253</v>
      </c>
      <c r="H24" t="s">
        <v>3473</v>
      </c>
      <c r="I24" s="6">
        <v>22138</v>
      </c>
      <c r="J24" s="2" t="s">
        <v>3474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3475</v>
      </c>
      <c r="Q24" s="2">
        <v>10.52</v>
      </c>
      <c r="R24" s="2">
        <v>0</v>
      </c>
      <c r="S24" s="2">
        <v>0</v>
      </c>
      <c r="T24" t="s">
        <v>3476</v>
      </c>
      <c r="U24" s="6">
        <v>43707</v>
      </c>
      <c r="V24" s="2">
        <v>47037015402</v>
      </c>
      <c r="W24" s="2" t="s">
        <v>38</v>
      </c>
      <c r="X24" s="1">
        <v>45658</v>
      </c>
      <c r="Y24" s="2">
        <v>2150000</v>
      </c>
      <c r="Z24" s="2">
        <v>0</v>
      </c>
      <c r="AA24" s="2">
        <v>2150000</v>
      </c>
    </row>
    <row r="25" spans="1:27" x14ac:dyDescent="0.3">
      <c r="A25" s="3">
        <v>14</v>
      </c>
      <c r="B25" s="2" t="str">
        <f>"08600075400"</f>
        <v>08600075400</v>
      </c>
      <c r="C25" s="2" t="s">
        <v>3477</v>
      </c>
      <c r="D25" t="s">
        <v>2512</v>
      </c>
      <c r="E25" s="2" t="s">
        <v>30</v>
      </c>
      <c r="F25" s="2">
        <v>37076</v>
      </c>
      <c r="G25" s="2" t="s">
        <v>2495</v>
      </c>
      <c r="H25" t="s">
        <v>280</v>
      </c>
      <c r="I25" s="6">
        <v>26846</v>
      </c>
      <c r="J25" s="2" t="s">
        <v>1990</v>
      </c>
      <c r="K25" s="2" t="s">
        <v>34</v>
      </c>
      <c r="L25" t="s">
        <v>35</v>
      </c>
      <c r="M25" t="s">
        <v>29</v>
      </c>
      <c r="N25" t="s">
        <v>30</v>
      </c>
      <c r="O25">
        <v>37219</v>
      </c>
      <c r="P25" t="s">
        <v>3478</v>
      </c>
      <c r="Q25" s="2">
        <v>2.58</v>
      </c>
      <c r="R25" s="2">
        <v>203</v>
      </c>
      <c r="S25" s="2">
        <v>224</v>
      </c>
      <c r="T25" t="s">
        <v>3479</v>
      </c>
      <c r="U25" s="6">
        <v>38926</v>
      </c>
      <c r="V25" s="2">
        <v>47037015404</v>
      </c>
      <c r="W25" s="2" t="s">
        <v>38</v>
      </c>
      <c r="X25" s="1">
        <v>45658</v>
      </c>
      <c r="Y25" s="2">
        <v>165100</v>
      </c>
      <c r="Z25" s="2">
        <v>0</v>
      </c>
      <c r="AA25" s="2">
        <v>165100</v>
      </c>
    </row>
    <row r="26" spans="1:27" x14ac:dyDescent="0.3">
      <c r="A26" s="3">
        <v>14</v>
      </c>
      <c r="B26" s="2" t="str">
        <f>"08600075500"</f>
        <v>08600075500</v>
      </c>
      <c r="C26" s="2" t="s">
        <v>3480</v>
      </c>
      <c r="D26" t="s">
        <v>2512</v>
      </c>
      <c r="E26" s="2" t="s">
        <v>30</v>
      </c>
      <c r="F26" s="2">
        <v>37076</v>
      </c>
      <c r="G26" s="2" t="s">
        <v>64</v>
      </c>
      <c r="H26" t="s">
        <v>280</v>
      </c>
      <c r="I26" s="6">
        <v>26846</v>
      </c>
      <c r="J26" s="2" t="s">
        <v>1990</v>
      </c>
      <c r="K26" s="2" t="s">
        <v>34</v>
      </c>
      <c r="L26" t="s">
        <v>35</v>
      </c>
      <c r="M26" t="s">
        <v>29</v>
      </c>
      <c r="N26" t="s">
        <v>30</v>
      </c>
      <c r="O26">
        <v>37219</v>
      </c>
      <c r="P26" t="s">
        <v>3481</v>
      </c>
      <c r="Q26" s="2">
        <v>1.45</v>
      </c>
      <c r="R26" s="2">
        <v>297</v>
      </c>
      <c r="S26" s="2">
        <v>152</v>
      </c>
      <c r="T26" t="s">
        <v>3479</v>
      </c>
      <c r="U26" s="6">
        <v>38926</v>
      </c>
      <c r="V26" s="2">
        <v>47037015404</v>
      </c>
      <c r="W26" s="2" t="s">
        <v>38</v>
      </c>
      <c r="X26" s="1">
        <v>45658</v>
      </c>
      <c r="Y26" s="2">
        <v>3600</v>
      </c>
      <c r="Z26" s="2">
        <v>0</v>
      </c>
      <c r="AA26" s="2">
        <v>3600</v>
      </c>
    </row>
    <row r="27" spans="1:27" x14ac:dyDescent="0.3">
      <c r="A27" s="3">
        <v>14</v>
      </c>
      <c r="B27" s="2" t="str">
        <f>"09700001900"</f>
        <v>09700001900</v>
      </c>
      <c r="C27" s="2" t="s">
        <v>3482</v>
      </c>
      <c r="D27" t="s">
        <v>29</v>
      </c>
      <c r="E27" s="2" t="s">
        <v>30</v>
      </c>
      <c r="F27" s="2">
        <v>37214</v>
      </c>
      <c r="G27" s="2" t="s">
        <v>152</v>
      </c>
      <c r="H27" t="s">
        <v>280</v>
      </c>
      <c r="I27" s="6">
        <v>27233</v>
      </c>
      <c r="J27" s="2" t="s">
        <v>3483</v>
      </c>
      <c r="K27" s="2" t="s">
        <v>34</v>
      </c>
      <c r="L27" t="s">
        <v>35</v>
      </c>
      <c r="M27" t="s">
        <v>29</v>
      </c>
      <c r="N27" t="s">
        <v>30</v>
      </c>
      <c r="O27">
        <v>37219</v>
      </c>
      <c r="P27" t="s">
        <v>3484</v>
      </c>
      <c r="Q27" s="2">
        <v>20.399999999999999</v>
      </c>
      <c r="R27" s="2">
        <v>0</v>
      </c>
      <c r="S27" s="2">
        <v>0</v>
      </c>
      <c r="T27" t="s">
        <v>3483</v>
      </c>
      <c r="U27" s="6">
        <v>27233</v>
      </c>
      <c r="V27" s="2">
        <v>47037015501</v>
      </c>
      <c r="W27" s="2" t="s">
        <v>68</v>
      </c>
      <c r="X27" s="1">
        <v>45658</v>
      </c>
      <c r="Y27" s="2">
        <v>66300</v>
      </c>
      <c r="Z27" s="2">
        <v>0</v>
      </c>
      <c r="AA27" s="2">
        <v>66300</v>
      </c>
    </row>
    <row r="28" spans="1:27" x14ac:dyDescent="0.3">
      <c r="A28" s="3">
        <v>14</v>
      </c>
      <c r="B28" s="2" t="str">
        <f>"08600075600"</f>
        <v>08600075600</v>
      </c>
      <c r="C28" s="2" t="s">
        <v>3485</v>
      </c>
      <c r="D28" t="s">
        <v>2512</v>
      </c>
      <c r="E28" s="2" t="s">
        <v>30</v>
      </c>
      <c r="F28" s="2">
        <v>37076</v>
      </c>
      <c r="G28" s="2" t="s">
        <v>152</v>
      </c>
      <c r="H28" t="s">
        <v>280</v>
      </c>
      <c r="I28" s="6">
        <v>26846</v>
      </c>
      <c r="J28" s="2" t="s">
        <v>1990</v>
      </c>
      <c r="K28" s="2" t="s">
        <v>34</v>
      </c>
      <c r="L28" t="s">
        <v>35</v>
      </c>
      <c r="M28" t="s">
        <v>29</v>
      </c>
      <c r="N28" t="s">
        <v>30</v>
      </c>
      <c r="O28">
        <v>37219</v>
      </c>
      <c r="P28" t="s">
        <v>3486</v>
      </c>
      <c r="Q28" s="2">
        <v>13.99</v>
      </c>
      <c r="R28" s="2">
        <v>0</v>
      </c>
      <c r="S28" s="2">
        <v>0</v>
      </c>
      <c r="T28" t="s">
        <v>3479</v>
      </c>
      <c r="U28" s="6">
        <v>38926</v>
      </c>
      <c r="V28" s="2">
        <v>47037015404</v>
      </c>
      <c r="W28" s="2" t="s">
        <v>38</v>
      </c>
      <c r="X28" s="1">
        <v>45658</v>
      </c>
      <c r="Y28" s="2">
        <v>916800</v>
      </c>
      <c r="Z28" s="2">
        <v>0</v>
      </c>
      <c r="AA28" s="2">
        <v>916800</v>
      </c>
    </row>
    <row r="29" spans="1:27" x14ac:dyDescent="0.3">
      <c r="A29" s="3">
        <v>14</v>
      </c>
      <c r="B29" s="2" t="str">
        <f>"07509001800"</f>
        <v>07509001800</v>
      </c>
      <c r="C29" s="2" t="s">
        <v>3487</v>
      </c>
      <c r="D29" t="s">
        <v>2512</v>
      </c>
      <c r="E29" s="2" t="s">
        <v>30</v>
      </c>
      <c r="F29" s="2">
        <v>37076</v>
      </c>
      <c r="G29" s="2" t="s">
        <v>152</v>
      </c>
      <c r="H29" t="s">
        <v>280</v>
      </c>
      <c r="I29" s="6">
        <v>26846</v>
      </c>
      <c r="J29" s="2" t="s">
        <v>1990</v>
      </c>
      <c r="K29" s="2" t="s">
        <v>34</v>
      </c>
      <c r="L29" t="s">
        <v>35</v>
      </c>
      <c r="M29" t="s">
        <v>29</v>
      </c>
      <c r="N29" t="s">
        <v>30</v>
      </c>
      <c r="O29">
        <v>37219</v>
      </c>
      <c r="P29" t="s">
        <v>3488</v>
      </c>
      <c r="Q29" s="2">
        <v>0.41</v>
      </c>
      <c r="R29" s="2">
        <v>60</v>
      </c>
      <c r="S29" s="2">
        <v>244</v>
      </c>
      <c r="T29" t="s">
        <v>3489</v>
      </c>
      <c r="U29" s="6">
        <v>26390</v>
      </c>
      <c r="V29" s="2">
        <v>47037015402</v>
      </c>
      <c r="W29" s="2" t="s">
        <v>38</v>
      </c>
      <c r="X29" s="1">
        <v>45658</v>
      </c>
      <c r="Y29" s="2">
        <v>86000</v>
      </c>
      <c r="Z29" s="2">
        <v>0</v>
      </c>
      <c r="AA29" s="2">
        <v>86000</v>
      </c>
    </row>
    <row r="30" spans="1:27" x14ac:dyDescent="0.3">
      <c r="A30" s="3">
        <v>14</v>
      </c>
      <c r="B30" s="2" t="str">
        <f>"08600026100"</f>
        <v>08600026100</v>
      </c>
      <c r="C30" s="2" t="s">
        <v>3490</v>
      </c>
      <c r="D30" t="s">
        <v>2512</v>
      </c>
      <c r="E30" s="2" t="s">
        <v>30</v>
      </c>
      <c r="F30" s="2">
        <v>37076</v>
      </c>
      <c r="G30" s="2" t="s">
        <v>41</v>
      </c>
      <c r="H30" t="s">
        <v>2213</v>
      </c>
      <c r="I30" s="6">
        <v>35230</v>
      </c>
      <c r="J30" s="2" t="s">
        <v>3491</v>
      </c>
      <c r="K30" s="2">
        <v>181320</v>
      </c>
      <c r="L30" t="s">
        <v>3492</v>
      </c>
      <c r="M30" t="s">
        <v>29</v>
      </c>
      <c r="N30" t="s">
        <v>30</v>
      </c>
      <c r="O30">
        <v>37210</v>
      </c>
      <c r="P30" t="s">
        <v>3493</v>
      </c>
      <c r="Q30" s="2">
        <v>1.1100000000000001</v>
      </c>
      <c r="R30" s="2">
        <v>260</v>
      </c>
      <c r="S30" s="2">
        <v>233</v>
      </c>
      <c r="T30" t="s">
        <v>3494</v>
      </c>
      <c r="U30" s="6">
        <v>33630</v>
      </c>
      <c r="V30" s="2">
        <v>47037015623</v>
      </c>
      <c r="W30" s="2" t="s">
        <v>38</v>
      </c>
      <c r="X30" s="1">
        <v>45658</v>
      </c>
      <c r="Y30" s="2">
        <v>406100</v>
      </c>
      <c r="Z30" s="2">
        <v>0</v>
      </c>
      <c r="AA30" s="2">
        <v>406100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D3D2-80E8-4C5B-AB0B-D6D831B18A9F}">
  <sheetPr>
    <tabColor rgb="FF002060"/>
  </sheetPr>
  <dimension ref="A1:AA195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15</v>
      </c>
      <c r="B2" s="2" t="str">
        <f>"07413000700"</f>
        <v>07413000700</v>
      </c>
      <c r="C2" s="2" t="s">
        <v>3402</v>
      </c>
      <c r="D2" t="s">
        <v>29</v>
      </c>
      <c r="E2" s="2" t="s">
        <v>30</v>
      </c>
      <c r="F2" s="2">
        <v>37214</v>
      </c>
      <c r="G2" s="2" t="s">
        <v>64</v>
      </c>
      <c r="H2" t="s">
        <v>32</v>
      </c>
      <c r="I2" s="6">
        <v>36299</v>
      </c>
      <c r="J2" s="2" t="s">
        <v>3495</v>
      </c>
      <c r="K2" s="2" t="s">
        <v>34</v>
      </c>
      <c r="L2" t="s">
        <v>35</v>
      </c>
      <c r="M2" t="s">
        <v>29</v>
      </c>
      <c r="N2" t="s">
        <v>30</v>
      </c>
      <c r="O2">
        <v>37219</v>
      </c>
      <c r="P2" t="s">
        <v>3496</v>
      </c>
      <c r="Q2" s="2">
        <v>0.44</v>
      </c>
      <c r="R2" s="2">
        <v>251</v>
      </c>
      <c r="S2" s="2">
        <v>112</v>
      </c>
      <c r="T2" t="s">
        <v>3497</v>
      </c>
      <c r="U2" s="6">
        <v>30704</v>
      </c>
      <c r="V2" s="2">
        <v>47037015300</v>
      </c>
      <c r="W2" s="2" t="s">
        <v>68</v>
      </c>
      <c r="X2" s="1">
        <v>45658</v>
      </c>
      <c r="Y2" s="2">
        <v>1600</v>
      </c>
      <c r="Z2" s="2">
        <v>0</v>
      </c>
      <c r="AA2" s="2">
        <v>1600</v>
      </c>
    </row>
    <row r="3" spans="1:27" x14ac:dyDescent="0.3">
      <c r="A3" s="3">
        <v>15</v>
      </c>
      <c r="B3" s="2" t="str">
        <f>"10700015900"</f>
        <v>10700015900</v>
      </c>
      <c r="C3" s="2" t="s">
        <v>3498</v>
      </c>
      <c r="D3" t="s">
        <v>29</v>
      </c>
      <c r="E3" s="2" t="s">
        <v>30</v>
      </c>
      <c r="F3" s="2">
        <v>37214</v>
      </c>
      <c r="G3" s="2" t="s">
        <v>41</v>
      </c>
      <c r="H3" t="s">
        <v>32</v>
      </c>
      <c r="I3" s="6">
        <v>34633</v>
      </c>
      <c r="J3" s="2" t="s">
        <v>3499</v>
      </c>
      <c r="K3" s="2" t="s">
        <v>34</v>
      </c>
      <c r="L3" t="s">
        <v>35</v>
      </c>
      <c r="M3" t="s">
        <v>29</v>
      </c>
      <c r="N3" t="s">
        <v>30</v>
      </c>
      <c r="O3">
        <v>37219</v>
      </c>
      <c r="P3" t="s">
        <v>3500</v>
      </c>
      <c r="Q3" s="2">
        <v>1.05</v>
      </c>
      <c r="R3" s="2">
        <v>612</v>
      </c>
      <c r="S3" s="2">
        <v>77</v>
      </c>
      <c r="T3" t="s">
        <v>3501</v>
      </c>
      <c r="U3" s="6">
        <v>35818</v>
      </c>
      <c r="V3" s="2">
        <v>47037015100</v>
      </c>
      <c r="W3" s="2" t="s">
        <v>68</v>
      </c>
      <c r="X3" s="1">
        <v>45658</v>
      </c>
      <c r="Y3" s="2">
        <v>121000</v>
      </c>
      <c r="Z3" s="2">
        <v>0</v>
      </c>
      <c r="AA3" s="2">
        <v>121000</v>
      </c>
    </row>
    <row r="4" spans="1:27" x14ac:dyDescent="0.3">
      <c r="A4" s="3">
        <v>15</v>
      </c>
      <c r="B4" s="2" t="str">
        <f>"10604002500"</f>
        <v>10604002500</v>
      </c>
      <c r="C4" s="2" t="s">
        <v>3502</v>
      </c>
      <c r="D4" t="s">
        <v>29</v>
      </c>
      <c r="E4" s="2" t="s">
        <v>30</v>
      </c>
      <c r="F4" s="2">
        <v>37210</v>
      </c>
      <c r="G4" s="2" t="s">
        <v>527</v>
      </c>
      <c r="H4" t="s">
        <v>32</v>
      </c>
      <c r="I4" s="6">
        <v>42226</v>
      </c>
      <c r="J4" s="2" t="s">
        <v>3503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3504</v>
      </c>
      <c r="Q4" s="2">
        <v>1.46</v>
      </c>
      <c r="R4" s="2">
        <v>151</v>
      </c>
      <c r="S4" s="2">
        <v>249</v>
      </c>
      <c r="T4" t="s">
        <v>3503</v>
      </c>
      <c r="U4" s="6">
        <v>42226</v>
      </c>
      <c r="V4" s="2">
        <v>47037019600</v>
      </c>
      <c r="W4" s="2" t="s">
        <v>68</v>
      </c>
      <c r="X4" s="1">
        <v>45658</v>
      </c>
      <c r="Y4" s="2">
        <v>876000</v>
      </c>
      <c r="Z4" s="2">
        <v>0</v>
      </c>
      <c r="AA4" s="2">
        <v>876000</v>
      </c>
    </row>
    <row r="5" spans="1:27" x14ac:dyDescent="0.3">
      <c r="A5" s="3">
        <v>15</v>
      </c>
      <c r="B5" s="2" t="str">
        <f>"09601016200"</f>
        <v>09601016200</v>
      </c>
      <c r="C5" s="2" t="s">
        <v>3505</v>
      </c>
      <c r="D5" t="s">
        <v>29</v>
      </c>
      <c r="E5" s="2" t="s">
        <v>30</v>
      </c>
      <c r="F5" s="2">
        <v>37214</v>
      </c>
      <c r="G5" s="2" t="s">
        <v>2490</v>
      </c>
      <c r="H5" t="s">
        <v>32</v>
      </c>
      <c r="I5" s="6">
        <v>43550</v>
      </c>
      <c r="J5" s="2" t="s">
        <v>3506</v>
      </c>
      <c r="K5" s="2">
        <v>2326634</v>
      </c>
      <c r="L5" t="s">
        <v>85</v>
      </c>
      <c r="M5" t="s">
        <v>29</v>
      </c>
      <c r="N5" t="s">
        <v>30</v>
      </c>
      <c r="O5">
        <v>37219</v>
      </c>
      <c r="P5" t="s">
        <v>3507</v>
      </c>
      <c r="Q5" s="2">
        <v>1.72</v>
      </c>
      <c r="R5" s="2">
        <v>120</v>
      </c>
      <c r="S5" s="2">
        <v>52</v>
      </c>
      <c r="T5" t="s">
        <v>3508</v>
      </c>
      <c r="U5" s="6">
        <v>43543</v>
      </c>
      <c r="V5" s="2">
        <v>47037015300</v>
      </c>
      <c r="W5" s="2" t="s">
        <v>68</v>
      </c>
      <c r="X5" s="1">
        <v>45658</v>
      </c>
      <c r="Y5" s="2">
        <v>10584700</v>
      </c>
      <c r="Z5" s="2">
        <v>9460900</v>
      </c>
      <c r="AA5" s="2">
        <v>1123800</v>
      </c>
    </row>
    <row r="6" spans="1:27" x14ac:dyDescent="0.3">
      <c r="A6" s="3">
        <v>15</v>
      </c>
      <c r="B6" s="2" t="str">
        <f>"06201001700"</f>
        <v>06201001700</v>
      </c>
      <c r="C6" s="2" t="s">
        <v>3509</v>
      </c>
      <c r="D6" t="s">
        <v>29</v>
      </c>
      <c r="E6" s="2" t="s">
        <v>30</v>
      </c>
      <c r="F6" s="2">
        <v>37214</v>
      </c>
      <c r="G6" s="2" t="s">
        <v>41</v>
      </c>
      <c r="H6" t="s">
        <v>32</v>
      </c>
      <c r="I6" s="6">
        <v>41635</v>
      </c>
      <c r="J6" s="2" t="s">
        <v>3510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3511</v>
      </c>
      <c r="Q6" s="2">
        <v>4.78</v>
      </c>
      <c r="R6" s="2">
        <v>0</v>
      </c>
      <c r="S6" s="2">
        <v>0</v>
      </c>
      <c r="T6" t="s">
        <v>3512</v>
      </c>
      <c r="U6" s="6">
        <v>38694</v>
      </c>
      <c r="V6" s="2">
        <v>47037015300</v>
      </c>
      <c r="W6" s="2" t="s">
        <v>68</v>
      </c>
      <c r="X6" s="1">
        <v>45658</v>
      </c>
      <c r="Y6" s="2">
        <v>1288500</v>
      </c>
      <c r="Z6" s="2">
        <v>0</v>
      </c>
      <c r="AA6" s="2">
        <v>1288500</v>
      </c>
    </row>
    <row r="7" spans="1:27" x14ac:dyDescent="0.3">
      <c r="A7" s="3">
        <v>15</v>
      </c>
      <c r="B7" s="2" t="str">
        <f>"08500000100"</f>
        <v>08500000100</v>
      </c>
      <c r="C7" s="2" t="s">
        <v>3513</v>
      </c>
      <c r="D7" t="s">
        <v>29</v>
      </c>
      <c r="E7" s="2" t="s">
        <v>30</v>
      </c>
      <c r="F7" s="2">
        <v>37214</v>
      </c>
      <c r="G7" s="2" t="s">
        <v>31</v>
      </c>
      <c r="H7" t="s">
        <v>32</v>
      </c>
      <c r="I7" s="6">
        <v>40043</v>
      </c>
      <c r="J7" s="2" t="s">
        <v>3514</v>
      </c>
      <c r="K7" s="2">
        <v>250000</v>
      </c>
      <c r="L7" t="s">
        <v>35</v>
      </c>
      <c r="M7" t="s">
        <v>29</v>
      </c>
      <c r="N7" t="s">
        <v>30</v>
      </c>
      <c r="O7">
        <v>37219</v>
      </c>
      <c r="P7" t="s">
        <v>3515</v>
      </c>
      <c r="Q7" s="2">
        <v>39.11</v>
      </c>
      <c r="R7" s="2">
        <v>0</v>
      </c>
      <c r="S7" s="2">
        <v>0</v>
      </c>
      <c r="T7" t="s">
        <v>3516</v>
      </c>
      <c r="U7" s="6">
        <v>37526</v>
      </c>
      <c r="V7" s="2">
        <v>47037015300</v>
      </c>
      <c r="W7" s="2" t="s">
        <v>68</v>
      </c>
      <c r="X7" s="1">
        <v>45658</v>
      </c>
      <c r="Y7" s="2">
        <v>148400</v>
      </c>
      <c r="Z7" s="2">
        <v>0</v>
      </c>
      <c r="AA7" s="2">
        <v>148400</v>
      </c>
    </row>
    <row r="8" spans="1:27" x14ac:dyDescent="0.3">
      <c r="A8" s="3">
        <v>15</v>
      </c>
      <c r="B8" s="2" t="str">
        <f>"07316008200"</f>
        <v>07316008200</v>
      </c>
      <c r="C8" s="2" t="s">
        <v>2627</v>
      </c>
      <c r="D8" t="s">
        <v>29</v>
      </c>
      <c r="E8" s="2" t="s">
        <v>30</v>
      </c>
      <c r="F8" s="2">
        <v>37214</v>
      </c>
      <c r="G8" s="2" t="s">
        <v>64</v>
      </c>
      <c r="H8" t="s">
        <v>99</v>
      </c>
      <c r="I8" s="6">
        <v>40555</v>
      </c>
      <c r="J8" s="2" t="s">
        <v>3517</v>
      </c>
      <c r="K8" s="2">
        <v>1623</v>
      </c>
      <c r="L8" t="s">
        <v>35</v>
      </c>
      <c r="M8" t="s">
        <v>29</v>
      </c>
      <c r="N8" t="s">
        <v>30</v>
      </c>
      <c r="O8">
        <v>37219</v>
      </c>
      <c r="P8" t="s">
        <v>3518</v>
      </c>
      <c r="Q8" s="2">
        <v>0.09</v>
      </c>
      <c r="R8" s="2">
        <v>156</v>
      </c>
      <c r="S8" s="2">
        <v>134</v>
      </c>
      <c r="T8" t="s">
        <v>3497</v>
      </c>
      <c r="U8" s="6">
        <v>30704</v>
      </c>
      <c r="V8" s="2">
        <v>47037015300</v>
      </c>
      <c r="W8" s="2" t="s">
        <v>68</v>
      </c>
      <c r="X8" s="1">
        <v>45658</v>
      </c>
      <c r="Y8" s="2">
        <v>1600</v>
      </c>
      <c r="Z8" s="2">
        <v>0</v>
      </c>
      <c r="AA8" s="2">
        <v>1600</v>
      </c>
    </row>
    <row r="9" spans="1:27" x14ac:dyDescent="0.3">
      <c r="A9" s="3">
        <v>15</v>
      </c>
      <c r="B9" s="2" t="str">
        <f>"08412005900"</f>
        <v>08412005900</v>
      </c>
      <c r="C9" s="2" t="s">
        <v>3519</v>
      </c>
      <c r="D9" t="s">
        <v>29</v>
      </c>
      <c r="E9" s="2" t="s">
        <v>30</v>
      </c>
      <c r="F9" s="2">
        <v>37214</v>
      </c>
      <c r="G9" s="2" t="s">
        <v>64</v>
      </c>
      <c r="H9" t="s">
        <v>99</v>
      </c>
      <c r="I9" s="6">
        <v>27575</v>
      </c>
      <c r="J9" s="2" t="s">
        <v>3520</v>
      </c>
      <c r="K9" s="2" t="s">
        <v>34</v>
      </c>
      <c r="L9" t="s">
        <v>35</v>
      </c>
      <c r="M9" t="s">
        <v>29</v>
      </c>
      <c r="N9" t="s">
        <v>30</v>
      </c>
      <c r="O9">
        <v>37219</v>
      </c>
      <c r="P9" t="s">
        <v>3521</v>
      </c>
      <c r="Q9" s="2">
        <v>7.0000000000000007E-2</v>
      </c>
      <c r="R9" s="2">
        <v>30</v>
      </c>
      <c r="S9" s="2">
        <v>100</v>
      </c>
      <c r="T9" t="s">
        <v>3522</v>
      </c>
      <c r="U9" s="6">
        <v>25399</v>
      </c>
      <c r="V9" s="2">
        <v>47037015300</v>
      </c>
      <c r="W9" s="2" t="s">
        <v>68</v>
      </c>
      <c r="X9" s="1">
        <v>45658</v>
      </c>
      <c r="Y9" s="2">
        <v>3800</v>
      </c>
      <c r="Z9" s="2">
        <v>0</v>
      </c>
      <c r="AA9" s="2">
        <v>3800</v>
      </c>
    </row>
    <row r="10" spans="1:27" x14ac:dyDescent="0.3">
      <c r="A10" s="3">
        <v>15</v>
      </c>
      <c r="B10" s="2" t="str">
        <f>"08415006700"</f>
        <v>08415006700</v>
      </c>
      <c r="C10" s="2" t="s">
        <v>3523</v>
      </c>
      <c r="D10" t="s">
        <v>29</v>
      </c>
      <c r="E10" s="2" t="s">
        <v>30</v>
      </c>
      <c r="F10" s="2">
        <v>37214</v>
      </c>
      <c r="G10" s="2" t="s">
        <v>64</v>
      </c>
      <c r="H10" t="s">
        <v>99</v>
      </c>
      <c r="I10" s="6">
        <v>41198</v>
      </c>
      <c r="J10" s="2" t="s">
        <v>3524</v>
      </c>
      <c r="K10" s="2">
        <v>804</v>
      </c>
      <c r="L10" t="s">
        <v>35</v>
      </c>
      <c r="M10" t="s">
        <v>29</v>
      </c>
      <c r="N10" t="s">
        <v>30</v>
      </c>
      <c r="O10">
        <v>37219</v>
      </c>
      <c r="P10" t="s">
        <v>3525</v>
      </c>
      <c r="Q10" s="2">
        <v>0.04</v>
      </c>
      <c r="R10" s="2">
        <v>70</v>
      </c>
      <c r="S10" s="2">
        <v>25</v>
      </c>
      <c r="T10" t="s">
        <v>3526</v>
      </c>
      <c r="U10" s="6">
        <v>28037</v>
      </c>
      <c r="V10" s="2">
        <v>47037015200</v>
      </c>
      <c r="W10" s="2" t="s">
        <v>68</v>
      </c>
      <c r="X10" s="1">
        <v>45658</v>
      </c>
      <c r="Y10" s="2">
        <v>700</v>
      </c>
      <c r="Z10" s="2">
        <v>0</v>
      </c>
      <c r="AA10" s="2">
        <v>700</v>
      </c>
    </row>
    <row r="11" spans="1:27" x14ac:dyDescent="0.3">
      <c r="A11" s="3">
        <v>15</v>
      </c>
      <c r="B11" s="2" t="str">
        <f>"096070A02900CO"</f>
        <v>096070A02900CO</v>
      </c>
      <c r="C11" s="2" t="s">
        <v>3527</v>
      </c>
      <c r="D11" t="s">
        <v>29</v>
      </c>
      <c r="E11" s="2" t="s">
        <v>30</v>
      </c>
      <c r="F11" s="2">
        <v>37214</v>
      </c>
      <c r="G11" s="2" t="s">
        <v>64</v>
      </c>
      <c r="H11" t="s">
        <v>99</v>
      </c>
      <c r="I11" s="6">
        <v>43445</v>
      </c>
      <c r="J11" s="2" t="s">
        <v>3528</v>
      </c>
      <c r="K11" s="2">
        <v>1447</v>
      </c>
      <c r="L11" t="s">
        <v>893</v>
      </c>
      <c r="M11" t="s">
        <v>29</v>
      </c>
      <c r="N11" t="s">
        <v>30</v>
      </c>
      <c r="O11">
        <v>37219</v>
      </c>
      <c r="P11" t="s">
        <v>3529</v>
      </c>
      <c r="Q11" s="2">
        <v>0.52</v>
      </c>
      <c r="R11" s="2">
        <v>83</v>
      </c>
      <c r="S11" s="2">
        <v>273</v>
      </c>
      <c r="T11" t="s">
        <v>3530</v>
      </c>
      <c r="U11" s="6">
        <v>30615</v>
      </c>
      <c r="V11" s="2">
        <v>47037015502</v>
      </c>
      <c r="W11" s="2" t="s">
        <v>68</v>
      </c>
      <c r="X11" s="1">
        <v>45658</v>
      </c>
      <c r="Y11" s="2">
        <v>9900</v>
      </c>
      <c r="Z11" s="2">
        <v>0</v>
      </c>
      <c r="AA11" s="2">
        <v>9900</v>
      </c>
    </row>
    <row r="12" spans="1:27" x14ac:dyDescent="0.3">
      <c r="A12" s="3">
        <v>15</v>
      </c>
      <c r="B12" s="2" t="str">
        <f>"09514012400"</f>
        <v>09514012400</v>
      </c>
      <c r="C12" s="2" t="s">
        <v>3531</v>
      </c>
      <c r="D12" t="s">
        <v>29</v>
      </c>
      <c r="E12" s="2" t="s">
        <v>30</v>
      </c>
      <c r="F12" s="2">
        <v>37210</v>
      </c>
      <c r="G12" s="2" t="s">
        <v>41</v>
      </c>
      <c r="H12" t="s">
        <v>99</v>
      </c>
      <c r="I12" s="6">
        <v>40198</v>
      </c>
      <c r="J12" s="2" t="s">
        <v>3532</v>
      </c>
      <c r="K12" s="2">
        <v>2616</v>
      </c>
      <c r="L12" t="s">
        <v>35</v>
      </c>
      <c r="M12" t="s">
        <v>29</v>
      </c>
      <c r="N12" t="s">
        <v>30</v>
      </c>
      <c r="O12">
        <v>37219</v>
      </c>
      <c r="P12" t="s">
        <v>3533</v>
      </c>
      <c r="Q12" s="2">
        <v>0.05</v>
      </c>
      <c r="R12" s="2">
        <v>562</v>
      </c>
      <c r="S12" s="2">
        <v>4</v>
      </c>
      <c r="T12" t="s">
        <v>3534</v>
      </c>
      <c r="U12" s="6">
        <v>30706</v>
      </c>
      <c r="V12" s="2">
        <v>47037019600</v>
      </c>
      <c r="W12" s="2" t="s">
        <v>68</v>
      </c>
      <c r="X12" s="1">
        <v>45658</v>
      </c>
      <c r="Y12" s="2">
        <v>3300</v>
      </c>
      <c r="Z12" s="2">
        <v>0</v>
      </c>
      <c r="AA12" s="2">
        <v>3300</v>
      </c>
    </row>
    <row r="13" spans="1:27" x14ac:dyDescent="0.3">
      <c r="A13" s="3">
        <v>15</v>
      </c>
      <c r="B13" s="2" t="str">
        <f>"06200005900"</f>
        <v>06200005900</v>
      </c>
      <c r="C13" s="2" t="s">
        <v>3535</v>
      </c>
      <c r="D13" t="s">
        <v>29</v>
      </c>
      <c r="E13" s="2" t="s">
        <v>30</v>
      </c>
      <c r="F13" s="2">
        <v>37214</v>
      </c>
      <c r="G13" s="2" t="s">
        <v>147</v>
      </c>
      <c r="H13" t="s">
        <v>3536</v>
      </c>
      <c r="I13" s="6">
        <v>28989</v>
      </c>
      <c r="J13" s="2" t="s">
        <v>3537</v>
      </c>
      <c r="K13" s="2">
        <v>75000</v>
      </c>
      <c r="L13" t="s">
        <v>35</v>
      </c>
      <c r="M13" t="s">
        <v>29</v>
      </c>
      <c r="N13" t="s">
        <v>30</v>
      </c>
      <c r="O13">
        <v>37219</v>
      </c>
      <c r="P13" t="s">
        <v>3538</v>
      </c>
      <c r="Q13" s="2">
        <v>1.96</v>
      </c>
      <c r="R13" s="2">
        <v>0</v>
      </c>
      <c r="S13" s="2">
        <v>0</v>
      </c>
      <c r="T13" t="s">
        <v>3539</v>
      </c>
      <c r="U13" s="6">
        <v>24532</v>
      </c>
      <c r="V13" s="2">
        <v>47037015300</v>
      </c>
      <c r="W13" s="2" t="s">
        <v>68</v>
      </c>
      <c r="X13" s="1">
        <v>45658</v>
      </c>
      <c r="Y13" s="2">
        <v>213000</v>
      </c>
      <c r="Z13" s="2">
        <v>0</v>
      </c>
      <c r="AA13" s="2">
        <v>213000</v>
      </c>
    </row>
    <row r="14" spans="1:27" x14ac:dyDescent="0.3">
      <c r="A14" s="3">
        <v>15</v>
      </c>
      <c r="B14" s="2" t="str">
        <f>"09503001600"</f>
        <v>09503001600</v>
      </c>
      <c r="C14" s="2" t="s">
        <v>3540</v>
      </c>
      <c r="D14" t="s">
        <v>29</v>
      </c>
      <c r="E14" s="2" t="s">
        <v>30</v>
      </c>
      <c r="F14" s="2">
        <v>37214</v>
      </c>
      <c r="G14" s="2" t="s">
        <v>147</v>
      </c>
      <c r="H14" t="s">
        <v>1131</v>
      </c>
      <c r="I14" s="6">
        <v>28430</v>
      </c>
      <c r="J14" s="2" t="s">
        <v>3541</v>
      </c>
      <c r="K14" s="2" t="s">
        <v>34</v>
      </c>
      <c r="L14" t="s">
        <v>35</v>
      </c>
      <c r="M14" t="s">
        <v>29</v>
      </c>
      <c r="N14" t="s">
        <v>30</v>
      </c>
      <c r="O14">
        <v>37219</v>
      </c>
      <c r="P14" t="s">
        <v>3542</v>
      </c>
      <c r="Q14" s="2">
        <v>1.31</v>
      </c>
      <c r="R14" s="2">
        <v>141</v>
      </c>
      <c r="S14" s="2">
        <v>200</v>
      </c>
      <c r="T14" t="s">
        <v>3543</v>
      </c>
      <c r="U14" s="6">
        <v>28430</v>
      </c>
      <c r="V14" s="2">
        <v>47037015200</v>
      </c>
      <c r="W14" s="2" t="s">
        <v>68</v>
      </c>
      <c r="X14" s="1">
        <v>45658</v>
      </c>
      <c r="Y14" s="2">
        <v>1711900</v>
      </c>
      <c r="Z14" s="2">
        <v>0</v>
      </c>
      <c r="AA14" s="2">
        <v>1711900</v>
      </c>
    </row>
    <row r="15" spans="1:27" x14ac:dyDescent="0.3">
      <c r="A15" s="3">
        <v>15</v>
      </c>
      <c r="B15" s="2" t="str">
        <f>"09503004500"</f>
        <v>09503004500</v>
      </c>
      <c r="C15" s="2" t="s">
        <v>3544</v>
      </c>
      <c r="D15" t="s">
        <v>29</v>
      </c>
      <c r="E15" s="2" t="s">
        <v>30</v>
      </c>
      <c r="F15" s="2">
        <v>37214</v>
      </c>
      <c r="G15" s="2" t="s">
        <v>901</v>
      </c>
      <c r="H15" t="s">
        <v>3545</v>
      </c>
      <c r="I15" s="6">
        <v>23351</v>
      </c>
      <c r="J15" s="2" t="s">
        <v>3546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3547</v>
      </c>
      <c r="Q15" s="2">
        <v>1.01</v>
      </c>
      <c r="R15" s="2">
        <v>123</v>
      </c>
      <c r="S15" s="2">
        <v>360</v>
      </c>
      <c r="T15" t="s">
        <v>3546</v>
      </c>
      <c r="U15" s="6">
        <v>23351</v>
      </c>
      <c r="V15" s="2">
        <v>47037015100</v>
      </c>
      <c r="W15" s="2" t="s">
        <v>68</v>
      </c>
      <c r="X15" s="1">
        <v>45658</v>
      </c>
      <c r="Y15" s="2">
        <v>130300</v>
      </c>
      <c r="Z15" s="2">
        <v>0</v>
      </c>
      <c r="AA15" s="2">
        <v>130300</v>
      </c>
    </row>
    <row r="16" spans="1:27" x14ac:dyDescent="0.3">
      <c r="A16" s="3">
        <v>15</v>
      </c>
      <c r="B16" s="2" t="str">
        <f>"09312001100"</f>
        <v>09312001100</v>
      </c>
      <c r="C16" s="2" t="s">
        <v>3492</v>
      </c>
      <c r="D16" t="s">
        <v>29</v>
      </c>
      <c r="E16" s="2" t="s">
        <v>30</v>
      </c>
      <c r="F16" s="2">
        <v>37210</v>
      </c>
      <c r="G16" s="2" t="s">
        <v>398</v>
      </c>
      <c r="H16" t="s">
        <v>3548</v>
      </c>
      <c r="I16" s="6">
        <v>40529</v>
      </c>
      <c r="J16" s="2" t="s">
        <v>3549</v>
      </c>
      <c r="K16" s="2">
        <v>102000</v>
      </c>
      <c r="L16" t="s">
        <v>35</v>
      </c>
      <c r="M16" t="s">
        <v>29</v>
      </c>
      <c r="N16" t="s">
        <v>30</v>
      </c>
      <c r="O16">
        <v>37219</v>
      </c>
      <c r="P16" t="s">
        <v>3550</v>
      </c>
      <c r="Q16" s="2">
        <v>15.48</v>
      </c>
      <c r="R16" s="2">
        <v>1066</v>
      </c>
      <c r="S16" s="2">
        <v>0</v>
      </c>
      <c r="T16" t="s">
        <v>3551</v>
      </c>
      <c r="U16" s="6">
        <v>40386</v>
      </c>
      <c r="V16" s="2">
        <v>47037019600</v>
      </c>
      <c r="W16" s="2" t="s">
        <v>68</v>
      </c>
      <c r="X16" s="1">
        <v>45658</v>
      </c>
      <c r="Y16" s="2">
        <v>12157400</v>
      </c>
      <c r="Z16" s="2">
        <v>1708400</v>
      </c>
      <c r="AA16" s="2">
        <v>10449000</v>
      </c>
    </row>
    <row r="17" spans="1:27" x14ac:dyDescent="0.3">
      <c r="A17" s="3">
        <v>15</v>
      </c>
      <c r="B17" s="2" t="str">
        <f>"09312000900"</f>
        <v>09312000900</v>
      </c>
      <c r="C17" s="2" t="s">
        <v>3552</v>
      </c>
      <c r="D17" t="s">
        <v>29</v>
      </c>
      <c r="E17" s="2" t="s">
        <v>30</v>
      </c>
      <c r="F17" s="2">
        <v>37210</v>
      </c>
      <c r="G17" s="2" t="s">
        <v>152</v>
      </c>
      <c r="H17" t="s">
        <v>3548</v>
      </c>
      <c r="I17" s="6">
        <v>33450</v>
      </c>
      <c r="J17" s="2" t="s">
        <v>3553</v>
      </c>
      <c r="K17" s="2">
        <v>4475000</v>
      </c>
      <c r="L17" t="s">
        <v>35</v>
      </c>
      <c r="M17" t="s">
        <v>29</v>
      </c>
      <c r="N17" t="s">
        <v>30</v>
      </c>
      <c r="O17">
        <v>37219</v>
      </c>
      <c r="P17" t="s">
        <v>3554</v>
      </c>
      <c r="Q17" s="2">
        <v>0.85</v>
      </c>
      <c r="R17" s="2">
        <v>323</v>
      </c>
      <c r="S17" s="2">
        <v>205</v>
      </c>
      <c r="T17" t="s">
        <v>62</v>
      </c>
      <c r="U17" s="6">
        <v>33450</v>
      </c>
      <c r="V17" s="2">
        <v>47037019600</v>
      </c>
      <c r="W17" s="2" t="s">
        <v>68</v>
      </c>
      <c r="X17" s="1">
        <v>45658</v>
      </c>
      <c r="Y17" s="2">
        <v>765000</v>
      </c>
      <c r="Z17" s="2">
        <v>0</v>
      </c>
      <c r="AA17" s="2">
        <v>765000</v>
      </c>
    </row>
    <row r="18" spans="1:27" x14ac:dyDescent="0.3">
      <c r="A18" s="3">
        <v>15</v>
      </c>
      <c r="B18" s="2" t="str">
        <f>"06213012700"</f>
        <v>06213012700</v>
      </c>
      <c r="C18" s="2" t="s">
        <v>3555</v>
      </c>
      <c r="D18" t="s">
        <v>29</v>
      </c>
      <c r="E18" s="2" t="s">
        <v>30</v>
      </c>
      <c r="F18" s="2">
        <v>37214</v>
      </c>
      <c r="G18" s="2" t="s">
        <v>41</v>
      </c>
      <c r="H18" t="s">
        <v>518</v>
      </c>
      <c r="I18" s="6">
        <v>42902</v>
      </c>
      <c r="J18" s="2" t="s">
        <v>3556</v>
      </c>
      <c r="K18" s="2">
        <v>0</v>
      </c>
      <c r="L18" t="s">
        <v>881</v>
      </c>
      <c r="M18" t="s">
        <v>29</v>
      </c>
      <c r="N18" t="s">
        <v>30</v>
      </c>
      <c r="O18">
        <v>37219</v>
      </c>
      <c r="P18" t="s">
        <v>3557</v>
      </c>
      <c r="Q18" s="2">
        <v>0.38</v>
      </c>
      <c r="R18" s="2">
        <v>100</v>
      </c>
      <c r="S18" s="2">
        <v>201</v>
      </c>
      <c r="T18" t="s">
        <v>3558</v>
      </c>
      <c r="U18" s="6">
        <v>31049</v>
      </c>
      <c r="V18" s="2">
        <v>47037015300</v>
      </c>
      <c r="W18" s="2" t="s">
        <v>68</v>
      </c>
      <c r="X18" s="1">
        <v>45658</v>
      </c>
      <c r="Y18" s="2">
        <v>229600</v>
      </c>
      <c r="Z18" s="2">
        <v>0</v>
      </c>
      <c r="AA18" s="2">
        <v>229600</v>
      </c>
    </row>
    <row r="19" spans="1:27" x14ac:dyDescent="0.3">
      <c r="A19" s="3">
        <v>15</v>
      </c>
      <c r="B19" s="2" t="str">
        <f>"06213012800"</f>
        <v>06213012800</v>
      </c>
      <c r="C19" s="2" t="s">
        <v>3559</v>
      </c>
      <c r="D19" t="s">
        <v>29</v>
      </c>
      <c r="E19" s="2" t="s">
        <v>30</v>
      </c>
      <c r="F19" s="2">
        <v>37214</v>
      </c>
      <c r="G19" s="2" t="s">
        <v>2490</v>
      </c>
      <c r="H19" t="s">
        <v>518</v>
      </c>
      <c r="I19" s="6">
        <v>42902</v>
      </c>
      <c r="J19" s="2" t="s">
        <v>3560</v>
      </c>
      <c r="K19" s="2">
        <v>0</v>
      </c>
      <c r="L19" t="s">
        <v>881</v>
      </c>
      <c r="M19" t="s">
        <v>29</v>
      </c>
      <c r="N19" t="s">
        <v>30</v>
      </c>
      <c r="O19">
        <v>37219</v>
      </c>
      <c r="P19" t="s">
        <v>3561</v>
      </c>
      <c r="Q19" s="2">
        <v>1.1399999999999999</v>
      </c>
      <c r="R19" s="2">
        <v>0</v>
      </c>
      <c r="S19" s="2">
        <v>272</v>
      </c>
      <c r="T19" t="s">
        <v>3558</v>
      </c>
      <c r="U19" s="6">
        <v>31049</v>
      </c>
      <c r="V19" s="2">
        <v>47037015300</v>
      </c>
      <c r="W19" s="2" t="s">
        <v>68</v>
      </c>
      <c r="X19" s="1">
        <v>45658</v>
      </c>
      <c r="Y19" s="2">
        <v>829000</v>
      </c>
      <c r="Z19" s="2">
        <v>59300</v>
      </c>
      <c r="AA19" s="2">
        <v>769700</v>
      </c>
    </row>
    <row r="20" spans="1:27" x14ac:dyDescent="0.3">
      <c r="A20" s="3">
        <v>15</v>
      </c>
      <c r="B20" s="2" t="str">
        <f>"09508022500"</f>
        <v>09508022500</v>
      </c>
      <c r="C20" s="2" t="s">
        <v>3562</v>
      </c>
      <c r="D20" t="s">
        <v>29</v>
      </c>
      <c r="E20" s="2" t="s">
        <v>30</v>
      </c>
      <c r="F20" s="2">
        <v>37214</v>
      </c>
      <c r="G20" s="2" t="s">
        <v>64</v>
      </c>
      <c r="H20" t="s">
        <v>171</v>
      </c>
      <c r="I20" s="6">
        <v>26543</v>
      </c>
      <c r="J20" s="2" t="s">
        <v>3563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3564</v>
      </c>
      <c r="Q20" s="2">
        <v>0.01</v>
      </c>
      <c r="R20" s="2">
        <v>0</v>
      </c>
      <c r="S20" s="2">
        <v>2</v>
      </c>
      <c r="T20" t="s">
        <v>278</v>
      </c>
      <c r="U20" s="6">
        <v>35061</v>
      </c>
      <c r="V20" s="2">
        <v>47037015100</v>
      </c>
      <c r="W20" s="2" t="s">
        <v>68</v>
      </c>
      <c r="X20" s="1">
        <v>45658</v>
      </c>
      <c r="Y20" s="2">
        <v>800</v>
      </c>
      <c r="Z20" s="2">
        <v>0</v>
      </c>
      <c r="AA20" s="2">
        <v>800</v>
      </c>
    </row>
    <row r="21" spans="1:27" x14ac:dyDescent="0.3">
      <c r="A21" s="3">
        <v>15</v>
      </c>
      <c r="B21" s="2" t="str">
        <f>"09508010900"</f>
        <v>09508010900</v>
      </c>
      <c r="C21" s="2" t="s">
        <v>3565</v>
      </c>
      <c r="D21" t="s">
        <v>29</v>
      </c>
      <c r="E21" s="2" t="s">
        <v>30</v>
      </c>
      <c r="F21" s="2">
        <v>37214</v>
      </c>
      <c r="G21" s="2" t="s">
        <v>64</v>
      </c>
      <c r="H21" t="s">
        <v>171</v>
      </c>
      <c r="I21" s="6">
        <v>26513</v>
      </c>
      <c r="J21" s="2" t="s">
        <v>3566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3567</v>
      </c>
      <c r="Q21" s="2">
        <v>0.06</v>
      </c>
      <c r="R21" s="2">
        <v>2</v>
      </c>
      <c r="S21" s="2">
        <v>915</v>
      </c>
      <c r="T21" t="s">
        <v>3566</v>
      </c>
      <c r="U21" s="6">
        <v>26513</v>
      </c>
      <c r="V21" s="2">
        <v>47037015100</v>
      </c>
      <c r="W21" s="2" t="s">
        <v>68</v>
      </c>
      <c r="X21" s="1">
        <v>45658</v>
      </c>
      <c r="Y21" s="2">
        <v>800</v>
      </c>
      <c r="Z21" s="2">
        <v>0</v>
      </c>
      <c r="AA21" s="2">
        <v>800</v>
      </c>
    </row>
    <row r="22" spans="1:27" x14ac:dyDescent="0.3">
      <c r="A22" s="3">
        <v>15</v>
      </c>
      <c r="B22" s="2" t="str">
        <f>"09400002500"</f>
        <v>09400002500</v>
      </c>
      <c r="C22" s="2" t="s">
        <v>3568</v>
      </c>
      <c r="D22" t="s">
        <v>29</v>
      </c>
      <c r="E22" s="2" t="s">
        <v>30</v>
      </c>
      <c r="F22" s="2">
        <v>37210</v>
      </c>
      <c r="G22" s="2" t="s">
        <v>3569</v>
      </c>
      <c r="H22" t="s">
        <v>3570</v>
      </c>
      <c r="I22" s="6">
        <v>35293</v>
      </c>
      <c r="J22" s="2" t="s">
        <v>3571</v>
      </c>
      <c r="K22" s="2">
        <v>3500</v>
      </c>
      <c r="L22" t="s">
        <v>35</v>
      </c>
      <c r="M22" t="s">
        <v>29</v>
      </c>
      <c r="N22" t="s">
        <v>30</v>
      </c>
      <c r="O22">
        <v>37219</v>
      </c>
      <c r="P22" t="s">
        <v>3572</v>
      </c>
      <c r="Q22" s="2">
        <v>22</v>
      </c>
      <c r="R22" s="2">
        <v>0</v>
      </c>
      <c r="S22" s="2">
        <v>0</v>
      </c>
      <c r="T22" t="s">
        <v>3571</v>
      </c>
      <c r="U22" s="6">
        <v>35293</v>
      </c>
      <c r="V22" s="2">
        <v>47037019600</v>
      </c>
      <c r="W22" s="2" t="s">
        <v>68</v>
      </c>
      <c r="X22" s="1">
        <v>45658</v>
      </c>
      <c r="Y22" s="2">
        <v>12704500</v>
      </c>
      <c r="Z22" s="2">
        <v>604500</v>
      </c>
      <c r="AA22" s="2">
        <v>12100000</v>
      </c>
    </row>
    <row r="23" spans="1:27" x14ac:dyDescent="0.3">
      <c r="A23" s="3">
        <v>15</v>
      </c>
      <c r="B23" s="2" t="str">
        <f>"09605002301"</f>
        <v>09605002301</v>
      </c>
      <c r="C23" s="2" t="s">
        <v>3573</v>
      </c>
      <c r="D23" t="s">
        <v>29</v>
      </c>
      <c r="E23" s="2" t="s">
        <v>30</v>
      </c>
      <c r="F23" s="2">
        <v>37214</v>
      </c>
      <c r="G23" s="2" t="s">
        <v>64</v>
      </c>
      <c r="H23" t="s">
        <v>911</v>
      </c>
      <c r="I23" s="6">
        <v>26543</v>
      </c>
      <c r="J23" s="2" t="s">
        <v>3574</v>
      </c>
      <c r="K23" s="2" t="s">
        <v>34</v>
      </c>
      <c r="L23" t="s">
        <v>35</v>
      </c>
      <c r="M23" t="s">
        <v>29</v>
      </c>
      <c r="N23" t="s">
        <v>30</v>
      </c>
      <c r="O23">
        <v>37219</v>
      </c>
      <c r="P23" t="s">
        <v>3575</v>
      </c>
      <c r="Q23" s="2">
        <v>0.09</v>
      </c>
      <c r="R23" s="2">
        <v>0</v>
      </c>
      <c r="S23" s="2">
        <v>0</v>
      </c>
      <c r="T23" t="s">
        <v>3576</v>
      </c>
      <c r="U23" s="6">
        <v>31114</v>
      </c>
      <c r="V23" s="2">
        <v>47037015100</v>
      </c>
      <c r="W23" s="2" t="s">
        <v>68</v>
      </c>
      <c r="X23" s="1">
        <v>45658</v>
      </c>
      <c r="Y23" s="2">
        <v>800</v>
      </c>
      <c r="Z23" s="2">
        <v>0</v>
      </c>
      <c r="AA23" s="2">
        <v>800</v>
      </c>
    </row>
    <row r="24" spans="1:27" x14ac:dyDescent="0.3">
      <c r="A24" s="3">
        <v>15</v>
      </c>
      <c r="B24" s="2" t="str">
        <f>"07311001800"</f>
        <v>07311001800</v>
      </c>
      <c r="C24" s="2" t="s">
        <v>3577</v>
      </c>
      <c r="D24" t="s">
        <v>29</v>
      </c>
      <c r="E24" s="2" t="s">
        <v>30</v>
      </c>
      <c r="F24" s="2">
        <v>37214</v>
      </c>
      <c r="G24" s="2" t="s">
        <v>152</v>
      </c>
      <c r="H24" t="s">
        <v>176</v>
      </c>
      <c r="I24" s="6">
        <v>20731</v>
      </c>
      <c r="J24" s="2" t="s">
        <v>3578</v>
      </c>
      <c r="K24" s="2" t="s">
        <v>34</v>
      </c>
      <c r="L24" t="s">
        <v>178</v>
      </c>
      <c r="M24" t="s">
        <v>29</v>
      </c>
      <c r="N24" t="s">
        <v>30</v>
      </c>
      <c r="O24">
        <v>37246</v>
      </c>
      <c r="P24" t="s">
        <v>3579</v>
      </c>
      <c r="Q24" s="2">
        <v>0.34</v>
      </c>
      <c r="R24" s="2">
        <v>80</v>
      </c>
      <c r="S24" s="2">
        <v>227</v>
      </c>
      <c r="T24" t="s">
        <v>3578</v>
      </c>
      <c r="U24" s="6">
        <v>20731</v>
      </c>
      <c r="V24" s="2">
        <v>47037015300</v>
      </c>
      <c r="W24" s="2" t="s">
        <v>68</v>
      </c>
      <c r="X24" s="1">
        <v>45658</v>
      </c>
      <c r="Y24" s="2">
        <v>107100</v>
      </c>
      <c r="Z24" s="2">
        <v>0</v>
      </c>
      <c r="AA24" s="2">
        <v>107100</v>
      </c>
    </row>
    <row r="25" spans="1:27" x14ac:dyDescent="0.3">
      <c r="A25" s="3">
        <v>15</v>
      </c>
      <c r="B25" s="2" t="str">
        <f>"07300002800"</f>
        <v>07300002800</v>
      </c>
      <c r="C25" s="2" t="s">
        <v>3580</v>
      </c>
      <c r="D25" t="s">
        <v>29</v>
      </c>
      <c r="E25" s="2" t="s">
        <v>30</v>
      </c>
      <c r="F25" s="2">
        <v>37214</v>
      </c>
      <c r="G25" s="2" t="s">
        <v>152</v>
      </c>
      <c r="H25" t="s">
        <v>176</v>
      </c>
      <c r="I25" s="6">
        <v>26123</v>
      </c>
      <c r="J25" s="2" t="s">
        <v>3581</v>
      </c>
      <c r="K25" s="2" t="s">
        <v>34</v>
      </c>
      <c r="L25" t="s">
        <v>178</v>
      </c>
      <c r="M25" t="s">
        <v>29</v>
      </c>
      <c r="N25" t="s">
        <v>30</v>
      </c>
      <c r="O25">
        <v>37246</v>
      </c>
      <c r="P25" t="s">
        <v>3582</v>
      </c>
      <c r="Q25" s="2">
        <v>0.54</v>
      </c>
      <c r="R25" s="2">
        <v>130</v>
      </c>
      <c r="S25" s="2">
        <v>186</v>
      </c>
      <c r="T25" t="s">
        <v>3581</v>
      </c>
      <c r="U25" s="6">
        <v>26123</v>
      </c>
      <c r="V25" s="2">
        <v>47037015300</v>
      </c>
      <c r="W25" s="2" t="s">
        <v>68</v>
      </c>
      <c r="X25" s="1">
        <v>45658</v>
      </c>
      <c r="Y25" s="2">
        <v>121500</v>
      </c>
      <c r="Z25" s="2">
        <v>0</v>
      </c>
      <c r="AA25" s="2">
        <v>121500</v>
      </c>
    </row>
    <row r="26" spans="1:27" x14ac:dyDescent="0.3">
      <c r="A26" s="3">
        <v>15</v>
      </c>
      <c r="B26" s="2" t="str">
        <f>"09611019800"</f>
        <v>09611019800</v>
      </c>
      <c r="C26" s="2" t="s">
        <v>3583</v>
      </c>
      <c r="D26" t="s">
        <v>29</v>
      </c>
      <c r="E26" s="2" t="s">
        <v>30</v>
      </c>
      <c r="F26" s="2">
        <v>37214</v>
      </c>
      <c r="G26" s="2" t="s">
        <v>152</v>
      </c>
      <c r="H26" t="s">
        <v>176</v>
      </c>
      <c r="I26" s="6">
        <v>22731</v>
      </c>
      <c r="J26" s="2" t="s">
        <v>3584</v>
      </c>
      <c r="K26" s="2" t="s">
        <v>34</v>
      </c>
      <c r="L26" t="s">
        <v>178</v>
      </c>
      <c r="M26" t="s">
        <v>29</v>
      </c>
      <c r="N26" t="s">
        <v>30</v>
      </c>
      <c r="O26">
        <v>37246</v>
      </c>
      <c r="P26" t="s">
        <v>3585</v>
      </c>
      <c r="Q26" s="2">
        <v>0.25</v>
      </c>
      <c r="R26" s="2">
        <v>106</v>
      </c>
      <c r="S26" s="2">
        <v>143</v>
      </c>
      <c r="T26" t="s">
        <v>3584</v>
      </c>
      <c r="U26" s="6">
        <v>22731</v>
      </c>
      <c r="V26" s="2">
        <v>47037015502</v>
      </c>
      <c r="W26" s="2" t="s">
        <v>68</v>
      </c>
      <c r="X26" s="1">
        <v>45658</v>
      </c>
      <c r="Y26" s="2">
        <v>82000</v>
      </c>
      <c r="Z26" s="2">
        <v>0</v>
      </c>
      <c r="AA26" s="2">
        <v>82000</v>
      </c>
    </row>
    <row r="27" spans="1:27" x14ac:dyDescent="0.3">
      <c r="A27" s="3">
        <v>15</v>
      </c>
      <c r="B27" s="2" t="str">
        <f>"09409006900"</f>
        <v>09409006900</v>
      </c>
      <c r="C27" s="2" t="s">
        <v>3586</v>
      </c>
      <c r="D27" t="s">
        <v>29</v>
      </c>
      <c r="E27" s="2" t="s">
        <v>30</v>
      </c>
      <c r="F27" s="2">
        <v>37210</v>
      </c>
      <c r="G27" s="2" t="s">
        <v>152</v>
      </c>
      <c r="H27" t="s">
        <v>176</v>
      </c>
      <c r="I27" s="6">
        <v>17632</v>
      </c>
      <c r="J27" s="2" t="s">
        <v>3587</v>
      </c>
      <c r="K27" s="2" t="s">
        <v>34</v>
      </c>
      <c r="L27" t="s">
        <v>178</v>
      </c>
      <c r="M27" t="s">
        <v>29</v>
      </c>
      <c r="N27" t="s">
        <v>30</v>
      </c>
      <c r="O27">
        <v>37246</v>
      </c>
      <c r="P27" t="s">
        <v>3588</v>
      </c>
      <c r="Q27" s="2">
        <v>3.62</v>
      </c>
      <c r="R27" s="2">
        <v>650</v>
      </c>
      <c r="S27" s="2">
        <v>250</v>
      </c>
      <c r="T27" t="s">
        <v>3587</v>
      </c>
      <c r="U27" s="6">
        <v>17632</v>
      </c>
      <c r="V27" s="2">
        <v>47037019600</v>
      </c>
      <c r="W27" s="2" t="s">
        <v>68</v>
      </c>
      <c r="X27" s="1">
        <v>45658</v>
      </c>
      <c r="Y27" s="2">
        <v>3982000</v>
      </c>
      <c r="Z27" s="2">
        <v>0</v>
      </c>
      <c r="AA27" s="2">
        <v>3982000</v>
      </c>
    </row>
    <row r="28" spans="1:27" x14ac:dyDescent="0.3">
      <c r="A28" s="3">
        <v>15</v>
      </c>
      <c r="B28" s="2" t="str">
        <f>"09413005401"</f>
        <v>09413005401</v>
      </c>
      <c r="C28" s="2" t="s">
        <v>3589</v>
      </c>
      <c r="D28" t="s">
        <v>29</v>
      </c>
      <c r="E28" s="2" t="s">
        <v>30</v>
      </c>
      <c r="F28" s="2">
        <v>37210</v>
      </c>
      <c r="G28" s="2" t="s">
        <v>152</v>
      </c>
      <c r="H28" t="s">
        <v>176</v>
      </c>
      <c r="I28" s="6">
        <v>17836</v>
      </c>
      <c r="J28" s="2" t="s">
        <v>3590</v>
      </c>
      <c r="K28" s="2" t="s">
        <v>34</v>
      </c>
      <c r="L28" t="s">
        <v>178</v>
      </c>
      <c r="M28" t="s">
        <v>29</v>
      </c>
      <c r="N28" t="s">
        <v>30</v>
      </c>
      <c r="O28">
        <v>37246</v>
      </c>
      <c r="P28" t="s">
        <v>3591</v>
      </c>
      <c r="Q28" s="2">
        <v>0.37</v>
      </c>
      <c r="R28" s="2">
        <v>106</v>
      </c>
      <c r="S28" s="2">
        <v>150</v>
      </c>
      <c r="T28" t="s">
        <v>3590</v>
      </c>
      <c r="U28" s="6">
        <v>17836</v>
      </c>
      <c r="V28" s="2">
        <v>47037019600</v>
      </c>
      <c r="W28" s="2" t="s">
        <v>68</v>
      </c>
      <c r="X28" s="1">
        <v>45658</v>
      </c>
      <c r="Y28" s="2">
        <v>644700</v>
      </c>
      <c r="Z28" s="2">
        <v>0</v>
      </c>
      <c r="AA28" s="2">
        <v>644700</v>
      </c>
    </row>
    <row r="29" spans="1:27" x14ac:dyDescent="0.3">
      <c r="A29" s="3">
        <v>15</v>
      </c>
      <c r="B29" s="2" t="str">
        <f>"09515003400"</f>
        <v>09515003400</v>
      </c>
      <c r="C29" s="2" t="s">
        <v>3592</v>
      </c>
      <c r="D29" t="s">
        <v>29</v>
      </c>
      <c r="E29" s="2" t="s">
        <v>30</v>
      </c>
      <c r="F29" s="2">
        <v>37214</v>
      </c>
      <c r="G29" s="2" t="s">
        <v>152</v>
      </c>
      <c r="H29" t="s">
        <v>176</v>
      </c>
      <c r="I29" s="6">
        <v>19586</v>
      </c>
      <c r="J29" s="2" t="s">
        <v>3593</v>
      </c>
      <c r="K29" s="2" t="s">
        <v>34</v>
      </c>
      <c r="L29" t="s">
        <v>178</v>
      </c>
      <c r="M29" t="s">
        <v>29</v>
      </c>
      <c r="N29" t="s">
        <v>30</v>
      </c>
      <c r="O29">
        <v>37246</v>
      </c>
      <c r="P29" t="s">
        <v>3594</v>
      </c>
      <c r="Q29" s="2">
        <v>0.08</v>
      </c>
      <c r="R29" s="2">
        <v>65</v>
      </c>
      <c r="S29" s="2">
        <v>65</v>
      </c>
      <c r="T29" t="s">
        <v>3593</v>
      </c>
      <c r="U29" s="6">
        <v>19586</v>
      </c>
      <c r="V29" s="2">
        <v>47037015100</v>
      </c>
      <c r="W29" s="2" t="s">
        <v>68</v>
      </c>
      <c r="X29" s="1">
        <v>45658</v>
      </c>
      <c r="Y29" s="2">
        <v>104600</v>
      </c>
      <c r="Z29" s="2">
        <v>0</v>
      </c>
      <c r="AA29" s="2">
        <v>104600</v>
      </c>
    </row>
    <row r="30" spans="1:27" x14ac:dyDescent="0.3">
      <c r="A30" s="3">
        <v>15</v>
      </c>
      <c r="B30" s="2" t="str">
        <f>"09613009900"</f>
        <v>09613009900</v>
      </c>
      <c r="C30" s="2" t="s">
        <v>3595</v>
      </c>
      <c r="D30" t="s">
        <v>29</v>
      </c>
      <c r="E30" s="2" t="s">
        <v>30</v>
      </c>
      <c r="F30" s="2">
        <v>37214</v>
      </c>
      <c r="G30" s="2" t="s">
        <v>152</v>
      </c>
      <c r="H30" t="s">
        <v>176</v>
      </c>
      <c r="I30" s="6">
        <v>20159</v>
      </c>
      <c r="J30" s="2" t="s">
        <v>3596</v>
      </c>
      <c r="K30" s="2" t="s">
        <v>34</v>
      </c>
      <c r="L30" t="s">
        <v>178</v>
      </c>
      <c r="M30" t="s">
        <v>29</v>
      </c>
      <c r="N30" t="s">
        <v>30</v>
      </c>
      <c r="O30">
        <v>37246</v>
      </c>
      <c r="P30" t="s">
        <v>3597</v>
      </c>
      <c r="Q30" s="2">
        <v>0.26</v>
      </c>
      <c r="R30" s="2">
        <v>80</v>
      </c>
      <c r="S30" s="2">
        <v>151</v>
      </c>
      <c r="T30" t="s">
        <v>3596</v>
      </c>
      <c r="U30" s="6">
        <v>20159</v>
      </c>
      <c r="V30" s="2">
        <v>47037015502</v>
      </c>
      <c r="W30" s="2" t="s">
        <v>68</v>
      </c>
      <c r="X30" s="1">
        <v>45658</v>
      </c>
      <c r="Y30" s="2">
        <v>3300</v>
      </c>
      <c r="Z30" s="2">
        <v>0</v>
      </c>
      <c r="AA30" s="2">
        <v>3300</v>
      </c>
    </row>
    <row r="31" spans="1:27" x14ac:dyDescent="0.3">
      <c r="A31" s="3">
        <v>15</v>
      </c>
      <c r="B31" s="2" t="str">
        <f>"09513000100"</f>
        <v>09513000100</v>
      </c>
      <c r="C31" s="2" t="s">
        <v>3598</v>
      </c>
      <c r="D31" t="s">
        <v>29</v>
      </c>
      <c r="E31" s="2" t="s">
        <v>30</v>
      </c>
      <c r="F31" s="2">
        <v>37210</v>
      </c>
      <c r="G31" s="2" t="s">
        <v>152</v>
      </c>
      <c r="H31" t="s">
        <v>176</v>
      </c>
      <c r="I31" s="6">
        <v>24768</v>
      </c>
      <c r="J31" s="2" t="s">
        <v>3599</v>
      </c>
      <c r="K31" s="2" t="s">
        <v>34</v>
      </c>
      <c r="L31" t="s">
        <v>178</v>
      </c>
      <c r="M31" t="s">
        <v>29</v>
      </c>
      <c r="N31" t="s">
        <v>30</v>
      </c>
      <c r="O31">
        <v>37246</v>
      </c>
      <c r="P31" t="s">
        <v>3600</v>
      </c>
      <c r="Q31" s="2">
        <v>2.2000000000000002</v>
      </c>
      <c r="R31" s="2">
        <v>250</v>
      </c>
      <c r="S31" s="2">
        <v>338</v>
      </c>
      <c r="T31" t="s">
        <v>3599</v>
      </c>
      <c r="U31" s="6">
        <v>24768</v>
      </c>
      <c r="V31" s="2">
        <v>47037019600</v>
      </c>
      <c r="W31" s="2" t="s">
        <v>68</v>
      </c>
      <c r="X31" s="1">
        <v>45658</v>
      </c>
      <c r="Y31" s="2">
        <v>2640000</v>
      </c>
      <c r="Z31" s="2">
        <v>0</v>
      </c>
      <c r="AA31" s="2">
        <v>2640000</v>
      </c>
    </row>
    <row r="32" spans="1:27" x14ac:dyDescent="0.3">
      <c r="A32" s="3">
        <v>15</v>
      </c>
      <c r="B32" s="2" t="str">
        <f>"08414002700"</f>
        <v>08414002700</v>
      </c>
      <c r="C32" s="2" t="s">
        <v>3601</v>
      </c>
      <c r="D32" t="s">
        <v>29</v>
      </c>
      <c r="E32" s="2" t="s">
        <v>30</v>
      </c>
      <c r="F32" s="2">
        <v>37214</v>
      </c>
      <c r="G32" s="2" t="s">
        <v>152</v>
      </c>
      <c r="H32" t="s">
        <v>176</v>
      </c>
      <c r="I32" s="6">
        <v>19838</v>
      </c>
      <c r="J32" s="2" t="s">
        <v>3602</v>
      </c>
      <c r="K32" s="2" t="s">
        <v>34</v>
      </c>
      <c r="L32" t="s">
        <v>178</v>
      </c>
      <c r="M32" t="s">
        <v>29</v>
      </c>
      <c r="N32" t="s">
        <v>30</v>
      </c>
      <c r="O32">
        <v>37246</v>
      </c>
      <c r="P32" t="s">
        <v>3603</v>
      </c>
      <c r="Q32" s="2">
        <v>1.05</v>
      </c>
      <c r="R32" s="2">
        <v>284</v>
      </c>
      <c r="S32" s="2">
        <v>213</v>
      </c>
      <c r="T32" t="s">
        <v>3602</v>
      </c>
      <c r="U32" s="6">
        <v>19838</v>
      </c>
      <c r="V32" s="2">
        <v>47037015200</v>
      </c>
      <c r="W32" s="2" t="s">
        <v>68</v>
      </c>
      <c r="X32" s="1">
        <v>45658</v>
      </c>
      <c r="Y32" s="2">
        <v>235100</v>
      </c>
      <c r="Z32" s="2">
        <v>0</v>
      </c>
      <c r="AA32" s="2">
        <v>235100</v>
      </c>
    </row>
    <row r="33" spans="1:27" x14ac:dyDescent="0.3">
      <c r="A33" s="3">
        <v>15</v>
      </c>
      <c r="B33" s="2" t="str">
        <f>"09606004500"</f>
        <v>09606004500</v>
      </c>
      <c r="C33" s="2" t="s">
        <v>3604</v>
      </c>
      <c r="D33" t="s">
        <v>29</v>
      </c>
      <c r="E33" s="2" t="s">
        <v>30</v>
      </c>
      <c r="F33" s="2">
        <v>37214</v>
      </c>
      <c r="G33" s="2" t="s">
        <v>64</v>
      </c>
      <c r="H33" t="s">
        <v>176</v>
      </c>
      <c r="I33" s="6">
        <v>18855</v>
      </c>
      <c r="J33" s="2" t="s">
        <v>3605</v>
      </c>
      <c r="K33" s="2">
        <v>0</v>
      </c>
      <c r="L33" t="s">
        <v>3606</v>
      </c>
      <c r="M33" t="s">
        <v>29</v>
      </c>
      <c r="N33" t="s">
        <v>30</v>
      </c>
      <c r="O33">
        <v>37246</v>
      </c>
      <c r="P33" t="s">
        <v>3607</v>
      </c>
      <c r="Q33" s="2">
        <v>3.45</v>
      </c>
      <c r="R33" s="2">
        <v>0</v>
      </c>
      <c r="S33" s="2">
        <v>0</v>
      </c>
      <c r="T33" t="s">
        <v>3608</v>
      </c>
      <c r="U33" s="6">
        <v>38330</v>
      </c>
      <c r="V33" s="2">
        <v>47037015501</v>
      </c>
      <c r="W33" s="2" t="s">
        <v>68</v>
      </c>
      <c r="X33" s="1">
        <v>45658</v>
      </c>
      <c r="Y33" s="2">
        <v>11300</v>
      </c>
      <c r="Z33" s="2">
        <v>0</v>
      </c>
      <c r="AA33" s="2">
        <v>11300</v>
      </c>
    </row>
    <row r="34" spans="1:27" x14ac:dyDescent="0.3">
      <c r="A34" s="3">
        <v>15</v>
      </c>
      <c r="B34" s="2" t="str">
        <f>"06200007300"</f>
        <v>06200007300</v>
      </c>
      <c r="C34" s="2" t="s">
        <v>3609</v>
      </c>
      <c r="D34" t="s">
        <v>29</v>
      </c>
      <c r="E34" s="2" t="s">
        <v>30</v>
      </c>
      <c r="F34" s="2">
        <v>37214</v>
      </c>
      <c r="G34" s="2" t="s">
        <v>152</v>
      </c>
      <c r="H34" t="s">
        <v>176</v>
      </c>
      <c r="I34" s="6">
        <v>23963</v>
      </c>
      <c r="J34" s="2" t="s">
        <v>3610</v>
      </c>
      <c r="K34" s="2" t="s">
        <v>34</v>
      </c>
      <c r="L34" t="s">
        <v>178</v>
      </c>
      <c r="M34" t="s">
        <v>29</v>
      </c>
      <c r="N34" t="s">
        <v>30</v>
      </c>
      <c r="O34">
        <v>37246</v>
      </c>
      <c r="P34" t="s">
        <v>3611</v>
      </c>
      <c r="Q34" s="2">
        <v>4.09</v>
      </c>
      <c r="R34" s="2">
        <v>0</v>
      </c>
      <c r="S34" s="2">
        <v>0</v>
      </c>
      <c r="T34" t="s">
        <v>3612</v>
      </c>
      <c r="U34" s="6">
        <v>36977</v>
      </c>
      <c r="V34" s="2">
        <v>47037015300</v>
      </c>
      <c r="W34" s="2" t="s">
        <v>68</v>
      </c>
      <c r="X34" s="1">
        <v>45658</v>
      </c>
      <c r="Y34" s="2">
        <v>510000</v>
      </c>
      <c r="Z34" s="2">
        <v>0</v>
      </c>
      <c r="AA34" s="2">
        <v>510000</v>
      </c>
    </row>
    <row r="35" spans="1:27" x14ac:dyDescent="0.3">
      <c r="A35" s="3">
        <v>15</v>
      </c>
      <c r="B35" s="2" t="str">
        <f>"09509001500"</f>
        <v>09509001500</v>
      </c>
      <c r="C35" s="2" t="s">
        <v>3613</v>
      </c>
      <c r="D35" t="s">
        <v>29</v>
      </c>
      <c r="E35" s="2" t="s">
        <v>30</v>
      </c>
      <c r="F35" s="2">
        <v>37210</v>
      </c>
      <c r="G35" s="2" t="s">
        <v>152</v>
      </c>
      <c r="H35" t="s">
        <v>176</v>
      </c>
      <c r="I35" s="6">
        <v>21640</v>
      </c>
      <c r="J35" s="2" t="s">
        <v>3614</v>
      </c>
      <c r="K35" s="2" t="s">
        <v>34</v>
      </c>
      <c r="L35" t="s">
        <v>178</v>
      </c>
      <c r="M35" t="s">
        <v>29</v>
      </c>
      <c r="N35" t="s">
        <v>30</v>
      </c>
      <c r="O35">
        <v>37246</v>
      </c>
      <c r="P35" t="s">
        <v>3615</v>
      </c>
      <c r="Q35" s="2">
        <v>0.9</v>
      </c>
      <c r="R35" s="2">
        <v>118</v>
      </c>
      <c r="S35" s="2">
        <v>377</v>
      </c>
      <c r="T35" t="s">
        <v>3614</v>
      </c>
      <c r="U35" s="6">
        <v>21640</v>
      </c>
      <c r="V35" s="2">
        <v>47037019600</v>
      </c>
      <c r="W35" s="2" t="s">
        <v>68</v>
      </c>
      <c r="X35" s="1">
        <v>45658</v>
      </c>
      <c r="Y35" s="2">
        <v>210000</v>
      </c>
      <c r="Z35" s="2">
        <v>0</v>
      </c>
      <c r="AA35" s="2">
        <v>210000</v>
      </c>
    </row>
    <row r="36" spans="1:27" x14ac:dyDescent="0.3">
      <c r="A36" s="3">
        <v>15</v>
      </c>
      <c r="B36" s="2" t="str">
        <f>"10802010300"</f>
        <v>10802010300</v>
      </c>
      <c r="C36" s="2" t="s">
        <v>3616</v>
      </c>
      <c r="D36" t="s">
        <v>29</v>
      </c>
      <c r="E36" s="2" t="s">
        <v>30</v>
      </c>
      <c r="F36" s="2">
        <v>37214</v>
      </c>
      <c r="G36" s="2" t="s">
        <v>64</v>
      </c>
      <c r="H36" t="s">
        <v>211</v>
      </c>
      <c r="I36" s="6">
        <v>27732</v>
      </c>
      <c r="J36" s="2" t="s">
        <v>3617</v>
      </c>
      <c r="K36" s="2">
        <v>256</v>
      </c>
      <c r="L36" t="s">
        <v>35</v>
      </c>
      <c r="M36" t="s">
        <v>29</v>
      </c>
      <c r="N36" t="s">
        <v>30</v>
      </c>
      <c r="O36">
        <v>37219</v>
      </c>
      <c r="P36" t="s">
        <v>3618</v>
      </c>
      <c r="Q36" s="2">
        <v>0.2</v>
      </c>
      <c r="R36" s="2">
        <v>98</v>
      </c>
      <c r="S36" s="2">
        <v>80</v>
      </c>
      <c r="T36" t="s">
        <v>3619</v>
      </c>
      <c r="U36" s="6">
        <v>35123</v>
      </c>
      <c r="V36" s="2">
        <v>47037015502</v>
      </c>
      <c r="W36" s="2" t="s">
        <v>68</v>
      </c>
      <c r="X36" s="1">
        <v>45658</v>
      </c>
      <c r="Y36" s="2">
        <v>700</v>
      </c>
      <c r="Z36" s="2">
        <v>0</v>
      </c>
      <c r="AA36" s="2">
        <v>700</v>
      </c>
    </row>
    <row r="37" spans="1:27" x14ac:dyDescent="0.3">
      <c r="A37" s="3">
        <v>15</v>
      </c>
      <c r="B37" s="2" t="str">
        <f>"10600011400"</f>
        <v>10600011400</v>
      </c>
      <c r="C37" s="2" t="s">
        <v>3620</v>
      </c>
      <c r="D37" t="s">
        <v>29</v>
      </c>
      <c r="E37" s="2" t="s">
        <v>30</v>
      </c>
      <c r="F37" s="2">
        <v>37210</v>
      </c>
      <c r="G37" s="2" t="s">
        <v>1485</v>
      </c>
      <c r="H37" t="s">
        <v>211</v>
      </c>
      <c r="I37" s="6">
        <v>37567</v>
      </c>
      <c r="J37" s="2" t="s">
        <v>3621</v>
      </c>
      <c r="K37" s="2">
        <v>9173</v>
      </c>
      <c r="L37" t="s">
        <v>35</v>
      </c>
      <c r="M37" t="s">
        <v>29</v>
      </c>
      <c r="N37" t="s">
        <v>30</v>
      </c>
      <c r="O37">
        <v>37219</v>
      </c>
      <c r="P37" t="s">
        <v>3622</v>
      </c>
      <c r="Q37" s="2">
        <v>0.27</v>
      </c>
      <c r="R37" s="2">
        <v>200</v>
      </c>
      <c r="S37" s="2">
        <v>175</v>
      </c>
      <c r="T37" t="s">
        <v>3623</v>
      </c>
      <c r="U37" s="6">
        <v>24209</v>
      </c>
      <c r="V37" s="2">
        <v>47037019600</v>
      </c>
      <c r="W37" s="2" t="s">
        <v>68</v>
      </c>
      <c r="X37" s="1">
        <v>45658</v>
      </c>
      <c r="Y37" s="2">
        <v>79400</v>
      </c>
      <c r="Z37" s="2">
        <v>0</v>
      </c>
      <c r="AA37" s="2">
        <v>79400</v>
      </c>
    </row>
    <row r="38" spans="1:27" x14ac:dyDescent="0.3">
      <c r="A38" s="3">
        <v>15</v>
      </c>
      <c r="B38" s="2" t="str">
        <f>"08500021100"</f>
        <v>08500021100</v>
      </c>
      <c r="C38" s="2" t="s">
        <v>3624</v>
      </c>
      <c r="D38" t="s">
        <v>29</v>
      </c>
      <c r="E38" s="2" t="s">
        <v>30</v>
      </c>
      <c r="F38" s="2">
        <v>37214</v>
      </c>
      <c r="G38" s="2" t="s">
        <v>64</v>
      </c>
      <c r="H38" t="s">
        <v>211</v>
      </c>
      <c r="I38" s="6">
        <v>37526</v>
      </c>
      <c r="J38" s="2" t="s">
        <v>3516</v>
      </c>
      <c r="K38" s="2">
        <v>1605</v>
      </c>
      <c r="L38" t="s">
        <v>35</v>
      </c>
      <c r="M38" t="s">
        <v>29</v>
      </c>
      <c r="N38" t="s">
        <v>30</v>
      </c>
      <c r="O38">
        <v>37219</v>
      </c>
      <c r="P38" t="s">
        <v>3515</v>
      </c>
      <c r="Q38" s="2">
        <v>37.94</v>
      </c>
      <c r="R38" s="2">
        <v>0</v>
      </c>
      <c r="S38" s="2">
        <v>0</v>
      </c>
      <c r="T38" t="s">
        <v>3516</v>
      </c>
      <c r="U38" s="6">
        <v>37526</v>
      </c>
      <c r="V38" s="2">
        <v>47037015300</v>
      </c>
      <c r="W38" s="2" t="s">
        <v>68</v>
      </c>
      <c r="X38" s="1">
        <v>45658</v>
      </c>
      <c r="Y38" s="2">
        <v>721900</v>
      </c>
      <c r="Z38" s="2">
        <v>0</v>
      </c>
      <c r="AA38" s="2">
        <v>721900</v>
      </c>
    </row>
    <row r="39" spans="1:27" x14ac:dyDescent="0.3">
      <c r="A39" s="3">
        <v>15</v>
      </c>
      <c r="B39" s="2" t="str">
        <f>"08400002100"</f>
        <v>08400002100</v>
      </c>
      <c r="C39" s="2" t="s">
        <v>3625</v>
      </c>
      <c r="D39" t="s">
        <v>29</v>
      </c>
      <c r="E39" s="2" t="s">
        <v>30</v>
      </c>
      <c r="F39" s="2">
        <v>37214</v>
      </c>
      <c r="G39" s="2" t="s">
        <v>200</v>
      </c>
      <c r="H39" t="s">
        <v>3626</v>
      </c>
      <c r="I39" s="6">
        <v>24457</v>
      </c>
      <c r="J39" s="2" t="s">
        <v>3627</v>
      </c>
      <c r="K39" s="2" t="s">
        <v>34</v>
      </c>
      <c r="L39" t="s">
        <v>35</v>
      </c>
      <c r="M39" t="s">
        <v>29</v>
      </c>
      <c r="N39" t="s">
        <v>30</v>
      </c>
      <c r="O39">
        <v>37219</v>
      </c>
      <c r="P39" t="s">
        <v>3628</v>
      </c>
      <c r="Q39" s="2">
        <v>9.18</v>
      </c>
      <c r="R39" s="2">
        <v>0</v>
      </c>
      <c r="S39" s="2">
        <v>0</v>
      </c>
      <c r="T39" t="s">
        <v>3627</v>
      </c>
      <c r="U39" s="6">
        <v>24457</v>
      </c>
      <c r="V39" s="2">
        <v>47037015300</v>
      </c>
      <c r="W39" s="2" t="s">
        <v>68</v>
      </c>
      <c r="X39" s="1">
        <v>45658</v>
      </c>
      <c r="Y39" s="2">
        <v>297600</v>
      </c>
      <c r="Z39" s="2">
        <v>0</v>
      </c>
      <c r="AA39" s="2">
        <v>297600</v>
      </c>
    </row>
    <row r="40" spans="1:27" x14ac:dyDescent="0.3">
      <c r="A40" s="3">
        <v>15</v>
      </c>
      <c r="B40" s="2" t="str">
        <f>"08400002000"</f>
        <v>08400002000</v>
      </c>
      <c r="C40" s="2" t="s">
        <v>3629</v>
      </c>
      <c r="D40" t="s">
        <v>29</v>
      </c>
      <c r="E40" s="2" t="s">
        <v>30</v>
      </c>
      <c r="F40" s="2">
        <v>37214</v>
      </c>
      <c r="G40" s="2" t="s">
        <v>200</v>
      </c>
      <c r="H40" t="s">
        <v>3626</v>
      </c>
      <c r="I40" s="6">
        <v>24457</v>
      </c>
      <c r="J40" s="2" t="s">
        <v>3627</v>
      </c>
      <c r="K40" s="2" t="s">
        <v>34</v>
      </c>
      <c r="L40" t="s">
        <v>35</v>
      </c>
      <c r="M40" t="s">
        <v>29</v>
      </c>
      <c r="N40" t="s">
        <v>30</v>
      </c>
      <c r="O40">
        <v>37219</v>
      </c>
      <c r="P40" t="s">
        <v>3630</v>
      </c>
      <c r="Q40" s="2">
        <v>42.3</v>
      </c>
      <c r="R40" s="2">
        <v>0</v>
      </c>
      <c r="S40" s="2">
        <v>0</v>
      </c>
      <c r="T40" t="s">
        <v>3627</v>
      </c>
      <c r="U40" s="6">
        <v>24457</v>
      </c>
      <c r="V40" s="2">
        <v>47037015300</v>
      </c>
      <c r="W40" s="2" t="s">
        <v>68</v>
      </c>
      <c r="X40" s="1">
        <v>45658</v>
      </c>
      <c r="Y40" s="2">
        <v>1060100</v>
      </c>
      <c r="Z40" s="2">
        <v>0</v>
      </c>
      <c r="AA40" s="2">
        <v>1060100</v>
      </c>
    </row>
    <row r="41" spans="1:27" x14ac:dyDescent="0.3">
      <c r="A41" s="3">
        <v>15</v>
      </c>
      <c r="B41" s="2" t="str">
        <f>"08400001900"</f>
        <v>08400001900</v>
      </c>
      <c r="C41" s="2" t="s">
        <v>2627</v>
      </c>
      <c r="D41" t="s">
        <v>29</v>
      </c>
      <c r="E41" s="2" t="s">
        <v>30</v>
      </c>
      <c r="F41" s="2">
        <v>37214</v>
      </c>
      <c r="G41" s="2" t="s">
        <v>200</v>
      </c>
      <c r="H41" t="s">
        <v>3626</v>
      </c>
      <c r="I41" s="6">
        <v>24457</v>
      </c>
      <c r="J41" s="2" t="s">
        <v>3627</v>
      </c>
      <c r="K41" s="2" t="s">
        <v>34</v>
      </c>
      <c r="L41" t="s">
        <v>35</v>
      </c>
      <c r="M41" t="s">
        <v>29</v>
      </c>
      <c r="N41" t="s">
        <v>30</v>
      </c>
      <c r="O41">
        <v>37219</v>
      </c>
      <c r="P41" t="s">
        <v>3631</v>
      </c>
      <c r="Q41" s="2">
        <v>17.809999999999999</v>
      </c>
      <c r="R41" s="2">
        <v>0</v>
      </c>
      <c r="S41" s="2">
        <v>0</v>
      </c>
      <c r="T41" t="s">
        <v>3627</v>
      </c>
      <c r="U41" s="6">
        <v>24457</v>
      </c>
      <c r="V41" s="2">
        <v>47037015300</v>
      </c>
      <c r="W41" s="2" t="s">
        <v>68</v>
      </c>
      <c r="X41" s="1">
        <v>45658</v>
      </c>
      <c r="Y41" s="2">
        <v>565300</v>
      </c>
      <c r="Z41" s="2">
        <v>0</v>
      </c>
      <c r="AA41" s="2">
        <v>565300</v>
      </c>
    </row>
    <row r="42" spans="1:27" x14ac:dyDescent="0.3">
      <c r="A42" s="3">
        <v>15</v>
      </c>
      <c r="B42" s="2" t="str">
        <f>"08400001300"</f>
        <v>08400001300</v>
      </c>
      <c r="C42" s="2" t="s">
        <v>3632</v>
      </c>
      <c r="D42" t="s">
        <v>29</v>
      </c>
      <c r="E42" s="2" t="s">
        <v>30</v>
      </c>
      <c r="F42" s="2">
        <v>37214</v>
      </c>
      <c r="G42" s="2" t="s">
        <v>200</v>
      </c>
      <c r="H42" t="s">
        <v>3626</v>
      </c>
      <c r="I42" s="6">
        <v>24457</v>
      </c>
      <c r="J42" s="2" t="s">
        <v>3627</v>
      </c>
      <c r="K42" s="2" t="s">
        <v>34</v>
      </c>
      <c r="L42" t="s">
        <v>35</v>
      </c>
      <c r="M42" t="s">
        <v>29</v>
      </c>
      <c r="N42" t="s">
        <v>30</v>
      </c>
      <c r="O42">
        <v>37219</v>
      </c>
      <c r="P42" t="s">
        <v>3633</v>
      </c>
      <c r="Q42" s="2">
        <v>304.95999999999998</v>
      </c>
      <c r="R42" s="2">
        <v>0</v>
      </c>
      <c r="S42" s="2">
        <v>0</v>
      </c>
      <c r="T42" t="s">
        <v>3627</v>
      </c>
      <c r="U42" s="6">
        <v>24457</v>
      </c>
      <c r="V42" s="2">
        <v>47037015300</v>
      </c>
      <c r="W42" s="2" t="s">
        <v>68</v>
      </c>
      <c r="X42" s="1">
        <v>45658</v>
      </c>
      <c r="Y42" s="2">
        <v>3053000</v>
      </c>
      <c r="Z42" s="2">
        <v>0</v>
      </c>
      <c r="AA42" s="2">
        <v>3053000</v>
      </c>
    </row>
    <row r="43" spans="1:27" x14ac:dyDescent="0.3">
      <c r="A43" s="3">
        <v>15</v>
      </c>
      <c r="B43" s="2" t="str">
        <f>"08400002600"</f>
        <v>08400002600</v>
      </c>
      <c r="C43" s="2" t="s">
        <v>3625</v>
      </c>
      <c r="D43" t="s">
        <v>29</v>
      </c>
      <c r="E43" s="2" t="s">
        <v>30</v>
      </c>
      <c r="F43" s="2">
        <v>37214</v>
      </c>
      <c r="G43" s="2" t="s">
        <v>31</v>
      </c>
      <c r="H43" t="s">
        <v>1332</v>
      </c>
      <c r="I43" s="6">
        <v>21649</v>
      </c>
      <c r="J43" s="2" t="s">
        <v>3634</v>
      </c>
      <c r="K43" s="2" t="s">
        <v>34</v>
      </c>
      <c r="L43" t="s">
        <v>35</v>
      </c>
      <c r="M43" t="s">
        <v>29</v>
      </c>
      <c r="N43" t="s">
        <v>30</v>
      </c>
      <c r="O43">
        <v>37219</v>
      </c>
      <c r="P43" t="s">
        <v>3635</v>
      </c>
      <c r="Q43" s="2">
        <v>0.74</v>
      </c>
      <c r="R43" s="2">
        <v>70</v>
      </c>
      <c r="S43" s="2">
        <v>460</v>
      </c>
      <c r="T43" t="s">
        <v>278</v>
      </c>
      <c r="U43" s="6">
        <v>21650</v>
      </c>
      <c r="V43" s="2">
        <v>47037015300</v>
      </c>
      <c r="W43" s="2" t="s">
        <v>68</v>
      </c>
      <c r="X43" s="1">
        <v>45658</v>
      </c>
      <c r="Y43" s="2">
        <v>37500</v>
      </c>
      <c r="Z43" s="2">
        <v>0</v>
      </c>
      <c r="AA43" s="2">
        <v>37500</v>
      </c>
    </row>
    <row r="44" spans="1:27" x14ac:dyDescent="0.3">
      <c r="A44" s="3">
        <v>15</v>
      </c>
      <c r="B44" s="2" t="str">
        <f>"10700015400"</f>
        <v>10700015400</v>
      </c>
      <c r="C44" s="2" t="s">
        <v>2627</v>
      </c>
      <c r="D44" t="s">
        <v>29</v>
      </c>
      <c r="E44" s="2" t="s">
        <v>30</v>
      </c>
      <c r="F44" s="2">
        <v>37214</v>
      </c>
      <c r="G44" s="2" t="s">
        <v>152</v>
      </c>
      <c r="H44" t="s">
        <v>1332</v>
      </c>
      <c r="I44" s="6">
        <v>34633</v>
      </c>
      <c r="J44" s="2" t="s">
        <v>3499</v>
      </c>
      <c r="K44" s="2" t="s">
        <v>34</v>
      </c>
      <c r="L44" t="s">
        <v>35</v>
      </c>
      <c r="M44" t="s">
        <v>29</v>
      </c>
      <c r="N44" t="s">
        <v>30</v>
      </c>
      <c r="O44">
        <v>37219</v>
      </c>
      <c r="P44" t="s">
        <v>3636</v>
      </c>
      <c r="Q44" s="2">
        <v>1.35</v>
      </c>
      <c r="R44" s="2">
        <v>0</v>
      </c>
      <c r="S44" s="2">
        <v>0</v>
      </c>
      <c r="T44" t="s">
        <v>3499</v>
      </c>
      <c r="U44" s="6">
        <v>34633</v>
      </c>
      <c r="V44" s="2">
        <v>47037015100</v>
      </c>
      <c r="W44" s="2" t="s">
        <v>68</v>
      </c>
      <c r="X44" s="1">
        <v>45658</v>
      </c>
      <c r="Y44" s="2">
        <v>41800</v>
      </c>
      <c r="Z44" s="2">
        <v>0</v>
      </c>
      <c r="AA44" s="2">
        <v>41800</v>
      </c>
    </row>
    <row r="45" spans="1:27" x14ac:dyDescent="0.3">
      <c r="A45" s="3">
        <v>15</v>
      </c>
      <c r="B45" s="2" t="str">
        <f>"09613019300"</f>
        <v>09613019300</v>
      </c>
      <c r="C45" s="2" t="s">
        <v>3637</v>
      </c>
      <c r="D45" t="s">
        <v>29</v>
      </c>
      <c r="E45" s="2" t="s">
        <v>30</v>
      </c>
      <c r="F45" s="2">
        <v>37214</v>
      </c>
      <c r="G45" s="2" t="s">
        <v>64</v>
      </c>
      <c r="H45" t="s">
        <v>237</v>
      </c>
      <c r="I45" s="6">
        <v>28962</v>
      </c>
      <c r="J45" s="2" t="s">
        <v>3638</v>
      </c>
      <c r="K45" s="2" t="s">
        <v>34</v>
      </c>
      <c r="L45" t="s">
        <v>35</v>
      </c>
      <c r="M45" t="s">
        <v>29</v>
      </c>
      <c r="N45" t="s">
        <v>30</v>
      </c>
      <c r="O45">
        <v>37219</v>
      </c>
      <c r="P45" t="s">
        <v>3639</v>
      </c>
      <c r="Q45" s="2">
        <v>0.05</v>
      </c>
      <c r="R45" s="2">
        <v>70</v>
      </c>
      <c r="S45" s="2">
        <v>30</v>
      </c>
      <c r="T45" t="s">
        <v>3640</v>
      </c>
      <c r="U45" s="6">
        <v>29476</v>
      </c>
      <c r="V45" s="2">
        <v>47037015100</v>
      </c>
      <c r="W45" s="2" t="s">
        <v>68</v>
      </c>
      <c r="X45" s="1">
        <v>45658</v>
      </c>
      <c r="Y45" s="2">
        <v>800</v>
      </c>
      <c r="Z45" s="2">
        <v>0</v>
      </c>
      <c r="AA45" s="2">
        <v>800</v>
      </c>
    </row>
    <row r="46" spans="1:27" x14ac:dyDescent="0.3">
      <c r="A46" s="3">
        <v>15</v>
      </c>
      <c r="B46" s="2" t="str">
        <f>"09600005800"</f>
        <v>09600005800</v>
      </c>
      <c r="C46" s="2" t="s">
        <v>3409</v>
      </c>
      <c r="D46" t="s">
        <v>29</v>
      </c>
      <c r="E46" s="2" t="s">
        <v>30</v>
      </c>
      <c r="F46" s="2">
        <v>37214</v>
      </c>
      <c r="G46" s="2" t="s">
        <v>3641</v>
      </c>
      <c r="H46" t="s">
        <v>249</v>
      </c>
      <c r="I46" s="6">
        <v>731</v>
      </c>
      <c r="J46" s="2" t="s">
        <v>3642</v>
      </c>
      <c r="K46" s="2">
        <v>0</v>
      </c>
      <c r="L46" t="s">
        <v>35</v>
      </c>
      <c r="M46" t="s">
        <v>29</v>
      </c>
      <c r="N46" t="s">
        <v>30</v>
      </c>
      <c r="O46">
        <v>37219</v>
      </c>
      <c r="P46" t="s">
        <v>3643</v>
      </c>
      <c r="Q46" s="2">
        <v>0.67</v>
      </c>
      <c r="R46" s="2">
        <v>180</v>
      </c>
      <c r="S46" s="2">
        <v>60</v>
      </c>
      <c r="T46" t="s">
        <v>3644</v>
      </c>
      <c r="U46" s="6">
        <v>35797</v>
      </c>
      <c r="V46" s="2">
        <v>47037015501</v>
      </c>
      <c r="W46" s="2" t="s">
        <v>68</v>
      </c>
      <c r="X46" s="1">
        <v>45658</v>
      </c>
      <c r="Y46" s="2">
        <v>67500</v>
      </c>
      <c r="Z46" s="2">
        <v>0</v>
      </c>
      <c r="AA46" s="2">
        <v>67500</v>
      </c>
    </row>
    <row r="47" spans="1:27" x14ac:dyDescent="0.3">
      <c r="A47" s="3">
        <v>15</v>
      </c>
      <c r="B47" s="2" t="str">
        <f>"09602004000"</f>
        <v>09602004000</v>
      </c>
      <c r="C47" s="2" t="s">
        <v>3645</v>
      </c>
      <c r="D47" t="s">
        <v>29</v>
      </c>
      <c r="E47" s="2" t="s">
        <v>30</v>
      </c>
      <c r="F47" s="2">
        <v>37214</v>
      </c>
      <c r="G47" s="2" t="s">
        <v>524</v>
      </c>
      <c r="H47" t="s">
        <v>3646</v>
      </c>
      <c r="I47" s="6">
        <v>20262</v>
      </c>
      <c r="J47" s="2" t="s">
        <v>3647</v>
      </c>
      <c r="K47" s="2" t="s">
        <v>34</v>
      </c>
      <c r="L47" t="s">
        <v>35</v>
      </c>
      <c r="M47" t="s">
        <v>29</v>
      </c>
      <c r="N47" t="s">
        <v>30</v>
      </c>
      <c r="O47">
        <v>37219</v>
      </c>
      <c r="P47" t="s">
        <v>3648</v>
      </c>
      <c r="Q47" s="2">
        <v>20.100000000000001</v>
      </c>
      <c r="R47" s="2">
        <v>0</v>
      </c>
      <c r="S47" s="2">
        <v>0</v>
      </c>
      <c r="T47" t="s">
        <v>3649</v>
      </c>
      <c r="U47" s="6">
        <v>36175</v>
      </c>
      <c r="V47" s="2">
        <v>47037015501</v>
      </c>
      <c r="W47" s="2" t="s">
        <v>68</v>
      </c>
      <c r="X47" s="1">
        <v>45658</v>
      </c>
      <c r="Y47" s="2">
        <v>474600</v>
      </c>
      <c r="Z47" s="2">
        <v>409300</v>
      </c>
      <c r="AA47" s="2">
        <v>65300</v>
      </c>
    </row>
    <row r="48" spans="1:27" x14ac:dyDescent="0.3">
      <c r="A48" s="3">
        <v>15</v>
      </c>
      <c r="B48" s="2" t="str">
        <f>"10600001200"</f>
        <v>10600001200</v>
      </c>
      <c r="C48" s="2" t="s">
        <v>3650</v>
      </c>
      <c r="D48" t="s">
        <v>29</v>
      </c>
      <c r="E48" s="2" t="s">
        <v>30</v>
      </c>
      <c r="F48" s="2">
        <v>37210</v>
      </c>
      <c r="G48" s="2" t="s">
        <v>253</v>
      </c>
      <c r="H48" t="s">
        <v>3651</v>
      </c>
      <c r="I48" s="6">
        <v>23354</v>
      </c>
      <c r="J48" s="2" t="s">
        <v>3652</v>
      </c>
      <c r="K48" s="2" t="s">
        <v>34</v>
      </c>
      <c r="L48" t="s">
        <v>35</v>
      </c>
      <c r="M48" t="s">
        <v>29</v>
      </c>
      <c r="N48" t="s">
        <v>30</v>
      </c>
      <c r="O48">
        <v>37219</v>
      </c>
      <c r="P48" t="s">
        <v>3653</v>
      </c>
      <c r="Q48" s="2">
        <v>11.62</v>
      </c>
      <c r="R48" s="2">
        <v>0</v>
      </c>
      <c r="S48" s="2">
        <v>0</v>
      </c>
      <c r="T48" t="s">
        <v>3654</v>
      </c>
      <c r="U48" s="6">
        <v>36985</v>
      </c>
      <c r="V48" s="2">
        <v>47037019600</v>
      </c>
      <c r="W48" s="2" t="s">
        <v>68</v>
      </c>
      <c r="X48" s="1">
        <v>45658</v>
      </c>
      <c r="Y48" s="2">
        <v>791700</v>
      </c>
      <c r="Z48" s="2">
        <v>0</v>
      </c>
      <c r="AA48" s="2">
        <v>791700</v>
      </c>
    </row>
    <row r="49" spans="1:27" x14ac:dyDescent="0.3">
      <c r="A49" s="3">
        <v>15</v>
      </c>
      <c r="B49" s="2" t="str">
        <f>"09508008400"</f>
        <v>09508008400</v>
      </c>
      <c r="C49" s="2" t="s">
        <v>3655</v>
      </c>
      <c r="D49" t="s">
        <v>29</v>
      </c>
      <c r="E49" s="2" t="s">
        <v>30</v>
      </c>
      <c r="F49" s="2">
        <v>37214</v>
      </c>
      <c r="G49" s="2" t="s">
        <v>253</v>
      </c>
      <c r="H49" t="s">
        <v>3656</v>
      </c>
      <c r="I49" s="6">
        <v>20044</v>
      </c>
      <c r="J49" s="2" t="s">
        <v>3657</v>
      </c>
      <c r="K49" s="2" t="s">
        <v>34</v>
      </c>
      <c r="L49" t="s">
        <v>35</v>
      </c>
      <c r="M49" t="s">
        <v>29</v>
      </c>
      <c r="N49" t="s">
        <v>30</v>
      </c>
      <c r="O49">
        <v>37219</v>
      </c>
      <c r="P49" t="s">
        <v>3658</v>
      </c>
      <c r="Q49" s="2">
        <v>11.6</v>
      </c>
      <c r="R49" s="2">
        <v>0</v>
      </c>
      <c r="S49" s="2">
        <v>0</v>
      </c>
      <c r="T49" t="s">
        <v>3657</v>
      </c>
      <c r="U49" s="6">
        <v>20044</v>
      </c>
      <c r="V49" s="2">
        <v>47037015100</v>
      </c>
      <c r="W49" s="2" t="s">
        <v>68</v>
      </c>
      <c r="X49" s="1">
        <v>45658</v>
      </c>
      <c r="Y49" s="2">
        <v>442200</v>
      </c>
      <c r="Z49" s="2">
        <v>0</v>
      </c>
      <c r="AA49" s="2">
        <v>442200</v>
      </c>
    </row>
    <row r="50" spans="1:27" x14ac:dyDescent="0.3">
      <c r="A50" s="3">
        <v>15</v>
      </c>
      <c r="B50" s="2" t="str">
        <f>"08400001800"</f>
        <v>08400001800</v>
      </c>
      <c r="C50" s="2" t="s">
        <v>3659</v>
      </c>
      <c r="D50" t="s">
        <v>29</v>
      </c>
      <c r="E50" s="2" t="s">
        <v>30</v>
      </c>
      <c r="F50" s="2">
        <v>37214</v>
      </c>
      <c r="G50" s="2" t="s">
        <v>253</v>
      </c>
      <c r="H50" t="s">
        <v>3660</v>
      </c>
      <c r="I50" s="6">
        <v>24457</v>
      </c>
      <c r="J50" s="2" t="s">
        <v>3627</v>
      </c>
      <c r="K50" s="2" t="s">
        <v>34</v>
      </c>
      <c r="L50" t="s">
        <v>35</v>
      </c>
      <c r="M50" t="s">
        <v>29</v>
      </c>
      <c r="N50" t="s">
        <v>30</v>
      </c>
      <c r="O50">
        <v>37219</v>
      </c>
      <c r="P50" t="s">
        <v>3631</v>
      </c>
      <c r="Q50" s="2">
        <v>30</v>
      </c>
      <c r="R50" s="2">
        <v>0</v>
      </c>
      <c r="S50" s="2">
        <v>0</v>
      </c>
      <c r="T50" t="s">
        <v>3627</v>
      </c>
      <c r="U50" s="6">
        <v>24457</v>
      </c>
      <c r="V50" s="2">
        <v>47037015300</v>
      </c>
      <c r="W50" s="2" t="s">
        <v>68</v>
      </c>
      <c r="X50" s="1">
        <v>45658</v>
      </c>
      <c r="Y50" s="2">
        <v>877400</v>
      </c>
      <c r="Z50" s="2">
        <v>0</v>
      </c>
      <c r="AA50" s="2">
        <v>877400</v>
      </c>
    </row>
    <row r="51" spans="1:27" x14ac:dyDescent="0.3">
      <c r="A51" s="3">
        <v>15</v>
      </c>
      <c r="B51" s="2" t="str">
        <f>"10602001700"</f>
        <v>10602001700</v>
      </c>
      <c r="C51" s="2" t="s">
        <v>3661</v>
      </c>
      <c r="D51" t="s">
        <v>29</v>
      </c>
      <c r="E51" s="2" t="s">
        <v>30</v>
      </c>
      <c r="F51" s="2">
        <v>37210</v>
      </c>
      <c r="G51" s="2" t="s">
        <v>152</v>
      </c>
      <c r="H51" t="s">
        <v>3662</v>
      </c>
      <c r="I51" s="6">
        <v>18237</v>
      </c>
      <c r="J51" s="2" t="s">
        <v>3663</v>
      </c>
      <c r="K51" s="2" t="s">
        <v>34</v>
      </c>
      <c r="L51" t="s">
        <v>35</v>
      </c>
      <c r="M51" t="s">
        <v>29</v>
      </c>
      <c r="N51" t="s">
        <v>30</v>
      </c>
      <c r="O51">
        <v>37219</v>
      </c>
      <c r="P51" t="s">
        <v>3664</v>
      </c>
      <c r="Q51" s="2">
        <v>2.06</v>
      </c>
      <c r="R51" s="2">
        <v>155</v>
      </c>
      <c r="S51" s="2">
        <v>456</v>
      </c>
      <c r="T51" t="s">
        <v>3663</v>
      </c>
      <c r="U51" s="6">
        <v>18237</v>
      </c>
      <c r="V51" s="2">
        <v>47037019600</v>
      </c>
      <c r="W51" s="2" t="s">
        <v>68</v>
      </c>
      <c r="X51" s="1">
        <v>45658</v>
      </c>
      <c r="Y51" s="2">
        <v>2266000</v>
      </c>
      <c r="Z51" s="2">
        <v>0</v>
      </c>
      <c r="AA51" s="2">
        <v>2266000</v>
      </c>
    </row>
    <row r="52" spans="1:27" x14ac:dyDescent="0.3">
      <c r="A52" s="3">
        <v>15</v>
      </c>
      <c r="B52" s="2" t="str">
        <f>"07308001900"</f>
        <v>07308001900</v>
      </c>
      <c r="C52" s="2" t="s">
        <v>3665</v>
      </c>
      <c r="D52" t="s">
        <v>29</v>
      </c>
      <c r="E52" s="2" t="s">
        <v>30</v>
      </c>
      <c r="F52" s="2">
        <v>37214</v>
      </c>
      <c r="G52" s="2" t="s">
        <v>253</v>
      </c>
      <c r="H52" t="s">
        <v>3666</v>
      </c>
      <c r="I52" s="6">
        <v>20877</v>
      </c>
      <c r="J52" s="2" t="s">
        <v>3667</v>
      </c>
      <c r="K52" s="2" t="s">
        <v>34</v>
      </c>
      <c r="L52" t="s">
        <v>35</v>
      </c>
      <c r="M52" t="s">
        <v>29</v>
      </c>
      <c r="N52" t="s">
        <v>30</v>
      </c>
      <c r="O52">
        <v>37219</v>
      </c>
      <c r="P52" t="s">
        <v>3668</v>
      </c>
      <c r="Q52" s="2">
        <v>10.68</v>
      </c>
      <c r="R52" s="2">
        <v>0</v>
      </c>
      <c r="S52" s="2">
        <v>0</v>
      </c>
      <c r="T52" t="s">
        <v>3667</v>
      </c>
      <c r="U52" s="6">
        <v>20877</v>
      </c>
      <c r="V52" s="2">
        <v>47037015300</v>
      </c>
      <c r="W52" s="2" t="s">
        <v>68</v>
      </c>
      <c r="X52" s="1">
        <v>45658</v>
      </c>
      <c r="Y52" s="2">
        <v>405100</v>
      </c>
      <c r="Z52" s="2">
        <v>0</v>
      </c>
      <c r="AA52" s="2">
        <v>405100</v>
      </c>
    </row>
    <row r="53" spans="1:27" x14ac:dyDescent="0.3">
      <c r="A53" s="3">
        <v>15</v>
      </c>
      <c r="B53" s="2" t="str">
        <f>"08411024700"</f>
        <v>08411024700</v>
      </c>
      <c r="C53" s="2" t="s">
        <v>3669</v>
      </c>
      <c r="D53" t="s">
        <v>29</v>
      </c>
      <c r="E53" s="2" t="s">
        <v>30</v>
      </c>
      <c r="F53" s="2">
        <v>37214</v>
      </c>
      <c r="G53" s="2" t="s">
        <v>253</v>
      </c>
      <c r="H53" t="s">
        <v>3670</v>
      </c>
      <c r="I53" s="6">
        <v>19099</v>
      </c>
      <c r="J53" s="2" t="s">
        <v>3671</v>
      </c>
      <c r="K53" s="2" t="s">
        <v>34</v>
      </c>
      <c r="L53" t="s">
        <v>35</v>
      </c>
      <c r="M53" t="s">
        <v>29</v>
      </c>
      <c r="N53" t="s">
        <v>30</v>
      </c>
      <c r="O53">
        <v>37219</v>
      </c>
      <c r="P53" t="s">
        <v>3672</v>
      </c>
      <c r="Q53" s="2">
        <v>16.63</v>
      </c>
      <c r="R53" s="2">
        <v>0</v>
      </c>
      <c r="S53" s="2">
        <v>0</v>
      </c>
      <c r="T53" t="s">
        <v>278</v>
      </c>
      <c r="U53" s="6">
        <v>36587</v>
      </c>
      <c r="V53" s="2">
        <v>47037015200</v>
      </c>
      <c r="W53" s="2" t="s">
        <v>68</v>
      </c>
      <c r="X53" s="1">
        <v>45658</v>
      </c>
      <c r="Y53" s="2">
        <v>363100</v>
      </c>
      <c r="Z53" s="2">
        <v>0</v>
      </c>
      <c r="AA53" s="2">
        <v>363100</v>
      </c>
    </row>
    <row r="54" spans="1:27" x14ac:dyDescent="0.3">
      <c r="A54" s="3">
        <v>15</v>
      </c>
      <c r="B54" s="2" t="str">
        <f>"07300002000"</f>
        <v>07300002000</v>
      </c>
      <c r="C54" s="2" t="s">
        <v>3673</v>
      </c>
      <c r="D54" t="s">
        <v>29</v>
      </c>
      <c r="E54" s="2" t="s">
        <v>30</v>
      </c>
      <c r="F54" s="2">
        <v>37214</v>
      </c>
      <c r="G54" s="2" t="s">
        <v>253</v>
      </c>
      <c r="H54" t="s">
        <v>3674</v>
      </c>
      <c r="I54" s="6">
        <v>21536</v>
      </c>
      <c r="J54" s="2" t="s">
        <v>3675</v>
      </c>
      <c r="K54" s="2" t="s">
        <v>34</v>
      </c>
      <c r="L54" t="s">
        <v>35</v>
      </c>
      <c r="M54" t="s">
        <v>29</v>
      </c>
      <c r="N54" t="s">
        <v>30</v>
      </c>
      <c r="O54">
        <v>37219</v>
      </c>
      <c r="P54" t="s">
        <v>3676</v>
      </c>
      <c r="Q54" s="2">
        <v>26.04</v>
      </c>
      <c r="R54" s="2">
        <v>0</v>
      </c>
      <c r="S54" s="2">
        <v>0</v>
      </c>
      <c r="T54" t="s">
        <v>278</v>
      </c>
      <c r="U54" s="6">
        <v>36588</v>
      </c>
      <c r="V54" s="2">
        <v>47037015300</v>
      </c>
      <c r="W54" s="2" t="s">
        <v>68</v>
      </c>
      <c r="X54" s="1">
        <v>45658</v>
      </c>
      <c r="Y54" s="2">
        <v>757800</v>
      </c>
      <c r="Z54" s="2">
        <v>0</v>
      </c>
      <c r="AA54" s="2">
        <v>757800</v>
      </c>
    </row>
    <row r="55" spans="1:27" x14ac:dyDescent="0.3">
      <c r="A55" s="3">
        <v>15</v>
      </c>
      <c r="B55" s="2" t="str">
        <f>"06205005800"</f>
        <v>06205005800</v>
      </c>
      <c r="C55" s="2" t="s">
        <v>3677</v>
      </c>
      <c r="D55" t="s">
        <v>29</v>
      </c>
      <c r="E55" s="2" t="s">
        <v>30</v>
      </c>
      <c r="F55" s="2">
        <v>37214</v>
      </c>
      <c r="G55" s="2" t="s">
        <v>64</v>
      </c>
      <c r="H55" t="s">
        <v>280</v>
      </c>
      <c r="I55" s="6">
        <v>40926</v>
      </c>
      <c r="J55" s="2" t="s">
        <v>3678</v>
      </c>
      <c r="K55" s="2">
        <v>0</v>
      </c>
      <c r="L55" t="s">
        <v>35</v>
      </c>
      <c r="M55" t="s">
        <v>29</v>
      </c>
      <c r="N55" t="s">
        <v>30</v>
      </c>
      <c r="O55">
        <v>37219</v>
      </c>
      <c r="P55" t="s">
        <v>3679</v>
      </c>
      <c r="Q55" s="2">
        <v>0.15</v>
      </c>
      <c r="R55" s="2">
        <v>50</v>
      </c>
      <c r="S55" s="2">
        <v>130</v>
      </c>
      <c r="T55" t="s">
        <v>3680</v>
      </c>
      <c r="U55" s="6">
        <v>29060</v>
      </c>
      <c r="V55" s="2">
        <v>47037015300</v>
      </c>
      <c r="W55" s="2" t="s">
        <v>68</v>
      </c>
      <c r="X55" s="1">
        <v>45658</v>
      </c>
      <c r="Y55" s="2">
        <v>2300</v>
      </c>
      <c r="Z55" s="2">
        <v>0</v>
      </c>
      <c r="AA55" s="2">
        <v>2300</v>
      </c>
    </row>
    <row r="56" spans="1:27" x14ac:dyDescent="0.3">
      <c r="A56" s="3">
        <v>15</v>
      </c>
      <c r="B56" s="2" t="str">
        <f>"06205002500"</f>
        <v>06205002500</v>
      </c>
      <c r="C56" s="2" t="s">
        <v>3681</v>
      </c>
      <c r="D56" t="s">
        <v>29</v>
      </c>
      <c r="E56" s="2" t="s">
        <v>30</v>
      </c>
      <c r="F56" s="2">
        <v>37214</v>
      </c>
      <c r="G56" s="2" t="s">
        <v>64</v>
      </c>
      <c r="H56" t="s">
        <v>280</v>
      </c>
      <c r="I56" s="6">
        <v>40948</v>
      </c>
      <c r="J56" s="2" t="s">
        <v>3682</v>
      </c>
      <c r="K56" s="2">
        <v>0</v>
      </c>
      <c r="L56" t="s">
        <v>35</v>
      </c>
      <c r="M56" t="s">
        <v>29</v>
      </c>
      <c r="N56" t="s">
        <v>30</v>
      </c>
      <c r="O56">
        <v>37219</v>
      </c>
      <c r="P56" t="s">
        <v>3683</v>
      </c>
      <c r="Q56" s="2">
        <v>0.5</v>
      </c>
      <c r="R56" s="2">
        <v>100</v>
      </c>
      <c r="S56" s="2">
        <v>222</v>
      </c>
      <c r="T56" t="s">
        <v>3684</v>
      </c>
      <c r="U56" s="6">
        <v>40134</v>
      </c>
      <c r="V56" s="2">
        <v>47037015300</v>
      </c>
      <c r="W56" s="2" t="s">
        <v>68</v>
      </c>
      <c r="X56" s="1">
        <v>45658</v>
      </c>
      <c r="Y56" s="2">
        <v>2300</v>
      </c>
      <c r="Z56" s="2">
        <v>0</v>
      </c>
      <c r="AA56" s="2">
        <v>2300</v>
      </c>
    </row>
    <row r="57" spans="1:27" x14ac:dyDescent="0.3">
      <c r="A57" s="3">
        <v>15</v>
      </c>
      <c r="B57" s="2" t="str">
        <f>"08513001400"</f>
        <v>08513001400</v>
      </c>
      <c r="C57" s="2" t="s">
        <v>3685</v>
      </c>
      <c r="D57" t="s">
        <v>29</v>
      </c>
      <c r="E57" s="2" t="s">
        <v>30</v>
      </c>
      <c r="F57" s="2">
        <v>37214</v>
      </c>
      <c r="G57" s="2" t="s">
        <v>152</v>
      </c>
      <c r="H57" t="s">
        <v>280</v>
      </c>
      <c r="I57" s="6">
        <v>21094</v>
      </c>
      <c r="J57" s="2" t="s">
        <v>3686</v>
      </c>
      <c r="K57" s="2" t="s">
        <v>34</v>
      </c>
      <c r="L57" t="s">
        <v>35</v>
      </c>
      <c r="M57" t="s">
        <v>29</v>
      </c>
      <c r="N57" t="s">
        <v>30</v>
      </c>
      <c r="O57">
        <v>37219</v>
      </c>
      <c r="P57" t="s">
        <v>3687</v>
      </c>
      <c r="Q57" s="2">
        <v>0.83</v>
      </c>
      <c r="R57" s="2">
        <v>100</v>
      </c>
      <c r="S57" s="2">
        <v>96</v>
      </c>
      <c r="T57" t="s">
        <v>3686</v>
      </c>
      <c r="U57" s="6">
        <v>21094</v>
      </c>
      <c r="V57" s="2">
        <v>47037015300</v>
      </c>
      <c r="W57" s="2" t="s">
        <v>68</v>
      </c>
      <c r="X57" s="1">
        <v>45658</v>
      </c>
      <c r="Y57" s="2">
        <v>135000</v>
      </c>
      <c r="Z57" s="2">
        <v>0</v>
      </c>
      <c r="AA57" s="2">
        <v>135000</v>
      </c>
    </row>
    <row r="58" spans="1:27" x14ac:dyDescent="0.3">
      <c r="A58" s="3">
        <v>15</v>
      </c>
      <c r="B58" s="2" t="str">
        <f>"09409009300"</f>
        <v>09409009300</v>
      </c>
      <c r="C58" s="2" t="s">
        <v>3688</v>
      </c>
      <c r="D58" t="s">
        <v>29</v>
      </c>
      <c r="E58" s="2" t="s">
        <v>30</v>
      </c>
      <c r="F58" s="2">
        <v>37210</v>
      </c>
      <c r="G58" s="2" t="s">
        <v>152</v>
      </c>
      <c r="H58" t="s">
        <v>280</v>
      </c>
      <c r="I58" s="6">
        <v>28891</v>
      </c>
      <c r="J58" s="2" t="s">
        <v>3689</v>
      </c>
      <c r="K58" s="2">
        <v>33600</v>
      </c>
      <c r="L58" t="s">
        <v>35</v>
      </c>
      <c r="M58" t="s">
        <v>29</v>
      </c>
      <c r="N58" t="s">
        <v>30</v>
      </c>
      <c r="O58">
        <v>37219</v>
      </c>
      <c r="P58" t="s">
        <v>3690</v>
      </c>
      <c r="Q58" s="2">
        <v>1.1200000000000001</v>
      </c>
      <c r="R58" s="2">
        <v>210</v>
      </c>
      <c r="S58" s="2">
        <v>235</v>
      </c>
      <c r="T58" t="s">
        <v>3689</v>
      </c>
      <c r="U58" s="6">
        <v>28891</v>
      </c>
      <c r="V58" s="2">
        <v>47037019600</v>
      </c>
      <c r="W58" s="2" t="s">
        <v>68</v>
      </c>
      <c r="X58" s="1">
        <v>45658</v>
      </c>
      <c r="Y58" s="2">
        <v>1008000</v>
      </c>
      <c r="Z58" s="2">
        <v>0</v>
      </c>
      <c r="AA58" s="2">
        <v>1008000</v>
      </c>
    </row>
    <row r="59" spans="1:27" x14ac:dyDescent="0.3">
      <c r="A59" s="3">
        <v>15</v>
      </c>
      <c r="B59" s="2" t="str">
        <f>"09312000901"</f>
        <v>09312000901</v>
      </c>
      <c r="C59" s="2" t="s">
        <v>3691</v>
      </c>
      <c r="D59" t="s">
        <v>29</v>
      </c>
      <c r="E59" s="2" t="s">
        <v>30</v>
      </c>
      <c r="F59" s="2">
        <v>37210</v>
      </c>
      <c r="G59" s="2" t="s">
        <v>398</v>
      </c>
      <c r="H59" t="s">
        <v>280</v>
      </c>
      <c r="I59" s="6">
        <v>34191</v>
      </c>
      <c r="J59" s="2" t="s">
        <v>3692</v>
      </c>
      <c r="K59" s="2">
        <v>378000</v>
      </c>
      <c r="L59" t="s">
        <v>35</v>
      </c>
      <c r="M59" t="s">
        <v>29</v>
      </c>
      <c r="N59" t="s">
        <v>30</v>
      </c>
      <c r="O59">
        <v>37219</v>
      </c>
      <c r="P59" t="s">
        <v>3693</v>
      </c>
      <c r="Q59" s="2">
        <v>2.64</v>
      </c>
      <c r="R59" s="2">
        <v>481</v>
      </c>
      <c r="S59" s="2">
        <v>213</v>
      </c>
      <c r="T59" t="s">
        <v>3694</v>
      </c>
      <c r="U59" s="6">
        <v>34598</v>
      </c>
      <c r="V59" s="2">
        <v>47037019600</v>
      </c>
      <c r="W59" s="2" t="s">
        <v>68</v>
      </c>
      <c r="X59" s="1">
        <v>45658</v>
      </c>
      <c r="Y59" s="2">
        <v>2888200</v>
      </c>
      <c r="Z59" s="2">
        <v>512200</v>
      </c>
      <c r="AA59" s="2">
        <v>2376000</v>
      </c>
    </row>
    <row r="60" spans="1:27" x14ac:dyDescent="0.3">
      <c r="A60" s="3">
        <v>15</v>
      </c>
      <c r="B60" s="2" t="str">
        <f>"08500004200"</f>
        <v>08500004200</v>
      </c>
      <c r="C60" s="2" t="s">
        <v>3695</v>
      </c>
      <c r="D60" t="s">
        <v>29</v>
      </c>
      <c r="E60" s="2" t="s">
        <v>30</v>
      </c>
      <c r="F60" s="2">
        <v>37214</v>
      </c>
      <c r="G60" s="2" t="s">
        <v>152</v>
      </c>
      <c r="H60" t="s">
        <v>280</v>
      </c>
      <c r="I60" s="6">
        <v>25526</v>
      </c>
      <c r="J60" s="2" t="s">
        <v>3696</v>
      </c>
      <c r="K60" s="2" t="s">
        <v>34</v>
      </c>
      <c r="L60" t="s">
        <v>35</v>
      </c>
      <c r="M60" t="s">
        <v>29</v>
      </c>
      <c r="N60" t="s">
        <v>30</v>
      </c>
      <c r="O60">
        <v>37219</v>
      </c>
      <c r="P60" t="s">
        <v>3697</v>
      </c>
      <c r="Q60" s="2">
        <v>38.619999999999997</v>
      </c>
      <c r="R60" s="2">
        <v>0</v>
      </c>
      <c r="S60" s="2">
        <v>0</v>
      </c>
      <c r="T60" t="s">
        <v>3698</v>
      </c>
      <c r="U60" s="6">
        <v>25863</v>
      </c>
      <c r="V60" s="2">
        <v>47037015300</v>
      </c>
      <c r="W60" s="2" t="s">
        <v>68</v>
      </c>
      <c r="X60" s="1">
        <v>45658</v>
      </c>
      <c r="Y60" s="2">
        <v>733300</v>
      </c>
      <c r="Z60" s="2">
        <v>0</v>
      </c>
      <c r="AA60" s="2">
        <v>733300</v>
      </c>
    </row>
    <row r="61" spans="1:27" x14ac:dyDescent="0.3">
      <c r="A61" s="3">
        <v>15</v>
      </c>
      <c r="B61" s="2" t="str">
        <f>"09410005900"</f>
        <v>09410005900</v>
      </c>
      <c r="C61" s="2" t="s">
        <v>3699</v>
      </c>
      <c r="D61" t="s">
        <v>29</v>
      </c>
      <c r="E61" s="2" t="s">
        <v>30</v>
      </c>
      <c r="F61" s="2">
        <v>37210</v>
      </c>
      <c r="G61" s="2" t="s">
        <v>152</v>
      </c>
      <c r="H61" t="s">
        <v>280</v>
      </c>
      <c r="I61" s="6">
        <v>39079</v>
      </c>
      <c r="J61" s="2" t="s">
        <v>3700</v>
      </c>
      <c r="K61" s="2" t="s">
        <v>34</v>
      </c>
      <c r="L61" t="s">
        <v>35</v>
      </c>
      <c r="M61" t="s">
        <v>29</v>
      </c>
      <c r="N61" t="s">
        <v>30</v>
      </c>
      <c r="O61">
        <v>37219</v>
      </c>
      <c r="P61" t="s">
        <v>3701</v>
      </c>
      <c r="Q61" s="2">
        <v>2.8</v>
      </c>
      <c r="R61" s="2">
        <v>78</v>
      </c>
      <c r="S61" s="2">
        <v>590</v>
      </c>
      <c r="T61" t="s">
        <v>3702</v>
      </c>
      <c r="U61" s="6">
        <v>39002</v>
      </c>
      <c r="V61" s="2">
        <v>47037019600</v>
      </c>
      <c r="W61" s="2" t="s">
        <v>68</v>
      </c>
      <c r="X61" s="1">
        <v>45658</v>
      </c>
      <c r="Y61" s="2">
        <v>924000</v>
      </c>
      <c r="Z61" s="2">
        <v>0</v>
      </c>
      <c r="AA61" s="2">
        <v>924000</v>
      </c>
    </row>
    <row r="62" spans="1:27" x14ac:dyDescent="0.3">
      <c r="A62" s="3">
        <v>15</v>
      </c>
      <c r="B62" s="2" t="str">
        <f>"05209015600"</f>
        <v>05209015600</v>
      </c>
      <c r="C62" s="2" t="s">
        <v>3703</v>
      </c>
      <c r="D62" t="s">
        <v>29</v>
      </c>
      <c r="E62" s="2" t="s">
        <v>30</v>
      </c>
      <c r="F62" s="2">
        <v>37214</v>
      </c>
      <c r="G62" s="2" t="s">
        <v>64</v>
      </c>
      <c r="H62" t="s">
        <v>280</v>
      </c>
      <c r="I62" s="6">
        <v>40912</v>
      </c>
      <c r="J62" s="2" t="s">
        <v>3704</v>
      </c>
      <c r="K62" s="2">
        <v>0</v>
      </c>
      <c r="L62" t="s">
        <v>35</v>
      </c>
      <c r="M62" t="s">
        <v>29</v>
      </c>
      <c r="N62" t="s">
        <v>30</v>
      </c>
      <c r="O62">
        <v>37219</v>
      </c>
      <c r="P62" t="s">
        <v>3705</v>
      </c>
      <c r="Q62" s="2">
        <v>0.11</v>
      </c>
      <c r="R62" s="2">
        <v>50</v>
      </c>
      <c r="S62" s="2">
        <v>100</v>
      </c>
      <c r="T62" t="s">
        <v>3706</v>
      </c>
      <c r="U62" s="6">
        <v>18086</v>
      </c>
      <c r="V62" s="2">
        <v>47037015300</v>
      </c>
      <c r="W62" s="2" t="s">
        <v>68</v>
      </c>
      <c r="X62" s="1">
        <v>45658</v>
      </c>
      <c r="Y62" s="2">
        <v>2300</v>
      </c>
      <c r="Z62" s="2">
        <v>0</v>
      </c>
      <c r="AA62" s="2">
        <v>2300</v>
      </c>
    </row>
    <row r="63" spans="1:27" x14ac:dyDescent="0.3">
      <c r="A63" s="3">
        <v>15</v>
      </c>
      <c r="B63" s="2" t="str">
        <f>"05209015500"</f>
        <v>05209015500</v>
      </c>
      <c r="C63" s="2" t="s">
        <v>3707</v>
      </c>
      <c r="D63" t="s">
        <v>29</v>
      </c>
      <c r="E63" s="2" t="s">
        <v>30</v>
      </c>
      <c r="F63" s="2">
        <v>37214</v>
      </c>
      <c r="G63" s="2" t="s">
        <v>64</v>
      </c>
      <c r="H63" t="s">
        <v>280</v>
      </c>
      <c r="I63" s="6">
        <v>40912</v>
      </c>
      <c r="J63" s="2" t="s">
        <v>3708</v>
      </c>
      <c r="K63" s="2">
        <v>0</v>
      </c>
      <c r="L63" t="s">
        <v>35</v>
      </c>
      <c r="M63" t="s">
        <v>29</v>
      </c>
      <c r="N63" t="s">
        <v>30</v>
      </c>
      <c r="O63">
        <v>37219</v>
      </c>
      <c r="P63" t="s">
        <v>3709</v>
      </c>
      <c r="Q63" s="2">
        <v>0.11</v>
      </c>
      <c r="R63" s="2">
        <v>50</v>
      </c>
      <c r="S63" s="2">
        <v>100</v>
      </c>
      <c r="T63" t="s">
        <v>3710</v>
      </c>
      <c r="U63" s="6">
        <v>19224</v>
      </c>
      <c r="V63" s="2">
        <v>47037015300</v>
      </c>
      <c r="W63" s="2" t="s">
        <v>68</v>
      </c>
      <c r="X63" s="1">
        <v>45658</v>
      </c>
      <c r="Y63" s="2">
        <v>2300</v>
      </c>
      <c r="Z63" s="2">
        <v>0</v>
      </c>
      <c r="AA63" s="2">
        <v>2300</v>
      </c>
    </row>
    <row r="64" spans="1:27" x14ac:dyDescent="0.3">
      <c r="A64" s="3">
        <v>15</v>
      </c>
      <c r="B64" s="2" t="str">
        <f>"05209015200"</f>
        <v>05209015200</v>
      </c>
      <c r="C64" s="2" t="s">
        <v>3711</v>
      </c>
      <c r="D64" t="s">
        <v>29</v>
      </c>
      <c r="E64" s="2" t="s">
        <v>30</v>
      </c>
      <c r="F64" s="2">
        <v>37214</v>
      </c>
      <c r="G64" s="2" t="s">
        <v>64</v>
      </c>
      <c r="H64" t="s">
        <v>280</v>
      </c>
      <c r="I64" s="6">
        <v>40911</v>
      </c>
      <c r="J64" s="2" t="s">
        <v>3712</v>
      </c>
      <c r="K64" s="2">
        <v>0</v>
      </c>
      <c r="L64" t="s">
        <v>35</v>
      </c>
      <c r="M64" t="s">
        <v>29</v>
      </c>
      <c r="N64" t="s">
        <v>30</v>
      </c>
      <c r="O64">
        <v>37219</v>
      </c>
      <c r="P64" t="s">
        <v>3713</v>
      </c>
      <c r="Q64" s="2">
        <v>0.13</v>
      </c>
      <c r="R64" s="2">
        <v>50</v>
      </c>
      <c r="S64" s="2">
        <v>98</v>
      </c>
      <c r="T64" t="s">
        <v>3714</v>
      </c>
      <c r="U64" s="6">
        <v>17909</v>
      </c>
      <c r="V64" s="2">
        <v>47037015300</v>
      </c>
      <c r="W64" s="2" t="s">
        <v>68</v>
      </c>
      <c r="X64" s="1">
        <v>45658</v>
      </c>
      <c r="Y64" s="2">
        <v>2300</v>
      </c>
      <c r="Z64" s="2">
        <v>0</v>
      </c>
      <c r="AA64" s="2">
        <v>2300</v>
      </c>
    </row>
    <row r="65" spans="1:27" x14ac:dyDescent="0.3">
      <c r="A65" s="3">
        <v>15</v>
      </c>
      <c r="B65" s="2" t="str">
        <f>"05209014400"</f>
        <v>05209014400</v>
      </c>
      <c r="C65" s="2" t="s">
        <v>3715</v>
      </c>
      <c r="D65" t="s">
        <v>29</v>
      </c>
      <c r="E65" s="2" t="s">
        <v>30</v>
      </c>
      <c r="F65" s="2">
        <v>37214</v>
      </c>
      <c r="G65" s="2" t="s">
        <v>64</v>
      </c>
      <c r="H65" t="s">
        <v>280</v>
      </c>
      <c r="I65" s="6">
        <v>40919</v>
      </c>
      <c r="J65" s="2" t="s">
        <v>3716</v>
      </c>
      <c r="K65" s="2">
        <v>0</v>
      </c>
      <c r="L65" t="s">
        <v>35</v>
      </c>
      <c r="M65" t="s">
        <v>29</v>
      </c>
      <c r="N65" t="s">
        <v>30</v>
      </c>
      <c r="O65">
        <v>37219</v>
      </c>
      <c r="P65" t="s">
        <v>3717</v>
      </c>
      <c r="Q65" s="2">
        <v>0.24</v>
      </c>
      <c r="R65" s="2">
        <v>100</v>
      </c>
      <c r="S65" s="2">
        <v>110</v>
      </c>
      <c r="T65" t="s">
        <v>3718</v>
      </c>
      <c r="U65" s="6">
        <v>40437</v>
      </c>
      <c r="V65" s="2">
        <v>47037015300</v>
      </c>
      <c r="W65" s="2" t="s">
        <v>68</v>
      </c>
      <c r="X65" s="1">
        <v>45658</v>
      </c>
      <c r="Y65" s="2">
        <v>2300</v>
      </c>
      <c r="Z65" s="2">
        <v>0</v>
      </c>
      <c r="AA65" s="2">
        <v>2300</v>
      </c>
    </row>
    <row r="66" spans="1:27" x14ac:dyDescent="0.3">
      <c r="A66" s="3">
        <v>15</v>
      </c>
      <c r="B66" s="2" t="str">
        <f>"05213001000"</f>
        <v>05213001000</v>
      </c>
      <c r="C66" s="2" t="s">
        <v>3719</v>
      </c>
      <c r="D66" t="s">
        <v>29</v>
      </c>
      <c r="E66" s="2" t="s">
        <v>30</v>
      </c>
      <c r="F66" s="2">
        <v>37214</v>
      </c>
      <c r="G66" s="2" t="s">
        <v>64</v>
      </c>
      <c r="H66" t="s">
        <v>280</v>
      </c>
      <c r="I66" s="6">
        <v>40907</v>
      </c>
      <c r="J66" s="2" t="s">
        <v>3720</v>
      </c>
      <c r="K66" s="2">
        <v>0</v>
      </c>
      <c r="L66" t="s">
        <v>35</v>
      </c>
      <c r="M66" t="s">
        <v>29</v>
      </c>
      <c r="N66" t="s">
        <v>30</v>
      </c>
      <c r="O66">
        <v>37219</v>
      </c>
      <c r="P66" t="s">
        <v>3721</v>
      </c>
      <c r="Q66" s="2">
        <v>0.3</v>
      </c>
      <c r="R66" s="2">
        <v>100</v>
      </c>
      <c r="S66" s="2">
        <v>155</v>
      </c>
      <c r="T66" t="s">
        <v>3722</v>
      </c>
      <c r="U66" s="6">
        <v>31034</v>
      </c>
      <c r="V66" s="2">
        <v>47037015300</v>
      </c>
      <c r="W66" s="2" t="s">
        <v>68</v>
      </c>
      <c r="X66" s="1">
        <v>45658</v>
      </c>
      <c r="Y66" s="2">
        <v>2300</v>
      </c>
      <c r="Z66" s="2">
        <v>0</v>
      </c>
      <c r="AA66" s="2">
        <v>2300</v>
      </c>
    </row>
    <row r="67" spans="1:27" x14ac:dyDescent="0.3">
      <c r="A67" s="3">
        <v>15</v>
      </c>
      <c r="B67" s="2" t="str">
        <f>"05213001100"</f>
        <v>05213001100</v>
      </c>
      <c r="C67" s="2" t="s">
        <v>3723</v>
      </c>
      <c r="D67" t="s">
        <v>29</v>
      </c>
      <c r="E67" s="2" t="s">
        <v>30</v>
      </c>
      <c r="F67" s="2">
        <v>37214</v>
      </c>
      <c r="G67" s="2" t="s">
        <v>64</v>
      </c>
      <c r="H67" t="s">
        <v>280</v>
      </c>
      <c r="I67" s="6">
        <v>40934</v>
      </c>
      <c r="J67" s="2" t="s">
        <v>3724</v>
      </c>
      <c r="K67" s="2">
        <v>11000</v>
      </c>
      <c r="L67" t="s">
        <v>35</v>
      </c>
      <c r="M67" t="s">
        <v>29</v>
      </c>
      <c r="N67" t="s">
        <v>30</v>
      </c>
      <c r="O67">
        <v>37219</v>
      </c>
      <c r="P67" t="s">
        <v>3725</v>
      </c>
      <c r="Q67" s="2">
        <v>0.22</v>
      </c>
      <c r="R67" s="2">
        <v>75</v>
      </c>
      <c r="S67" s="2">
        <v>128</v>
      </c>
      <c r="T67" t="s">
        <v>3726</v>
      </c>
      <c r="U67" s="6">
        <v>19442</v>
      </c>
      <c r="V67" s="2">
        <v>47037015300</v>
      </c>
      <c r="W67" s="2" t="s">
        <v>68</v>
      </c>
      <c r="X67" s="1">
        <v>45658</v>
      </c>
      <c r="Y67" s="2">
        <v>2300</v>
      </c>
      <c r="Z67" s="2">
        <v>0</v>
      </c>
      <c r="AA67" s="2">
        <v>2300</v>
      </c>
    </row>
    <row r="68" spans="1:27" x14ac:dyDescent="0.3">
      <c r="A68" s="3">
        <v>15</v>
      </c>
      <c r="B68" s="2" t="str">
        <f>"05209015900"</f>
        <v>05209015900</v>
      </c>
      <c r="C68" s="2" t="s">
        <v>3727</v>
      </c>
      <c r="D68" t="s">
        <v>29</v>
      </c>
      <c r="E68" s="2" t="s">
        <v>30</v>
      </c>
      <c r="F68" s="2">
        <v>37214</v>
      </c>
      <c r="G68" s="2" t="s">
        <v>64</v>
      </c>
      <c r="H68" t="s">
        <v>280</v>
      </c>
      <c r="I68" s="6">
        <v>40938</v>
      </c>
      <c r="J68" s="2" t="s">
        <v>3728</v>
      </c>
      <c r="K68" s="2">
        <v>0</v>
      </c>
      <c r="L68" t="s">
        <v>35</v>
      </c>
      <c r="M68" t="s">
        <v>29</v>
      </c>
      <c r="N68" t="s">
        <v>30</v>
      </c>
      <c r="O68">
        <v>37219</v>
      </c>
      <c r="P68" t="s">
        <v>3729</v>
      </c>
      <c r="Q68" s="2">
        <v>0.11</v>
      </c>
      <c r="R68" s="2">
        <v>50</v>
      </c>
      <c r="S68" s="2">
        <v>100</v>
      </c>
      <c r="T68" t="s">
        <v>3730</v>
      </c>
      <c r="U68" s="6">
        <v>27218</v>
      </c>
      <c r="V68" s="2">
        <v>47037015300</v>
      </c>
      <c r="W68" s="2" t="s">
        <v>68</v>
      </c>
      <c r="X68" s="1">
        <v>45658</v>
      </c>
      <c r="Y68" s="2">
        <v>2300</v>
      </c>
      <c r="Z68" s="2">
        <v>0</v>
      </c>
      <c r="AA68" s="2">
        <v>2300</v>
      </c>
    </row>
    <row r="69" spans="1:27" x14ac:dyDescent="0.3">
      <c r="A69" s="3">
        <v>15</v>
      </c>
      <c r="B69" s="2" t="str">
        <f>"05209016000"</f>
        <v>05209016000</v>
      </c>
      <c r="C69" s="2" t="s">
        <v>3731</v>
      </c>
      <c r="D69" t="s">
        <v>29</v>
      </c>
      <c r="E69" s="2" t="s">
        <v>30</v>
      </c>
      <c r="F69" s="2">
        <v>37214</v>
      </c>
      <c r="G69" s="2" t="s">
        <v>64</v>
      </c>
      <c r="H69" t="s">
        <v>280</v>
      </c>
      <c r="I69" s="6">
        <v>40938</v>
      </c>
      <c r="J69" s="2" t="s">
        <v>3732</v>
      </c>
      <c r="K69" s="2">
        <v>0</v>
      </c>
      <c r="L69" t="s">
        <v>35</v>
      </c>
      <c r="M69" t="s">
        <v>29</v>
      </c>
      <c r="N69" t="s">
        <v>30</v>
      </c>
      <c r="O69">
        <v>37219</v>
      </c>
      <c r="P69" t="s">
        <v>3733</v>
      </c>
      <c r="Q69" s="2">
        <v>0.13</v>
      </c>
      <c r="R69" s="2">
        <v>50</v>
      </c>
      <c r="S69" s="2">
        <v>102</v>
      </c>
      <c r="T69" t="s">
        <v>3730</v>
      </c>
      <c r="U69" s="6">
        <v>27218</v>
      </c>
      <c r="V69" s="2">
        <v>47037015300</v>
      </c>
      <c r="W69" s="2" t="s">
        <v>68</v>
      </c>
      <c r="X69" s="1">
        <v>45658</v>
      </c>
      <c r="Y69" s="2">
        <v>2300</v>
      </c>
      <c r="Z69" s="2">
        <v>0</v>
      </c>
      <c r="AA69" s="2">
        <v>2300</v>
      </c>
    </row>
    <row r="70" spans="1:27" x14ac:dyDescent="0.3">
      <c r="A70" s="3">
        <v>15</v>
      </c>
      <c r="B70" s="2" t="str">
        <f>"05209016200"</f>
        <v>05209016200</v>
      </c>
      <c r="C70" s="2" t="s">
        <v>3734</v>
      </c>
      <c r="D70" t="s">
        <v>29</v>
      </c>
      <c r="E70" s="2" t="s">
        <v>30</v>
      </c>
      <c r="F70" s="2">
        <v>37214</v>
      </c>
      <c r="G70" s="2" t="s">
        <v>64</v>
      </c>
      <c r="H70" t="s">
        <v>280</v>
      </c>
      <c r="I70" s="6">
        <v>43264</v>
      </c>
      <c r="J70" s="2" t="s">
        <v>3735</v>
      </c>
      <c r="K70" s="2" t="s">
        <v>34</v>
      </c>
      <c r="L70" t="s">
        <v>343</v>
      </c>
      <c r="M70" t="s">
        <v>29</v>
      </c>
      <c r="N70" t="s">
        <v>30</v>
      </c>
      <c r="O70">
        <v>37201</v>
      </c>
      <c r="P70" t="s">
        <v>3736</v>
      </c>
      <c r="Q70" s="2">
        <v>0.25</v>
      </c>
      <c r="R70" s="2">
        <v>100</v>
      </c>
      <c r="S70" s="2">
        <v>112</v>
      </c>
      <c r="T70" t="s">
        <v>3737</v>
      </c>
      <c r="U70" s="6">
        <v>26172</v>
      </c>
      <c r="V70" s="2">
        <v>47037015300</v>
      </c>
      <c r="W70" s="2" t="s">
        <v>68</v>
      </c>
      <c r="X70" s="1">
        <v>45658</v>
      </c>
      <c r="Y70" s="2">
        <v>2300</v>
      </c>
      <c r="Z70" s="2">
        <v>0</v>
      </c>
      <c r="AA70" s="2">
        <v>2300</v>
      </c>
    </row>
    <row r="71" spans="1:27" x14ac:dyDescent="0.3">
      <c r="A71" s="3">
        <v>15</v>
      </c>
      <c r="B71" s="2" t="str">
        <f>"05209016300"</f>
        <v>05209016300</v>
      </c>
      <c r="C71" s="2" t="s">
        <v>3738</v>
      </c>
      <c r="D71" t="s">
        <v>29</v>
      </c>
      <c r="E71" s="2" t="s">
        <v>30</v>
      </c>
      <c r="F71" s="2">
        <v>37214</v>
      </c>
      <c r="G71" s="2" t="s">
        <v>64</v>
      </c>
      <c r="H71" t="s">
        <v>280</v>
      </c>
      <c r="I71" s="6">
        <v>40938</v>
      </c>
      <c r="J71" s="2" t="s">
        <v>3739</v>
      </c>
      <c r="K71" s="2">
        <v>0</v>
      </c>
      <c r="L71" t="s">
        <v>35</v>
      </c>
      <c r="M71" t="s">
        <v>29</v>
      </c>
      <c r="N71" t="s">
        <v>30</v>
      </c>
      <c r="O71">
        <v>37219</v>
      </c>
      <c r="P71" t="s">
        <v>3736</v>
      </c>
      <c r="Q71" s="2">
        <v>0.28999999999999998</v>
      </c>
      <c r="R71" s="2">
        <v>100</v>
      </c>
      <c r="S71" s="2">
        <v>112</v>
      </c>
      <c r="T71" t="s">
        <v>3740</v>
      </c>
      <c r="U71" s="6">
        <v>19239</v>
      </c>
      <c r="V71" s="2">
        <v>47037015300</v>
      </c>
      <c r="W71" s="2" t="s">
        <v>68</v>
      </c>
      <c r="X71" s="1">
        <v>45658</v>
      </c>
      <c r="Y71" s="2">
        <v>2300</v>
      </c>
      <c r="Z71" s="2">
        <v>0</v>
      </c>
      <c r="AA71" s="2">
        <v>2300</v>
      </c>
    </row>
    <row r="72" spans="1:27" x14ac:dyDescent="0.3">
      <c r="A72" s="3">
        <v>15</v>
      </c>
      <c r="B72" s="2" t="str">
        <f>"05209016400"</f>
        <v>05209016400</v>
      </c>
      <c r="C72" s="2" t="s">
        <v>3741</v>
      </c>
      <c r="D72" t="s">
        <v>29</v>
      </c>
      <c r="E72" s="2" t="s">
        <v>30</v>
      </c>
      <c r="F72" s="2">
        <v>37214</v>
      </c>
      <c r="G72" s="2" t="s">
        <v>64</v>
      </c>
      <c r="H72" t="s">
        <v>280</v>
      </c>
      <c r="I72" s="6">
        <v>40961</v>
      </c>
      <c r="J72" s="2" t="s">
        <v>3742</v>
      </c>
      <c r="K72" s="2">
        <v>0</v>
      </c>
      <c r="L72" t="s">
        <v>35</v>
      </c>
      <c r="M72" t="s">
        <v>29</v>
      </c>
      <c r="N72" t="s">
        <v>30</v>
      </c>
      <c r="O72">
        <v>37219</v>
      </c>
      <c r="P72" t="s">
        <v>3736</v>
      </c>
      <c r="Q72" s="2">
        <v>0.28999999999999998</v>
      </c>
      <c r="R72" s="2">
        <v>127</v>
      </c>
      <c r="S72" s="2">
        <v>110</v>
      </c>
      <c r="T72" t="s">
        <v>3743</v>
      </c>
      <c r="U72" s="6">
        <v>25386</v>
      </c>
      <c r="V72" s="2">
        <v>47037015300</v>
      </c>
      <c r="W72" s="2" t="s">
        <v>68</v>
      </c>
      <c r="X72" s="1">
        <v>45658</v>
      </c>
      <c r="Y72" s="2">
        <v>2300</v>
      </c>
      <c r="Z72" s="2">
        <v>0</v>
      </c>
      <c r="AA72" s="2">
        <v>2300</v>
      </c>
    </row>
    <row r="73" spans="1:27" x14ac:dyDescent="0.3">
      <c r="A73" s="3">
        <v>15</v>
      </c>
      <c r="B73" s="2" t="str">
        <f>"05209016100"</f>
        <v>05209016100</v>
      </c>
      <c r="C73" s="2" t="s">
        <v>3744</v>
      </c>
      <c r="D73" t="s">
        <v>29</v>
      </c>
      <c r="E73" s="2" t="s">
        <v>30</v>
      </c>
      <c r="F73" s="2">
        <v>37214</v>
      </c>
      <c r="G73" s="2" t="s">
        <v>64</v>
      </c>
      <c r="H73" t="s">
        <v>280</v>
      </c>
      <c r="I73" s="6">
        <v>40933</v>
      </c>
      <c r="J73" s="2" t="s">
        <v>3745</v>
      </c>
      <c r="K73" s="2">
        <v>0</v>
      </c>
      <c r="L73" t="s">
        <v>35</v>
      </c>
      <c r="M73" t="s">
        <v>29</v>
      </c>
      <c r="N73" t="s">
        <v>30</v>
      </c>
      <c r="O73">
        <v>37219</v>
      </c>
      <c r="P73" t="s">
        <v>3746</v>
      </c>
      <c r="Q73" s="2">
        <v>0.36</v>
      </c>
      <c r="R73" s="2">
        <v>150</v>
      </c>
      <c r="S73" s="2">
        <v>110</v>
      </c>
      <c r="T73" t="s">
        <v>3747</v>
      </c>
      <c r="U73" s="6">
        <v>24778</v>
      </c>
      <c r="V73" s="2">
        <v>47037015300</v>
      </c>
      <c r="W73" s="2" t="s">
        <v>68</v>
      </c>
      <c r="X73" s="1">
        <v>45658</v>
      </c>
      <c r="Y73" s="2">
        <v>2300</v>
      </c>
      <c r="Z73" s="2">
        <v>0</v>
      </c>
      <c r="AA73" s="2">
        <v>2300</v>
      </c>
    </row>
    <row r="74" spans="1:27" x14ac:dyDescent="0.3">
      <c r="A74" s="3">
        <v>15</v>
      </c>
      <c r="B74" s="2" t="str">
        <f>"06205004400"</f>
        <v>06205004400</v>
      </c>
      <c r="C74" s="2" t="s">
        <v>3748</v>
      </c>
      <c r="D74" t="s">
        <v>29</v>
      </c>
      <c r="E74" s="2" t="s">
        <v>30</v>
      </c>
      <c r="F74" s="2">
        <v>37214</v>
      </c>
      <c r="G74" s="2" t="s">
        <v>64</v>
      </c>
      <c r="H74" t="s">
        <v>280</v>
      </c>
      <c r="I74" s="6">
        <v>41087</v>
      </c>
      <c r="J74" s="2" t="s">
        <v>3749</v>
      </c>
      <c r="K74" s="2">
        <v>0</v>
      </c>
      <c r="L74" t="s">
        <v>35</v>
      </c>
      <c r="M74" t="s">
        <v>29</v>
      </c>
      <c r="N74" t="s">
        <v>30</v>
      </c>
      <c r="O74">
        <v>37219</v>
      </c>
      <c r="P74" t="s">
        <v>3750</v>
      </c>
      <c r="Q74" s="2">
        <v>0.16</v>
      </c>
      <c r="R74" s="2">
        <v>50</v>
      </c>
      <c r="S74" s="2">
        <v>130</v>
      </c>
      <c r="T74" t="s">
        <v>3751</v>
      </c>
      <c r="U74" s="6">
        <v>26952</v>
      </c>
      <c r="V74" s="2">
        <v>47037015300</v>
      </c>
      <c r="W74" s="2" t="s">
        <v>68</v>
      </c>
      <c r="X74" s="1">
        <v>45658</v>
      </c>
      <c r="Y74" s="2">
        <v>2300</v>
      </c>
      <c r="Z74" s="2">
        <v>0</v>
      </c>
      <c r="AA74" s="2">
        <v>2300</v>
      </c>
    </row>
    <row r="75" spans="1:27" x14ac:dyDescent="0.3">
      <c r="A75" s="3">
        <v>15</v>
      </c>
      <c r="B75" s="2" t="str">
        <f>"06205004500"</f>
        <v>06205004500</v>
      </c>
      <c r="C75" s="2" t="s">
        <v>3752</v>
      </c>
      <c r="D75" t="s">
        <v>29</v>
      </c>
      <c r="E75" s="2" t="s">
        <v>30</v>
      </c>
      <c r="F75" s="2">
        <v>37214</v>
      </c>
      <c r="G75" s="2" t="s">
        <v>64</v>
      </c>
      <c r="H75" t="s">
        <v>280</v>
      </c>
      <c r="I75" s="6">
        <v>41087</v>
      </c>
      <c r="J75" s="2" t="s">
        <v>3749</v>
      </c>
      <c r="K75" s="2">
        <v>0</v>
      </c>
      <c r="L75" t="s">
        <v>35</v>
      </c>
      <c r="M75" t="s">
        <v>29</v>
      </c>
      <c r="N75" t="s">
        <v>30</v>
      </c>
      <c r="O75">
        <v>37219</v>
      </c>
      <c r="P75" t="s">
        <v>3753</v>
      </c>
      <c r="Q75" s="2">
        <v>0.16</v>
      </c>
      <c r="R75" s="2">
        <v>50</v>
      </c>
      <c r="S75" s="2">
        <v>154</v>
      </c>
      <c r="T75" t="s">
        <v>3751</v>
      </c>
      <c r="U75" s="6">
        <v>26952</v>
      </c>
      <c r="V75" s="2">
        <v>47037015300</v>
      </c>
      <c r="W75" s="2" t="s">
        <v>68</v>
      </c>
      <c r="X75" s="1">
        <v>45658</v>
      </c>
      <c r="Y75" s="2">
        <v>2300</v>
      </c>
      <c r="Z75" s="2">
        <v>0</v>
      </c>
      <c r="AA75" s="2">
        <v>2300</v>
      </c>
    </row>
    <row r="76" spans="1:27" x14ac:dyDescent="0.3">
      <c r="A76" s="3">
        <v>15</v>
      </c>
      <c r="B76" s="2" t="str">
        <f>"06209004800"</f>
        <v>06209004800</v>
      </c>
      <c r="C76" s="2" t="s">
        <v>3754</v>
      </c>
      <c r="D76" t="s">
        <v>29</v>
      </c>
      <c r="E76" s="2" t="s">
        <v>30</v>
      </c>
      <c r="F76" s="2">
        <v>37214</v>
      </c>
      <c r="G76" s="2" t="s">
        <v>64</v>
      </c>
      <c r="H76" t="s">
        <v>280</v>
      </c>
      <c r="I76" s="6">
        <v>41344</v>
      </c>
      <c r="J76" s="2" t="s">
        <v>3755</v>
      </c>
      <c r="K76" s="2">
        <v>0</v>
      </c>
      <c r="L76" t="s">
        <v>35</v>
      </c>
      <c r="M76" t="s">
        <v>29</v>
      </c>
      <c r="N76" t="s">
        <v>30</v>
      </c>
      <c r="O76">
        <v>37219</v>
      </c>
      <c r="P76" t="s">
        <v>3756</v>
      </c>
      <c r="Q76" s="2">
        <v>0.33</v>
      </c>
      <c r="R76" s="2">
        <v>100</v>
      </c>
      <c r="S76" s="2">
        <v>141</v>
      </c>
      <c r="T76" t="s">
        <v>3757</v>
      </c>
      <c r="U76" s="6">
        <v>25042</v>
      </c>
      <c r="V76" s="2">
        <v>47037015300</v>
      </c>
      <c r="W76" s="2" t="s">
        <v>68</v>
      </c>
      <c r="X76" s="1">
        <v>45658</v>
      </c>
      <c r="Y76" s="2">
        <v>170000</v>
      </c>
      <c r="Z76" s="2">
        <v>0</v>
      </c>
      <c r="AA76" s="2">
        <v>170000</v>
      </c>
    </row>
    <row r="77" spans="1:27" x14ac:dyDescent="0.3">
      <c r="A77" s="3">
        <v>15</v>
      </c>
      <c r="B77" s="2" t="str">
        <f>"06209005000"</f>
        <v>06209005000</v>
      </c>
      <c r="C77" s="2" t="s">
        <v>3758</v>
      </c>
      <c r="D77" t="s">
        <v>29</v>
      </c>
      <c r="E77" s="2" t="s">
        <v>30</v>
      </c>
      <c r="F77" s="2">
        <v>37214</v>
      </c>
      <c r="G77" s="2" t="s">
        <v>64</v>
      </c>
      <c r="H77" t="s">
        <v>280</v>
      </c>
      <c r="I77" s="6">
        <v>41136</v>
      </c>
      <c r="J77" s="2" t="s">
        <v>3759</v>
      </c>
      <c r="K77" s="2">
        <v>0</v>
      </c>
      <c r="L77" t="s">
        <v>35</v>
      </c>
      <c r="M77" t="s">
        <v>29</v>
      </c>
      <c r="N77" t="s">
        <v>30</v>
      </c>
      <c r="O77">
        <v>37219</v>
      </c>
      <c r="P77" t="s">
        <v>3760</v>
      </c>
      <c r="Q77" s="2">
        <v>0.45</v>
      </c>
      <c r="R77" s="2">
        <v>150</v>
      </c>
      <c r="S77" s="2">
        <v>139</v>
      </c>
      <c r="T77" t="s">
        <v>278</v>
      </c>
      <c r="U77" s="6">
        <v>29033</v>
      </c>
      <c r="V77" s="2">
        <v>47037015300</v>
      </c>
      <c r="W77" s="2" t="s">
        <v>68</v>
      </c>
      <c r="X77" s="1">
        <v>45658</v>
      </c>
      <c r="Y77" s="2">
        <v>2300</v>
      </c>
      <c r="Z77" s="2">
        <v>0</v>
      </c>
      <c r="AA77" s="2">
        <v>2300</v>
      </c>
    </row>
    <row r="78" spans="1:27" x14ac:dyDescent="0.3">
      <c r="A78" s="3">
        <v>15</v>
      </c>
      <c r="B78" s="2" t="str">
        <f>"06209005400"</f>
        <v>06209005400</v>
      </c>
      <c r="C78" s="2" t="s">
        <v>3761</v>
      </c>
      <c r="D78" t="s">
        <v>29</v>
      </c>
      <c r="E78" s="2" t="s">
        <v>30</v>
      </c>
      <c r="F78" s="2">
        <v>37214</v>
      </c>
      <c r="G78" s="2" t="s">
        <v>64</v>
      </c>
      <c r="H78" t="s">
        <v>280</v>
      </c>
      <c r="I78" s="6">
        <v>41033</v>
      </c>
      <c r="J78" s="2" t="s">
        <v>3762</v>
      </c>
      <c r="K78" s="2">
        <v>0</v>
      </c>
      <c r="L78" t="s">
        <v>35</v>
      </c>
      <c r="M78" t="s">
        <v>29</v>
      </c>
      <c r="N78" t="s">
        <v>30</v>
      </c>
      <c r="O78">
        <v>37219</v>
      </c>
      <c r="P78" t="s">
        <v>3763</v>
      </c>
      <c r="Q78" s="2">
        <v>0.15</v>
      </c>
      <c r="R78" s="2">
        <v>50</v>
      </c>
      <c r="S78" s="2">
        <v>136</v>
      </c>
      <c r="T78" t="s">
        <v>3764</v>
      </c>
      <c r="U78" s="6">
        <v>25998</v>
      </c>
      <c r="V78" s="2">
        <v>47037015300</v>
      </c>
      <c r="W78" s="2" t="s">
        <v>68</v>
      </c>
      <c r="X78" s="1">
        <v>45658</v>
      </c>
      <c r="Y78" s="2">
        <v>2300</v>
      </c>
      <c r="Z78" s="2">
        <v>0</v>
      </c>
      <c r="AA78" s="2">
        <v>2300</v>
      </c>
    </row>
    <row r="79" spans="1:27" x14ac:dyDescent="0.3">
      <c r="A79" s="3">
        <v>15</v>
      </c>
      <c r="B79" s="2" t="str">
        <f>"06209005500"</f>
        <v>06209005500</v>
      </c>
      <c r="C79" s="2" t="s">
        <v>3765</v>
      </c>
      <c r="D79" t="s">
        <v>29</v>
      </c>
      <c r="E79" s="2" t="s">
        <v>30</v>
      </c>
      <c r="F79" s="2">
        <v>37214</v>
      </c>
      <c r="G79" s="2" t="s">
        <v>64</v>
      </c>
      <c r="H79" t="s">
        <v>280</v>
      </c>
      <c r="I79" s="6">
        <v>41033</v>
      </c>
      <c r="J79" s="2" t="s">
        <v>3762</v>
      </c>
      <c r="K79" s="2">
        <v>0</v>
      </c>
      <c r="L79" t="s">
        <v>35</v>
      </c>
      <c r="M79" t="s">
        <v>29</v>
      </c>
      <c r="N79" t="s">
        <v>30</v>
      </c>
      <c r="O79">
        <v>37219</v>
      </c>
      <c r="P79" t="s">
        <v>3766</v>
      </c>
      <c r="Q79" s="2">
        <v>0.15</v>
      </c>
      <c r="R79" s="2">
        <v>50</v>
      </c>
      <c r="S79" s="2">
        <v>136</v>
      </c>
      <c r="T79" t="s">
        <v>3764</v>
      </c>
      <c r="U79" s="6">
        <v>25998</v>
      </c>
      <c r="V79" s="2">
        <v>47037015300</v>
      </c>
      <c r="W79" s="2" t="s">
        <v>68</v>
      </c>
      <c r="X79" s="1">
        <v>45658</v>
      </c>
      <c r="Y79" s="2">
        <v>2300</v>
      </c>
      <c r="Z79" s="2">
        <v>0</v>
      </c>
      <c r="AA79" s="2">
        <v>2300</v>
      </c>
    </row>
    <row r="80" spans="1:27" x14ac:dyDescent="0.3">
      <c r="A80" s="3">
        <v>15</v>
      </c>
      <c r="B80" s="2" t="str">
        <f>"06209007000"</f>
        <v>06209007000</v>
      </c>
      <c r="C80" s="2" t="s">
        <v>3767</v>
      </c>
      <c r="D80" t="s">
        <v>29</v>
      </c>
      <c r="E80" s="2" t="s">
        <v>30</v>
      </c>
      <c r="F80" s="2">
        <v>37214</v>
      </c>
      <c r="G80" s="2" t="s">
        <v>64</v>
      </c>
      <c r="H80" t="s">
        <v>280</v>
      </c>
      <c r="I80" s="6">
        <v>41078</v>
      </c>
      <c r="J80" s="2" t="s">
        <v>3768</v>
      </c>
      <c r="K80" s="2">
        <v>0</v>
      </c>
      <c r="L80" t="s">
        <v>35</v>
      </c>
      <c r="M80" t="s">
        <v>29</v>
      </c>
      <c r="N80" t="s">
        <v>30</v>
      </c>
      <c r="O80">
        <v>37219</v>
      </c>
      <c r="P80" t="s">
        <v>3769</v>
      </c>
      <c r="Q80" s="2">
        <v>0.41</v>
      </c>
      <c r="R80" s="2">
        <v>130</v>
      </c>
      <c r="S80" s="2">
        <v>175</v>
      </c>
      <c r="T80" t="s">
        <v>3770</v>
      </c>
      <c r="U80" s="6">
        <v>16732</v>
      </c>
      <c r="V80" s="2">
        <v>47037015300</v>
      </c>
      <c r="W80" s="2" t="s">
        <v>68</v>
      </c>
      <c r="X80" s="1">
        <v>45658</v>
      </c>
      <c r="Y80" s="2">
        <v>2300</v>
      </c>
      <c r="Z80" s="2">
        <v>0</v>
      </c>
      <c r="AA80" s="2">
        <v>2300</v>
      </c>
    </row>
    <row r="81" spans="1:27" x14ac:dyDescent="0.3">
      <c r="A81" s="3">
        <v>15</v>
      </c>
      <c r="B81" s="2" t="str">
        <f>"06209005700"</f>
        <v>06209005700</v>
      </c>
      <c r="C81" s="2" t="s">
        <v>3771</v>
      </c>
      <c r="D81" t="s">
        <v>29</v>
      </c>
      <c r="E81" s="2" t="s">
        <v>30</v>
      </c>
      <c r="F81" s="2">
        <v>37214</v>
      </c>
      <c r="G81" s="2" t="s">
        <v>64</v>
      </c>
      <c r="H81" t="s">
        <v>280</v>
      </c>
      <c r="I81" s="6">
        <v>41080</v>
      </c>
      <c r="J81" s="2" t="s">
        <v>3772</v>
      </c>
      <c r="K81" s="2">
        <v>0</v>
      </c>
      <c r="L81" t="s">
        <v>35</v>
      </c>
      <c r="M81" t="s">
        <v>29</v>
      </c>
      <c r="N81" t="s">
        <v>30</v>
      </c>
      <c r="O81">
        <v>37219</v>
      </c>
      <c r="P81" t="s">
        <v>3773</v>
      </c>
      <c r="Q81" s="2">
        <v>0.43</v>
      </c>
      <c r="R81" s="2">
        <v>150</v>
      </c>
      <c r="S81" s="2">
        <v>135</v>
      </c>
      <c r="T81" t="s">
        <v>278</v>
      </c>
      <c r="U81" s="6">
        <v>34073</v>
      </c>
      <c r="V81" s="2">
        <v>47037015300</v>
      </c>
      <c r="W81" s="2" t="s">
        <v>68</v>
      </c>
      <c r="X81" s="1">
        <v>45658</v>
      </c>
      <c r="Y81" s="2">
        <v>2300</v>
      </c>
      <c r="Z81" s="2">
        <v>0</v>
      </c>
      <c r="AA81" s="2">
        <v>2300</v>
      </c>
    </row>
    <row r="82" spans="1:27" x14ac:dyDescent="0.3">
      <c r="A82" s="3">
        <v>15</v>
      </c>
      <c r="B82" s="2" t="str">
        <f>"06205003200"</f>
        <v>06205003200</v>
      </c>
      <c r="C82" s="2" t="s">
        <v>3774</v>
      </c>
      <c r="D82" t="s">
        <v>29</v>
      </c>
      <c r="E82" s="2" t="s">
        <v>30</v>
      </c>
      <c r="F82" s="2">
        <v>37214</v>
      </c>
      <c r="G82" s="2" t="s">
        <v>64</v>
      </c>
      <c r="H82" t="s">
        <v>280</v>
      </c>
      <c r="I82" s="6">
        <v>40905</v>
      </c>
      <c r="J82" s="2" t="s">
        <v>3775</v>
      </c>
      <c r="K82" s="2">
        <v>0</v>
      </c>
      <c r="L82" t="s">
        <v>35</v>
      </c>
      <c r="M82" t="s">
        <v>29</v>
      </c>
      <c r="N82" t="s">
        <v>30</v>
      </c>
      <c r="O82">
        <v>37219</v>
      </c>
      <c r="P82" t="s">
        <v>3776</v>
      </c>
      <c r="Q82" s="2">
        <v>0.36</v>
      </c>
      <c r="R82" s="2">
        <v>100</v>
      </c>
      <c r="S82" s="2">
        <v>158</v>
      </c>
      <c r="T82" t="s">
        <v>278</v>
      </c>
      <c r="U82" s="6">
        <v>31777</v>
      </c>
      <c r="V82" s="2">
        <v>47037015300</v>
      </c>
      <c r="W82" s="2" t="s">
        <v>68</v>
      </c>
      <c r="X82" s="1">
        <v>45658</v>
      </c>
      <c r="Y82" s="2">
        <v>2300</v>
      </c>
      <c r="Z82" s="2">
        <v>0</v>
      </c>
      <c r="AA82" s="2">
        <v>2300</v>
      </c>
    </row>
    <row r="83" spans="1:27" x14ac:dyDescent="0.3">
      <c r="A83" s="3">
        <v>15</v>
      </c>
      <c r="B83" s="2" t="str">
        <f>"06205003900"</f>
        <v>06205003900</v>
      </c>
      <c r="C83" s="2" t="s">
        <v>3777</v>
      </c>
      <c r="D83" t="s">
        <v>29</v>
      </c>
      <c r="E83" s="2" t="s">
        <v>30</v>
      </c>
      <c r="F83" s="2">
        <v>37214</v>
      </c>
      <c r="G83" s="2" t="s">
        <v>64</v>
      </c>
      <c r="H83" t="s">
        <v>280</v>
      </c>
      <c r="I83" s="6">
        <v>41075</v>
      </c>
      <c r="J83" s="2" t="s">
        <v>3778</v>
      </c>
      <c r="K83" s="2">
        <v>0</v>
      </c>
      <c r="L83" t="s">
        <v>35</v>
      </c>
      <c r="M83" t="s">
        <v>29</v>
      </c>
      <c r="N83" t="s">
        <v>30</v>
      </c>
      <c r="O83">
        <v>37219</v>
      </c>
      <c r="P83" t="s">
        <v>3779</v>
      </c>
      <c r="Q83" s="2">
        <v>0.17</v>
      </c>
      <c r="R83" s="2">
        <v>48</v>
      </c>
      <c r="S83" s="2">
        <v>145</v>
      </c>
      <c r="T83" t="s">
        <v>3780</v>
      </c>
      <c r="U83" s="6">
        <v>27085</v>
      </c>
      <c r="V83" s="2">
        <v>47037015300</v>
      </c>
      <c r="W83" s="2" t="s">
        <v>68</v>
      </c>
      <c r="X83" s="1">
        <v>45658</v>
      </c>
      <c r="Y83" s="2">
        <v>2300</v>
      </c>
      <c r="Z83" s="2">
        <v>0</v>
      </c>
      <c r="AA83" s="2">
        <v>2300</v>
      </c>
    </row>
    <row r="84" spans="1:27" x14ac:dyDescent="0.3">
      <c r="A84" s="3">
        <v>15</v>
      </c>
      <c r="B84" s="2" t="str">
        <f>"05213002600"</f>
        <v>05213002600</v>
      </c>
      <c r="C84" s="2" t="s">
        <v>3781</v>
      </c>
      <c r="D84" t="s">
        <v>29</v>
      </c>
      <c r="E84" s="2" t="s">
        <v>30</v>
      </c>
      <c r="F84" s="2">
        <v>37214</v>
      </c>
      <c r="G84" s="2" t="s">
        <v>64</v>
      </c>
      <c r="H84" t="s">
        <v>280</v>
      </c>
      <c r="I84" s="6">
        <v>40962</v>
      </c>
      <c r="J84" s="2" t="s">
        <v>3782</v>
      </c>
      <c r="K84" s="2">
        <v>0</v>
      </c>
      <c r="L84" t="s">
        <v>35</v>
      </c>
      <c r="M84" t="s">
        <v>29</v>
      </c>
      <c r="N84" t="s">
        <v>30</v>
      </c>
      <c r="O84">
        <v>37219</v>
      </c>
      <c r="P84" t="s">
        <v>3783</v>
      </c>
      <c r="Q84" s="2">
        <v>0.56000000000000005</v>
      </c>
      <c r="R84" s="2">
        <v>150</v>
      </c>
      <c r="S84" s="2">
        <v>158</v>
      </c>
      <c r="T84" t="s">
        <v>278</v>
      </c>
      <c r="U84" s="6">
        <v>29363</v>
      </c>
      <c r="V84" s="2">
        <v>47037015300</v>
      </c>
      <c r="W84" s="2" t="s">
        <v>68</v>
      </c>
      <c r="X84" s="1">
        <v>45658</v>
      </c>
      <c r="Y84" s="2">
        <v>2300</v>
      </c>
      <c r="Z84" s="2">
        <v>0</v>
      </c>
      <c r="AA84" s="2">
        <v>2300</v>
      </c>
    </row>
    <row r="85" spans="1:27" x14ac:dyDescent="0.3">
      <c r="A85" s="3">
        <v>15</v>
      </c>
      <c r="B85" s="2" t="str">
        <f>"06205002100"</f>
        <v>06205002100</v>
      </c>
      <c r="C85" s="2" t="s">
        <v>3784</v>
      </c>
      <c r="D85" t="s">
        <v>29</v>
      </c>
      <c r="E85" s="2" t="s">
        <v>30</v>
      </c>
      <c r="F85" s="2">
        <v>37214</v>
      </c>
      <c r="G85" s="2" t="s">
        <v>64</v>
      </c>
      <c r="H85" t="s">
        <v>280</v>
      </c>
      <c r="I85" s="6">
        <v>40926</v>
      </c>
      <c r="J85" s="2" t="s">
        <v>3785</v>
      </c>
      <c r="K85" s="2">
        <v>0</v>
      </c>
      <c r="L85" t="s">
        <v>35</v>
      </c>
      <c r="M85" t="s">
        <v>29</v>
      </c>
      <c r="N85" t="s">
        <v>30</v>
      </c>
      <c r="O85">
        <v>37219</v>
      </c>
      <c r="P85" t="s">
        <v>3786</v>
      </c>
      <c r="Q85" s="2">
        <v>0.15</v>
      </c>
      <c r="R85" s="2">
        <v>50</v>
      </c>
      <c r="S85" s="2">
        <v>130</v>
      </c>
      <c r="T85" t="s">
        <v>3680</v>
      </c>
      <c r="U85" s="6">
        <v>29060</v>
      </c>
      <c r="V85" s="2">
        <v>47037015300</v>
      </c>
      <c r="W85" s="2" t="s">
        <v>68</v>
      </c>
      <c r="X85" s="1">
        <v>45658</v>
      </c>
      <c r="Y85" s="2">
        <v>2300</v>
      </c>
      <c r="Z85" s="2">
        <v>0</v>
      </c>
      <c r="AA85" s="2">
        <v>2300</v>
      </c>
    </row>
    <row r="86" spans="1:27" x14ac:dyDescent="0.3">
      <c r="A86" s="3">
        <v>15</v>
      </c>
      <c r="B86" s="2" t="str">
        <f>"06201000100"</f>
        <v>06201000100</v>
      </c>
      <c r="C86" s="2" t="s">
        <v>3787</v>
      </c>
      <c r="D86" t="s">
        <v>29</v>
      </c>
      <c r="E86" s="2" t="s">
        <v>30</v>
      </c>
      <c r="F86" s="2">
        <v>37214</v>
      </c>
      <c r="G86" s="2" t="s">
        <v>64</v>
      </c>
      <c r="H86" t="s">
        <v>280</v>
      </c>
      <c r="I86" s="6">
        <v>40933</v>
      </c>
      <c r="J86" s="2" t="s">
        <v>3788</v>
      </c>
      <c r="K86" s="2">
        <v>0</v>
      </c>
      <c r="L86" t="s">
        <v>35</v>
      </c>
      <c r="M86" t="s">
        <v>29</v>
      </c>
      <c r="N86" t="s">
        <v>30</v>
      </c>
      <c r="O86">
        <v>37219</v>
      </c>
      <c r="P86" t="s">
        <v>3789</v>
      </c>
      <c r="Q86" s="2">
        <v>0.41</v>
      </c>
      <c r="R86" s="2">
        <v>120</v>
      </c>
      <c r="S86" s="2">
        <v>151</v>
      </c>
      <c r="T86" t="s">
        <v>198</v>
      </c>
      <c r="U86" s="6">
        <v>36803</v>
      </c>
      <c r="V86" s="2">
        <v>47037015300</v>
      </c>
      <c r="W86" s="2" t="s">
        <v>68</v>
      </c>
      <c r="X86" s="1">
        <v>45658</v>
      </c>
      <c r="Y86" s="2">
        <v>2300</v>
      </c>
      <c r="Z86" s="2">
        <v>0</v>
      </c>
      <c r="AA86" s="2">
        <v>2300</v>
      </c>
    </row>
    <row r="87" spans="1:27" x14ac:dyDescent="0.3">
      <c r="A87" s="3">
        <v>15</v>
      </c>
      <c r="B87" s="2" t="str">
        <f>"06201000200"</f>
        <v>06201000200</v>
      </c>
      <c r="C87" s="2" t="s">
        <v>3790</v>
      </c>
      <c r="D87" t="s">
        <v>29</v>
      </c>
      <c r="E87" s="2" t="s">
        <v>30</v>
      </c>
      <c r="F87" s="2">
        <v>37214</v>
      </c>
      <c r="G87" s="2" t="s">
        <v>64</v>
      </c>
      <c r="H87" t="s">
        <v>280</v>
      </c>
      <c r="I87" s="6">
        <v>40933</v>
      </c>
      <c r="J87" s="2" t="s">
        <v>3791</v>
      </c>
      <c r="K87" s="2">
        <v>0</v>
      </c>
      <c r="L87" t="s">
        <v>35</v>
      </c>
      <c r="M87" t="s">
        <v>29</v>
      </c>
      <c r="N87" t="s">
        <v>30</v>
      </c>
      <c r="O87">
        <v>37219</v>
      </c>
      <c r="P87" t="s">
        <v>3792</v>
      </c>
      <c r="Q87" s="2">
        <v>0.18</v>
      </c>
      <c r="R87" s="2">
        <v>120</v>
      </c>
      <c r="S87" s="2">
        <v>120</v>
      </c>
      <c r="T87" t="s">
        <v>3793</v>
      </c>
      <c r="U87" s="6">
        <v>36769</v>
      </c>
      <c r="V87" s="2">
        <v>47037015300</v>
      </c>
      <c r="W87" s="2" t="s">
        <v>68</v>
      </c>
      <c r="X87" s="1">
        <v>45658</v>
      </c>
      <c r="Y87" s="2">
        <v>2300</v>
      </c>
      <c r="Z87" s="2">
        <v>0</v>
      </c>
      <c r="AA87" s="2">
        <v>2300</v>
      </c>
    </row>
    <row r="88" spans="1:27" x14ac:dyDescent="0.3">
      <c r="A88" s="3">
        <v>15</v>
      </c>
      <c r="B88" s="2" t="str">
        <f>"06201002400"</f>
        <v>06201002400</v>
      </c>
      <c r="C88" s="2" t="s">
        <v>3794</v>
      </c>
      <c r="D88" t="s">
        <v>29</v>
      </c>
      <c r="E88" s="2" t="s">
        <v>30</v>
      </c>
      <c r="F88" s="2">
        <v>37214</v>
      </c>
      <c r="G88" s="2" t="s">
        <v>64</v>
      </c>
      <c r="H88" t="s">
        <v>280</v>
      </c>
      <c r="I88" s="6">
        <v>43266</v>
      </c>
      <c r="J88" s="2" t="s">
        <v>3795</v>
      </c>
      <c r="K88" s="2">
        <v>0</v>
      </c>
      <c r="L88" t="s">
        <v>1041</v>
      </c>
      <c r="M88" t="s">
        <v>29</v>
      </c>
      <c r="N88" t="s">
        <v>30</v>
      </c>
      <c r="O88">
        <v>37201</v>
      </c>
      <c r="P88" t="s">
        <v>3796</v>
      </c>
      <c r="Q88" s="2">
        <v>0.21</v>
      </c>
      <c r="R88" s="2">
        <v>50</v>
      </c>
      <c r="S88" s="2">
        <v>184</v>
      </c>
      <c r="T88" t="s">
        <v>3797</v>
      </c>
      <c r="U88" s="6">
        <v>23141</v>
      </c>
      <c r="V88" s="2">
        <v>47037015300</v>
      </c>
      <c r="W88" s="2" t="s">
        <v>68</v>
      </c>
      <c r="X88" s="1">
        <v>45658</v>
      </c>
      <c r="Y88" s="2">
        <v>2300</v>
      </c>
      <c r="Z88" s="2">
        <v>0</v>
      </c>
      <c r="AA88" s="2">
        <v>2300</v>
      </c>
    </row>
    <row r="89" spans="1:27" x14ac:dyDescent="0.3">
      <c r="A89" s="3">
        <v>15</v>
      </c>
      <c r="B89" s="2" t="str">
        <f>"06201002500"</f>
        <v>06201002500</v>
      </c>
      <c r="C89" s="2" t="s">
        <v>3798</v>
      </c>
      <c r="D89" t="s">
        <v>29</v>
      </c>
      <c r="E89" s="2" t="s">
        <v>30</v>
      </c>
      <c r="F89" s="2">
        <v>37214</v>
      </c>
      <c r="G89" s="2" t="s">
        <v>64</v>
      </c>
      <c r="H89" t="s">
        <v>280</v>
      </c>
      <c r="I89" s="6">
        <v>43266</v>
      </c>
      <c r="J89" s="2" t="s">
        <v>3799</v>
      </c>
      <c r="K89" s="2">
        <v>0</v>
      </c>
      <c r="L89" t="s">
        <v>1041</v>
      </c>
      <c r="M89" t="s">
        <v>29</v>
      </c>
      <c r="N89" t="s">
        <v>30</v>
      </c>
      <c r="O89">
        <v>37201</v>
      </c>
      <c r="P89" t="s">
        <v>3800</v>
      </c>
      <c r="Q89" s="2">
        <v>0.38</v>
      </c>
      <c r="R89" s="2">
        <v>100</v>
      </c>
      <c r="S89" s="2">
        <v>170</v>
      </c>
      <c r="T89" t="s">
        <v>3801</v>
      </c>
      <c r="U89" s="6">
        <v>22886</v>
      </c>
      <c r="V89" s="2">
        <v>47037015300</v>
      </c>
      <c r="W89" s="2" t="s">
        <v>68</v>
      </c>
      <c r="X89" s="1">
        <v>45658</v>
      </c>
      <c r="Y89" s="2">
        <v>2300</v>
      </c>
      <c r="Z89" s="2">
        <v>0</v>
      </c>
      <c r="AA89" s="2">
        <v>2300</v>
      </c>
    </row>
    <row r="90" spans="1:27" x14ac:dyDescent="0.3">
      <c r="A90" s="3">
        <v>15</v>
      </c>
      <c r="B90" s="2" t="str">
        <f>"06201003100"</f>
        <v>06201003100</v>
      </c>
      <c r="C90" s="2" t="s">
        <v>3802</v>
      </c>
      <c r="D90" t="s">
        <v>29</v>
      </c>
      <c r="E90" s="2" t="s">
        <v>30</v>
      </c>
      <c r="F90" s="2">
        <v>37214</v>
      </c>
      <c r="G90" s="2" t="s">
        <v>64</v>
      </c>
      <c r="H90" t="s">
        <v>280</v>
      </c>
      <c r="I90" s="6">
        <v>40920</v>
      </c>
      <c r="J90" s="2" t="s">
        <v>3803</v>
      </c>
      <c r="K90" s="2">
        <v>0</v>
      </c>
      <c r="L90" t="s">
        <v>35</v>
      </c>
      <c r="M90" t="s">
        <v>29</v>
      </c>
      <c r="N90" t="s">
        <v>30</v>
      </c>
      <c r="O90">
        <v>37219</v>
      </c>
      <c r="P90" t="s">
        <v>3804</v>
      </c>
      <c r="Q90" s="2">
        <v>0.48</v>
      </c>
      <c r="R90" s="2">
        <v>150</v>
      </c>
      <c r="S90" s="2">
        <v>123</v>
      </c>
      <c r="T90" t="s">
        <v>278</v>
      </c>
      <c r="U90" s="6">
        <v>34641</v>
      </c>
      <c r="V90" s="2">
        <v>47037015300</v>
      </c>
      <c r="W90" s="2" t="s">
        <v>68</v>
      </c>
      <c r="X90" s="1">
        <v>45658</v>
      </c>
      <c r="Y90" s="2">
        <v>2300</v>
      </c>
      <c r="Z90" s="2">
        <v>0</v>
      </c>
      <c r="AA90" s="2">
        <v>2300</v>
      </c>
    </row>
    <row r="91" spans="1:27" x14ac:dyDescent="0.3">
      <c r="A91" s="3">
        <v>15</v>
      </c>
      <c r="B91" s="2" t="str">
        <f>"06205001800"</f>
        <v>06205001800</v>
      </c>
      <c r="C91" s="2" t="s">
        <v>3805</v>
      </c>
      <c r="D91" t="s">
        <v>29</v>
      </c>
      <c r="E91" s="2" t="s">
        <v>30</v>
      </c>
      <c r="F91" s="2">
        <v>37214</v>
      </c>
      <c r="G91" s="2" t="s">
        <v>64</v>
      </c>
      <c r="H91" t="s">
        <v>280</v>
      </c>
      <c r="I91" s="6">
        <v>40907</v>
      </c>
      <c r="J91" s="2" t="s">
        <v>3806</v>
      </c>
      <c r="K91" s="2">
        <v>0</v>
      </c>
      <c r="L91" t="s">
        <v>35</v>
      </c>
      <c r="M91" t="s">
        <v>29</v>
      </c>
      <c r="N91" t="s">
        <v>30</v>
      </c>
      <c r="O91">
        <v>37219</v>
      </c>
      <c r="P91" t="s">
        <v>3807</v>
      </c>
      <c r="Q91" s="2">
        <v>0.41</v>
      </c>
      <c r="R91" s="2">
        <v>150</v>
      </c>
      <c r="S91" s="2">
        <v>131</v>
      </c>
      <c r="T91" t="s">
        <v>3808</v>
      </c>
      <c r="U91" s="6">
        <v>23630</v>
      </c>
      <c r="V91" s="2">
        <v>47037015300</v>
      </c>
      <c r="W91" s="2" t="s">
        <v>68</v>
      </c>
      <c r="X91" s="1">
        <v>45658</v>
      </c>
      <c r="Y91" s="2">
        <v>2300</v>
      </c>
      <c r="Z91" s="2">
        <v>0</v>
      </c>
      <c r="AA91" s="2">
        <v>2300</v>
      </c>
    </row>
    <row r="92" spans="1:27" x14ac:dyDescent="0.3">
      <c r="A92" s="3">
        <v>15</v>
      </c>
      <c r="B92" s="2" t="str">
        <f>"09400014000"</f>
        <v>09400014000</v>
      </c>
      <c r="C92" s="2" t="s">
        <v>3809</v>
      </c>
      <c r="D92" t="s">
        <v>29</v>
      </c>
      <c r="E92" s="2" t="s">
        <v>30</v>
      </c>
      <c r="F92" s="2">
        <v>37210</v>
      </c>
      <c r="G92" s="2" t="s">
        <v>1485</v>
      </c>
      <c r="H92" t="s">
        <v>280</v>
      </c>
      <c r="I92" s="6">
        <v>29924</v>
      </c>
      <c r="J92" s="2" t="s">
        <v>3810</v>
      </c>
      <c r="K92" s="2" t="s">
        <v>34</v>
      </c>
      <c r="L92" t="s">
        <v>35</v>
      </c>
      <c r="M92" t="s">
        <v>29</v>
      </c>
      <c r="N92" t="s">
        <v>30</v>
      </c>
      <c r="O92">
        <v>37219</v>
      </c>
      <c r="P92" t="s">
        <v>3811</v>
      </c>
      <c r="Q92" s="2">
        <v>2.74</v>
      </c>
      <c r="R92" s="2">
        <v>0</v>
      </c>
      <c r="S92" s="2">
        <v>406</v>
      </c>
      <c r="T92" t="s">
        <v>3812</v>
      </c>
      <c r="U92" s="6">
        <v>29671</v>
      </c>
      <c r="V92" s="2">
        <v>47037019600</v>
      </c>
      <c r="W92" s="2" t="s">
        <v>68</v>
      </c>
      <c r="X92" s="1">
        <v>45658</v>
      </c>
      <c r="Y92" s="2">
        <v>1781000</v>
      </c>
      <c r="Z92" s="2">
        <v>0</v>
      </c>
      <c r="AA92" s="2">
        <v>1781000</v>
      </c>
    </row>
    <row r="93" spans="1:27" x14ac:dyDescent="0.3">
      <c r="A93" s="3">
        <v>15</v>
      </c>
      <c r="B93" s="2" t="str">
        <f>"09400000800"</f>
        <v>09400000800</v>
      </c>
      <c r="C93" s="2" t="s">
        <v>3813</v>
      </c>
      <c r="D93" t="s">
        <v>29</v>
      </c>
      <c r="E93" s="2" t="s">
        <v>30</v>
      </c>
      <c r="F93" s="2">
        <v>37210</v>
      </c>
      <c r="G93" s="2" t="s">
        <v>1485</v>
      </c>
      <c r="H93" t="s">
        <v>280</v>
      </c>
      <c r="I93" s="6">
        <v>27395</v>
      </c>
      <c r="J93" s="2" t="s">
        <v>3814</v>
      </c>
      <c r="K93" s="2" t="s">
        <v>34</v>
      </c>
      <c r="L93" t="s">
        <v>35</v>
      </c>
      <c r="M93" t="s">
        <v>29</v>
      </c>
      <c r="N93" t="s">
        <v>30</v>
      </c>
      <c r="O93">
        <v>37219</v>
      </c>
      <c r="P93" t="s">
        <v>3815</v>
      </c>
      <c r="Q93" s="2">
        <v>0.36</v>
      </c>
      <c r="R93" s="2">
        <v>60</v>
      </c>
      <c r="S93" s="2">
        <v>300</v>
      </c>
      <c r="T93" t="s">
        <v>3816</v>
      </c>
      <c r="U93" s="6">
        <v>33403</v>
      </c>
      <c r="V93" s="2">
        <v>47037019600</v>
      </c>
      <c r="W93" s="2" t="s">
        <v>68</v>
      </c>
      <c r="X93" s="1">
        <v>45658</v>
      </c>
      <c r="Y93" s="2">
        <v>49400</v>
      </c>
      <c r="Z93" s="2">
        <v>0</v>
      </c>
      <c r="AA93" s="2">
        <v>49400</v>
      </c>
    </row>
    <row r="94" spans="1:27" x14ac:dyDescent="0.3">
      <c r="A94" s="3">
        <v>15</v>
      </c>
      <c r="B94" s="2" t="str">
        <f>"09400002300"</f>
        <v>09400002300</v>
      </c>
      <c r="C94" s="2" t="s">
        <v>3817</v>
      </c>
      <c r="D94" t="s">
        <v>29</v>
      </c>
      <c r="E94" s="2" t="s">
        <v>30</v>
      </c>
      <c r="F94" s="2">
        <v>37210</v>
      </c>
      <c r="G94" s="2" t="s">
        <v>152</v>
      </c>
      <c r="H94" t="s">
        <v>280</v>
      </c>
      <c r="I94" s="6">
        <v>132</v>
      </c>
      <c r="J94" s="2" t="s">
        <v>3818</v>
      </c>
      <c r="K94" s="2" t="s">
        <v>34</v>
      </c>
      <c r="L94" t="s">
        <v>35</v>
      </c>
      <c r="M94" t="s">
        <v>29</v>
      </c>
      <c r="N94" t="s">
        <v>30</v>
      </c>
      <c r="O94">
        <v>37219</v>
      </c>
      <c r="P94" t="s">
        <v>3819</v>
      </c>
      <c r="Q94" s="2">
        <v>9.91</v>
      </c>
      <c r="R94" s="2">
        <v>0</v>
      </c>
      <c r="S94" s="2">
        <v>0</v>
      </c>
      <c r="T94" t="s">
        <v>3816</v>
      </c>
      <c r="U94" s="6">
        <v>33403</v>
      </c>
      <c r="V94" s="2">
        <v>47037019600</v>
      </c>
      <c r="W94" s="2" t="s">
        <v>68</v>
      </c>
      <c r="X94" s="1">
        <v>45658</v>
      </c>
      <c r="Y94" s="2">
        <v>5450500</v>
      </c>
      <c r="Z94" s="2">
        <v>0</v>
      </c>
      <c r="AA94" s="2">
        <v>5450500</v>
      </c>
    </row>
    <row r="95" spans="1:27" x14ac:dyDescent="0.3">
      <c r="A95" s="3">
        <v>15</v>
      </c>
      <c r="B95" s="2" t="str">
        <f>"09400000600"</f>
        <v>09400000600</v>
      </c>
      <c r="C95" s="2" t="s">
        <v>3817</v>
      </c>
      <c r="D95" t="s">
        <v>29</v>
      </c>
      <c r="E95" s="2" t="s">
        <v>30</v>
      </c>
      <c r="F95" s="2">
        <v>37210</v>
      </c>
      <c r="G95" s="2" t="s">
        <v>152</v>
      </c>
      <c r="H95" t="s">
        <v>280</v>
      </c>
      <c r="I95" s="6">
        <v>132</v>
      </c>
      <c r="J95" s="2" t="s">
        <v>3820</v>
      </c>
      <c r="K95" s="2" t="s">
        <v>34</v>
      </c>
      <c r="L95" t="s">
        <v>35</v>
      </c>
      <c r="M95" t="s">
        <v>29</v>
      </c>
      <c r="N95" t="s">
        <v>30</v>
      </c>
      <c r="O95">
        <v>37219</v>
      </c>
      <c r="P95" t="s">
        <v>3821</v>
      </c>
      <c r="Q95" s="2">
        <v>4.41</v>
      </c>
      <c r="R95" s="2">
        <v>0</v>
      </c>
      <c r="S95" s="2">
        <v>0</v>
      </c>
      <c r="T95" t="s">
        <v>3822</v>
      </c>
      <c r="U95" s="6">
        <v>33403</v>
      </c>
      <c r="V95" s="2">
        <v>47037019600</v>
      </c>
      <c r="W95" s="2" t="s">
        <v>68</v>
      </c>
      <c r="X95" s="1">
        <v>45658</v>
      </c>
      <c r="Y95" s="2">
        <v>1190700</v>
      </c>
      <c r="Z95" s="2">
        <v>0</v>
      </c>
      <c r="AA95" s="2">
        <v>1190700</v>
      </c>
    </row>
    <row r="96" spans="1:27" x14ac:dyDescent="0.3">
      <c r="A96" s="3">
        <v>15</v>
      </c>
      <c r="B96" s="2" t="str">
        <f>"09400003900"</f>
        <v>09400003900</v>
      </c>
      <c r="C96" s="2" t="s">
        <v>3823</v>
      </c>
      <c r="D96" t="s">
        <v>29</v>
      </c>
      <c r="E96" s="2" t="s">
        <v>30</v>
      </c>
      <c r="F96" s="2">
        <v>37210</v>
      </c>
      <c r="G96" s="2" t="s">
        <v>330</v>
      </c>
      <c r="H96" t="s">
        <v>280</v>
      </c>
      <c r="I96" s="6">
        <v>41143</v>
      </c>
      <c r="J96" s="2" t="s">
        <v>3824</v>
      </c>
      <c r="K96" s="2">
        <v>0</v>
      </c>
      <c r="L96" t="s">
        <v>35</v>
      </c>
      <c r="M96" t="s">
        <v>29</v>
      </c>
      <c r="N96" t="s">
        <v>30</v>
      </c>
      <c r="O96">
        <v>37219</v>
      </c>
      <c r="P96" t="s">
        <v>3825</v>
      </c>
      <c r="Q96" s="2">
        <v>127.25</v>
      </c>
      <c r="R96" s="2">
        <v>817</v>
      </c>
      <c r="S96" s="2">
        <v>0</v>
      </c>
      <c r="T96" t="s">
        <v>198</v>
      </c>
      <c r="U96" s="6">
        <v>42370</v>
      </c>
      <c r="V96" s="2">
        <v>47037019600</v>
      </c>
      <c r="W96" s="2" t="s">
        <v>68</v>
      </c>
      <c r="X96" s="1">
        <v>45658</v>
      </c>
      <c r="Y96" s="2">
        <v>49270300</v>
      </c>
      <c r="Z96" s="2">
        <v>279000</v>
      </c>
      <c r="AA96" s="2">
        <v>48991300</v>
      </c>
    </row>
    <row r="97" spans="1:27" x14ac:dyDescent="0.3">
      <c r="A97" s="3">
        <v>15</v>
      </c>
      <c r="B97" s="2" t="str">
        <f>"09400000400"</f>
        <v>09400000400</v>
      </c>
      <c r="C97" s="2" t="s">
        <v>3826</v>
      </c>
      <c r="D97" t="s">
        <v>29</v>
      </c>
      <c r="E97" s="2" t="s">
        <v>30</v>
      </c>
      <c r="F97" s="2">
        <v>37210</v>
      </c>
      <c r="G97" s="2" t="s">
        <v>152</v>
      </c>
      <c r="H97" t="s">
        <v>280</v>
      </c>
      <c r="I97" s="6">
        <v>27395</v>
      </c>
      <c r="J97" s="2" t="s">
        <v>3827</v>
      </c>
      <c r="K97" s="2" t="s">
        <v>34</v>
      </c>
      <c r="L97" t="s">
        <v>35</v>
      </c>
      <c r="M97" t="s">
        <v>29</v>
      </c>
      <c r="N97" t="s">
        <v>30</v>
      </c>
      <c r="O97">
        <v>37219</v>
      </c>
      <c r="P97" t="s">
        <v>3828</v>
      </c>
      <c r="Q97" s="2">
        <v>25.8</v>
      </c>
      <c r="R97" s="2">
        <v>0</v>
      </c>
      <c r="S97" s="2">
        <v>0</v>
      </c>
      <c r="T97" t="s">
        <v>3829</v>
      </c>
      <c r="U97" s="6">
        <v>39843</v>
      </c>
      <c r="V97" s="2">
        <v>47037019600</v>
      </c>
      <c r="W97" s="2" t="s">
        <v>68</v>
      </c>
      <c r="X97" s="1">
        <v>45658</v>
      </c>
      <c r="Y97" s="2">
        <v>17442000</v>
      </c>
      <c r="Z97" s="2">
        <v>27000</v>
      </c>
      <c r="AA97" s="2">
        <v>17415000</v>
      </c>
    </row>
    <row r="98" spans="1:27" x14ac:dyDescent="0.3">
      <c r="A98" s="3">
        <v>15</v>
      </c>
      <c r="B98" s="2" t="str">
        <f>"09400000500"</f>
        <v>09400000500</v>
      </c>
      <c r="C98" s="2" t="s">
        <v>3699</v>
      </c>
      <c r="D98" t="s">
        <v>29</v>
      </c>
      <c r="E98" s="2" t="s">
        <v>30</v>
      </c>
      <c r="F98" s="2">
        <v>37210</v>
      </c>
      <c r="G98" s="2" t="s">
        <v>1485</v>
      </c>
      <c r="H98" t="s">
        <v>280</v>
      </c>
      <c r="I98" s="6">
        <v>132</v>
      </c>
      <c r="J98" s="2" t="s">
        <v>3818</v>
      </c>
      <c r="K98" s="2" t="s">
        <v>34</v>
      </c>
      <c r="L98" t="s">
        <v>35</v>
      </c>
      <c r="M98" t="s">
        <v>29</v>
      </c>
      <c r="N98" t="s">
        <v>30</v>
      </c>
      <c r="O98">
        <v>37219</v>
      </c>
      <c r="P98" t="s">
        <v>3830</v>
      </c>
      <c r="Q98" s="2">
        <v>1.98</v>
      </c>
      <c r="R98" s="2">
        <v>0</v>
      </c>
      <c r="S98" s="2">
        <v>0</v>
      </c>
      <c r="T98" t="s">
        <v>3831</v>
      </c>
      <c r="U98" s="6">
        <v>33437</v>
      </c>
      <c r="V98" s="2">
        <v>47037019600</v>
      </c>
      <c r="W98" s="2" t="s">
        <v>68</v>
      </c>
      <c r="X98" s="1">
        <v>45658</v>
      </c>
      <c r="Y98" s="2">
        <v>544500</v>
      </c>
      <c r="Z98" s="2">
        <v>0</v>
      </c>
      <c r="AA98" s="2">
        <v>544500</v>
      </c>
    </row>
    <row r="99" spans="1:27" x14ac:dyDescent="0.3">
      <c r="A99" s="3">
        <v>15</v>
      </c>
      <c r="B99" s="2" t="str">
        <f>"09400001700"</f>
        <v>09400001700</v>
      </c>
      <c r="C99" s="2" t="s">
        <v>3832</v>
      </c>
      <c r="D99" t="s">
        <v>29</v>
      </c>
      <c r="E99" s="2" t="s">
        <v>30</v>
      </c>
      <c r="F99" s="2">
        <v>37210</v>
      </c>
      <c r="G99" s="2" t="s">
        <v>1485</v>
      </c>
      <c r="H99" t="s">
        <v>3833</v>
      </c>
      <c r="I99" s="6">
        <v>30890</v>
      </c>
      <c r="J99" s="2" t="s">
        <v>3834</v>
      </c>
      <c r="K99" s="2">
        <v>90000</v>
      </c>
      <c r="L99" t="s">
        <v>35</v>
      </c>
      <c r="M99" t="s">
        <v>29</v>
      </c>
      <c r="N99" t="s">
        <v>30</v>
      </c>
      <c r="O99">
        <v>37219</v>
      </c>
      <c r="P99" t="s">
        <v>3835</v>
      </c>
      <c r="Q99" s="2">
        <v>11.51</v>
      </c>
      <c r="R99" s="2">
        <v>0</v>
      </c>
      <c r="S99" s="2">
        <v>0</v>
      </c>
      <c r="T99" t="s">
        <v>3836</v>
      </c>
      <c r="U99" s="6">
        <v>33433</v>
      </c>
      <c r="V99" s="2">
        <v>47037019600</v>
      </c>
      <c r="W99" s="2" t="s">
        <v>68</v>
      </c>
      <c r="X99" s="1">
        <v>45658</v>
      </c>
      <c r="Y99" s="2">
        <v>9350000</v>
      </c>
      <c r="Z99" s="2">
        <v>0</v>
      </c>
      <c r="AA99" s="2">
        <v>9350000</v>
      </c>
    </row>
    <row r="100" spans="1:27" x14ac:dyDescent="0.3">
      <c r="A100" s="3">
        <v>15</v>
      </c>
      <c r="B100" s="2" t="str">
        <f>"09615003200"</f>
        <v>09615003200</v>
      </c>
      <c r="C100" s="2" t="s">
        <v>3837</v>
      </c>
      <c r="D100" t="s">
        <v>29</v>
      </c>
      <c r="E100" s="2" t="s">
        <v>30</v>
      </c>
      <c r="F100" s="2">
        <v>37214</v>
      </c>
      <c r="G100" s="2" t="s">
        <v>64</v>
      </c>
      <c r="H100" t="s">
        <v>379</v>
      </c>
      <c r="I100" s="6">
        <v>44517</v>
      </c>
      <c r="J100" s="2" t="s">
        <v>3838</v>
      </c>
      <c r="K100" s="2" t="s">
        <v>34</v>
      </c>
      <c r="L100" t="s">
        <v>315</v>
      </c>
      <c r="M100" t="s">
        <v>29</v>
      </c>
      <c r="N100" t="s">
        <v>30</v>
      </c>
      <c r="O100">
        <v>37208</v>
      </c>
      <c r="P100" t="s">
        <v>3839</v>
      </c>
      <c r="Q100" s="2">
        <v>0.32</v>
      </c>
      <c r="R100" s="2">
        <v>71</v>
      </c>
      <c r="S100" s="2">
        <v>145</v>
      </c>
      <c r="T100" t="s">
        <v>3840</v>
      </c>
      <c r="U100" s="6">
        <v>26464</v>
      </c>
      <c r="V100" s="2">
        <v>47037015502</v>
      </c>
      <c r="W100" s="2" t="s">
        <v>68</v>
      </c>
      <c r="X100" s="1">
        <v>45658</v>
      </c>
      <c r="Y100" s="2">
        <v>82000</v>
      </c>
      <c r="Z100" s="2">
        <v>0</v>
      </c>
      <c r="AA100" s="2">
        <v>82000</v>
      </c>
    </row>
    <row r="101" spans="1:27" x14ac:dyDescent="0.3">
      <c r="A101" s="3">
        <v>15</v>
      </c>
      <c r="B101" s="2" t="str">
        <f>"09614021500"</f>
        <v>09614021500</v>
      </c>
      <c r="C101" s="2" t="s">
        <v>3841</v>
      </c>
      <c r="D101" t="s">
        <v>29</v>
      </c>
      <c r="E101" s="2" t="s">
        <v>30</v>
      </c>
      <c r="F101" s="2">
        <v>37214</v>
      </c>
      <c r="G101" s="2" t="s">
        <v>64</v>
      </c>
      <c r="H101" t="s">
        <v>379</v>
      </c>
      <c r="I101" s="6">
        <v>44505</v>
      </c>
      <c r="J101" s="2" t="s">
        <v>3842</v>
      </c>
      <c r="K101" s="2" t="s">
        <v>34</v>
      </c>
      <c r="L101" t="s">
        <v>315</v>
      </c>
      <c r="M101" t="s">
        <v>29</v>
      </c>
      <c r="N101" t="s">
        <v>30</v>
      </c>
      <c r="O101">
        <v>37208</v>
      </c>
      <c r="P101" t="s">
        <v>3843</v>
      </c>
      <c r="Q101" s="2">
        <v>0.34</v>
      </c>
      <c r="R101" s="2">
        <v>75</v>
      </c>
      <c r="S101" s="2">
        <v>200</v>
      </c>
      <c r="T101" t="s">
        <v>3844</v>
      </c>
      <c r="U101" s="6">
        <v>27269</v>
      </c>
      <c r="V101" s="2">
        <v>47037015502</v>
      </c>
      <c r="W101" s="2" t="s">
        <v>68</v>
      </c>
      <c r="X101" s="1">
        <v>45658</v>
      </c>
      <c r="Y101" s="2">
        <v>82000</v>
      </c>
      <c r="Z101" s="2">
        <v>0</v>
      </c>
      <c r="AA101" s="2">
        <v>82000</v>
      </c>
    </row>
    <row r="102" spans="1:27" x14ac:dyDescent="0.3">
      <c r="A102" s="3">
        <v>15</v>
      </c>
      <c r="B102" s="2" t="str">
        <f>"06213014300"</f>
        <v>06213014300</v>
      </c>
      <c r="C102" s="2" t="s">
        <v>3845</v>
      </c>
      <c r="D102" t="s">
        <v>29</v>
      </c>
      <c r="E102" s="2" t="s">
        <v>30</v>
      </c>
      <c r="F102" s="2">
        <v>37214</v>
      </c>
      <c r="G102" s="2" t="s">
        <v>64</v>
      </c>
      <c r="H102" t="s">
        <v>379</v>
      </c>
      <c r="I102" s="6">
        <v>41061</v>
      </c>
      <c r="J102" s="2" t="s">
        <v>3846</v>
      </c>
      <c r="K102" s="2">
        <v>0</v>
      </c>
      <c r="L102" t="s">
        <v>651</v>
      </c>
      <c r="M102" t="s">
        <v>29</v>
      </c>
      <c r="N102" t="s">
        <v>30</v>
      </c>
      <c r="O102">
        <v>37208</v>
      </c>
      <c r="P102" t="s">
        <v>3847</v>
      </c>
      <c r="Q102" s="2">
        <v>0.32</v>
      </c>
      <c r="R102" s="2">
        <v>100</v>
      </c>
      <c r="S102" s="2">
        <v>210</v>
      </c>
      <c r="T102" t="s">
        <v>3848</v>
      </c>
      <c r="U102" s="6">
        <v>41061</v>
      </c>
      <c r="V102" s="2">
        <v>47037015300</v>
      </c>
      <c r="W102" s="2" t="s">
        <v>68</v>
      </c>
      <c r="X102" s="1">
        <v>45658</v>
      </c>
      <c r="Y102" s="2">
        <v>2300</v>
      </c>
      <c r="Z102" s="2">
        <v>0</v>
      </c>
      <c r="AA102" s="2">
        <v>2300</v>
      </c>
    </row>
    <row r="103" spans="1:27" x14ac:dyDescent="0.3">
      <c r="A103" s="3">
        <v>15</v>
      </c>
      <c r="B103" s="2" t="str">
        <f>"06205003800"</f>
        <v>06205003800</v>
      </c>
      <c r="C103" s="2" t="s">
        <v>3849</v>
      </c>
      <c r="D103" t="s">
        <v>29</v>
      </c>
      <c r="E103" s="2" t="s">
        <v>30</v>
      </c>
      <c r="F103" s="2">
        <v>37214</v>
      </c>
      <c r="G103" s="2" t="s">
        <v>64</v>
      </c>
      <c r="H103" t="s">
        <v>379</v>
      </c>
      <c r="I103" s="6">
        <v>43256</v>
      </c>
      <c r="J103" s="2" t="s">
        <v>3850</v>
      </c>
      <c r="K103" s="2">
        <v>0</v>
      </c>
      <c r="L103" t="s">
        <v>651</v>
      </c>
      <c r="M103" t="s">
        <v>29</v>
      </c>
      <c r="N103" t="s">
        <v>30</v>
      </c>
      <c r="O103">
        <v>37208</v>
      </c>
      <c r="P103" t="s">
        <v>3851</v>
      </c>
      <c r="Q103" s="2">
        <v>0.34</v>
      </c>
      <c r="R103" s="2">
        <v>100</v>
      </c>
      <c r="S103" s="2">
        <v>142</v>
      </c>
      <c r="T103" t="s">
        <v>3852</v>
      </c>
      <c r="U103" s="6">
        <v>26450</v>
      </c>
      <c r="V103" s="2">
        <v>47037015300</v>
      </c>
      <c r="W103" s="2" t="s">
        <v>68</v>
      </c>
      <c r="X103" s="1">
        <v>45658</v>
      </c>
      <c r="Y103" s="2">
        <v>2300</v>
      </c>
      <c r="Z103" s="2">
        <v>0</v>
      </c>
      <c r="AA103" s="2">
        <v>2300</v>
      </c>
    </row>
    <row r="104" spans="1:27" x14ac:dyDescent="0.3">
      <c r="A104" s="3">
        <v>15</v>
      </c>
      <c r="B104" s="2" t="str">
        <f>"06213012200"</f>
        <v>06213012200</v>
      </c>
      <c r="C104" s="2" t="s">
        <v>3853</v>
      </c>
      <c r="D104" t="s">
        <v>29</v>
      </c>
      <c r="E104" s="2" t="s">
        <v>30</v>
      </c>
      <c r="F104" s="2">
        <v>37214</v>
      </c>
      <c r="G104" s="2" t="s">
        <v>64</v>
      </c>
      <c r="H104" t="s">
        <v>379</v>
      </c>
      <c r="I104" s="6">
        <v>41061</v>
      </c>
      <c r="J104" s="2" t="s">
        <v>3846</v>
      </c>
      <c r="K104" s="2">
        <v>0</v>
      </c>
      <c r="L104" t="s">
        <v>651</v>
      </c>
      <c r="M104" t="s">
        <v>29</v>
      </c>
      <c r="N104" t="s">
        <v>30</v>
      </c>
      <c r="O104">
        <v>37208</v>
      </c>
      <c r="P104" t="s">
        <v>3854</v>
      </c>
      <c r="Q104" s="2">
        <v>0.32</v>
      </c>
      <c r="R104" s="2">
        <v>89</v>
      </c>
      <c r="S104" s="2">
        <v>207</v>
      </c>
      <c r="T104" t="s">
        <v>3848</v>
      </c>
      <c r="U104" s="6">
        <v>41061</v>
      </c>
      <c r="V104" s="2">
        <v>47037015300</v>
      </c>
      <c r="W104" s="2" t="s">
        <v>68</v>
      </c>
      <c r="X104" s="1">
        <v>45658</v>
      </c>
      <c r="Y104" s="2">
        <v>170000</v>
      </c>
      <c r="Z104" s="2">
        <v>0</v>
      </c>
      <c r="AA104" s="2">
        <v>170000</v>
      </c>
    </row>
    <row r="105" spans="1:27" x14ac:dyDescent="0.3">
      <c r="A105" s="3">
        <v>15</v>
      </c>
      <c r="B105" s="2" t="str">
        <f>"10802011200"</f>
        <v>10802011200</v>
      </c>
      <c r="C105" s="2" t="s">
        <v>3855</v>
      </c>
      <c r="D105" t="s">
        <v>29</v>
      </c>
      <c r="E105" s="2" t="s">
        <v>30</v>
      </c>
      <c r="F105" s="2">
        <v>37214</v>
      </c>
      <c r="G105" s="2" t="s">
        <v>64</v>
      </c>
      <c r="H105" t="s">
        <v>2687</v>
      </c>
      <c r="I105" s="6">
        <v>33798</v>
      </c>
      <c r="J105" s="2" t="s">
        <v>3856</v>
      </c>
      <c r="K105" s="2">
        <v>0</v>
      </c>
      <c r="L105" t="s">
        <v>2689</v>
      </c>
      <c r="M105" t="s">
        <v>29</v>
      </c>
      <c r="N105" t="s">
        <v>30</v>
      </c>
      <c r="O105">
        <v>37214</v>
      </c>
      <c r="P105" t="s">
        <v>3857</v>
      </c>
      <c r="Q105" s="2">
        <v>45.76</v>
      </c>
      <c r="R105" s="2">
        <v>0</v>
      </c>
      <c r="S105" s="2">
        <v>0</v>
      </c>
      <c r="T105" t="s">
        <v>3858</v>
      </c>
      <c r="U105" s="6">
        <v>35156</v>
      </c>
      <c r="V105" s="2">
        <v>47037015502</v>
      </c>
      <c r="W105" s="2" t="s">
        <v>68</v>
      </c>
      <c r="X105" s="1">
        <v>45658</v>
      </c>
      <c r="Y105" s="2">
        <v>148700</v>
      </c>
      <c r="Z105" s="2">
        <v>0</v>
      </c>
      <c r="AA105" s="2">
        <v>148700</v>
      </c>
    </row>
    <row r="106" spans="1:27" x14ac:dyDescent="0.3">
      <c r="A106" s="3">
        <v>15</v>
      </c>
      <c r="B106" s="2" t="str">
        <f>"09614014600"</f>
        <v>09614014600</v>
      </c>
      <c r="C106" s="2" t="s">
        <v>3859</v>
      </c>
      <c r="D106" t="s">
        <v>29</v>
      </c>
      <c r="E106" s="2" t="s">
        <v>30</v>
      </c>
      <c r="F106" s="2">
        <v>37214</v>
      </c>
      <c r="G106" s="2" t="s">
        <v>64</v>
      </c>
      <c r="H106" t="s">
        <v>2687</v>
      </c>
      <c r="I106" s="6">
        <v>32934</v>
      </c>
      <c r="J106" s="2" t="s">
        <v>3860</v>
      </c>
      <c r="K106" s="2">
        <v>96000</v>
      </c>
      <c r="L106" t="s">
        <v>2689</v>
      </c>
      <c r="M106" t="s">
        <v>29</v>
      </c>
      <c r="N106" t="s">
        <v>30</v>
      </c>
      <c r="O106">
        <v>37214</v>
      </c>
      <c r="P106" t="s">
        <v>3861</v>
      </c>
      <c r="Q106" s="2">
        <v>0.72</v>
      </c>
      <c r="R106" s="2">
        <v>185</v>
      </c>
      <c r="S106" s="2">
        <v>209</v>
      </c>
      <c r="T106" t="s">
        <v>278</v>
      </c>
      <c r="U106" s="6">
        <v>33871</v>
      </c>
      <c r="V106" s="2">
        <v>47037015502</v>
      </c>
      <c r="W106" s="2" t="s">
        <v>68</v>
      </c>
      <c r="X106" s="1">
        <v>45658</v>
      </c>
      <c r="Y106" s="2">
        <v>3300</v>
      </c>
      <c r="Z106" s="2">
        <v>0</v>
      </c>
      <c r="AA106" s="2">
        <v>3300</v>
      </c>
    </row>
    <row r="107" spans="1:27" x14ac:dyDescent="0.3">
      <c r="A107" s="3">
        <v>15</v>
      </c>
      <c r="B107" s="2" t="str">
        <f>"09614014800"</f>
        <v>09614014800</v>
      </c>
      <c r="C107" s="2" t="s">
        <v>3862</v>
      </c>
      <c r="D107" t="s">
        <v>29</v>
      </c>
      <c r="E107" s="2" t="s">
        <v>30</v>
      </c>
      <c r="F107" s="2">
        <v>37214</v>
      </c>
      <c r="G107" s="2" t="s">
        <v>64</v>
      </c>
      <c r="H107" t="s">
        <v>2687</v>
      </c>
      <c r="I107" s="6">
        <v>33431</v>
      </c>
      <c r="J107" s="2" t="s">
        <v>3863</v>
      </c>
      <c r="K107" s="2">
        <v>71000</v>
      </c>
      <c r="L107" t="s">
        <v>2689</v>
      </c>
      <c r="M107" t="s">
        <v>29</v>
      </c>
      <c r="N107" t="s">
        <v>30</v>
      </c>
      <c r="O107">
        <v>37214</v>
      </c>
      <c r="P107" t="s">
        <v>3864</v>
      </c>
      <c r="Q107" s="2">
        <v>0.25</v>
      </c>
      <c r="R107" s="2">
        <v>100</v>
      </c>
      <c r="S107" s="2">
        <v>164</v>
      </c>
      <c r="T107" t="s">
        <v>3865</v>
      </c>
      <c r="U107" s="6">
        <v>21906</v>
      </c>
      <c r="V107" s="2">
        <v>47037015502</v>
      </c>
      <c r="W107" s="2" t="s">
        <v>68</v>
      </c>
      <c r="X107" s="1">
        <v>45658</v>
      </c>
      <c r="Y107" s="2">
        <v>82000</v>
      </c>
      <c r="Z107" s="2">
        <v>0</v>
      </c>
      <c r="AA107" s="2">
        <v>82000</v>
      </c>
    </row>
    <row r="108" spans="1:27" x14ac:dyDescent="0.3">
      <c r="A108" s="3">
        <v>15</v>
      </c>
      <c r="B108" s="2" t="str">
        <f>"09614014100"</f>
        <v>09614014100</v>
      </c>
      <c r="C108" s="2" t="s">
        <v>3866</v>
      </c>
      <c r="D108" t="s">
        <v>29</v>
      </c>
      <c r="E108" s="2" t="s">
        <v>30</v>
      </c>
      <c r="F108" s="2">
        <v>37214</v>
      </c>
      <c r="G108" s="2" t="s">
        <v>64</v>
      </c>
      <c r="H108" t="s">
        <v>2687</v>
      </c>
      <c r="I108" s="6">
        <v>33959</v>
      </c>
      <c r="J108" s="2" t="s">
        <v>3867</v>
      </c>
      <c r="K108" s="2" t="s">
        <v>34</v>
      </c>
      <c r="L108" t="s">
        <v>2689</v>
      </c>
      <c r="M108" t="s">
        <v>29</v>
      </c>
      <c r="N108" t="s">
        <v>30</v>
      </c>
      <c r="O108">
        <v>37214</v>
      </c>
      <c r="P108" t="s">
        <v>3868</v>
      </c>
      <c r="Q108" s="2">
        <v>0.35</v>
      </c>
      <c r="R108" s="2">
        <v>93</v>
      </c>
      <c r="S108" s="2">
        <v>130</v>
      </c>
      <c r="T108" t="s">
        <v>3869</v>
      </c>
      <c r="U108" s="6">
        <v>20719</v>
      </c>
      <c r="V108" s="2">
        <v>47037015502</v>
      </c>
      <c r="W108" s="2" t="s">
        <v>68</v>
      </c>
      <c r="X108" s="1">
        <v>45658</v>
      </c>
      <c r="Y108" s="2">
        <v>3300</v>
      </c>
      <c r="Z108" s="2">
        <v>0</v>
      </c>
      <c r="AA108" s="2">
        <v>3300</v>
      </c>
    </row>
    <row r="109" spans="1:27" x14ac:dyDescent="0.3">
      <c r="A109" s="3">
        <v>15</v>
      </c>
      <c r="B109" s="2" t="str">
        <f>"09614014500"</f>
        <v>09614014500</v>
      </c>
      <c r="C109" s="2" t="s">
        <v>3870</v>
      </c>
      <c r="D109" t="s">
        <v>29</v>
      </c>
      <c r="E109" s="2" t="s">
        <v>30</v>
      </c>
      <c r="F109" s="2">
        <v>37214</v>
      </c>
      <c r="G109" s="2" t="s">
        <v>64</v>
      </c>
      <c r="H109" t="s">
        <v>2687</v>
      </c>
      <c r="I109" s="6">
        <v>33534</v>
      </c>
      <c r="J109" s="2" t="s">
        <v>3871</v>
      </c>
      <c r="K109" s="2">
        <v>81000</v>
      </c>
      <c r="L109" t="s">
        <v>2689</v>
      </c>
      <c r="M109" t="s">
        <v>29</v>
      </c>
      <c r="N109" t="s">
        <v>30</v>
      </c>
      <c r="O109">
        <v>37214</v>
      </c>
      <c r="P109" t="s">
        <v>3872</v>
      </c>
      <c r="Q109" s="2">
        <v>0.48</v>
      </c>
      <c r="R109" s="2">
        <v>97</v>
      </c>
      <c r="S109" s="2">
        <v>225</v>
      </c>
      <c r="T109" t="s">
        <v>3873</v>
      </c>
      <c r="U109" s="6">
        <v>20624</v>
      </c>
      <c r="V109" s="2">
        <v>47037015502</v>
      </c>
      <c r="W109" s="2" t="s">
        <v>68</v>
      </c>
      <c r="X109" s="1">
        <v>45658</v>
      </c>
      <c r="Y109" s="2">
        <v>3300</v>
      </c>
      <c r="Z109" s="2">
        <v>0</v>
      </c>
      <c r="AA109" s="2">
        <v>3300</v>
      </c>
    </row>
    <row r="110" spans="1:27" x14ac:dyDescent="0.3">
      <c r="A110" s="3">
        <v>15</v>
      </c>
      <c r="B110" s="2" t="str">
        <f>"09614014400"</f>
        <v>09614014400</v>
      </c>
      <c r="C110" s="2" t="s">
        <v>3874</v>
      </c>
      <c r="D110" t="s">
        <v>29</v>
      </c>
      <c r="E110" s="2" t="s">
        <v>30</v>
      </c>
      <c r="F110" s="2">
        <v>37214</v>
      </c>
      <c r="G110" s="2" t="s">
        <v>64</v>
      </c>
      <c r="H110" t="s">
        <v>2687</v>
      </c>
      <c r="I110" s="6">
        <v>33857</v>
      </c>
      <c r="J110" s="2" t="s">
        <v>3875</v>
      </c>
      <c r="K110" s="2" t="s">
        <v>34</v>
      </c>
      <c r="L110" t="s">
        <v>2689</v>
      </c>
      <c r="M110" t="s">
        <v>29</v>
      </c>
      <c r="N110" t="s">
        <v>30</v>
      </c>
      <c r="O110">
        <v>37214</v>
      </c>
      <c r="P110" t="s">
        <v>3876</v>
      </c>
      <c r="Q110" s="2">
        <v>0.34</v>
      </c>
      <c r="R110" s="2">
        <v>70</v>
      </c>
      <c r="S110" s="2">
        <v>225</v>
      </c>
      <c r="T110" t="s">
        <v>3877</v>
      </c>
      <c r="U110" s="6">
        <v>20327</v>
      </c>
      <c r="V110" s="2">
        <v>47037015502</v>
      </c>
      <c r="W110" s="2" t="s">
        <v>68</v>
      </c>
      <c r="X110" s="1">
        <v>45658</v>
      </c>
      <c r="Y110" s="2">
        <v>3300</v>
      </c>
      <c r="Z110" s="2">
        <v>0</v>
      </c>
      <c r="AA110" s="2">
        <v>3300</v>
      </c>
    </row>
    <row r="111" spans="1:27" x14ac:dyDescent="0.3">
      <c r="A111" s="3">
        <v>15</v>
      </c>
      <c r="B111" s="2" t="str">
        <f>"09614014200"</f>
        <v>09614014200</v>
      </c>
      <c r="C111" s="2" t="s">
        <v>3878</v>
      </c>
      <c r="D111" t="s">
        <v>29</v>
      </c>
      <c r="E111" s="2" t="s">
        <v>30</v>
      </c>
      <c r="F111" s="2">
        <v>37214</v>
      </c>
      <c r="G111" s="2" t="s">
        <v>64</v>
      </c>
      <c r="H111" t="s">
        <v>2687</v>
      </c>
      <c r="I111" s="6">
        <v>33976</v>
      </c>
      <c r="J111" s="2" t="s">
        <v>3879</v>
      </c>
      <c r="K111" s="2" t="s">
        <v>34</v>
      </c>
      <c r="L111" t="s">
        <v>2689</v>
      </c>
      <c r="M111" t="s">
        <v>29</v>
      </c>
      <c r="N111" t="s">
        <v>30</v>
      </c>
      <c r="O111">
        <v>37214</v>
      </c>
      <c r="P111" t="s">
        <v>3880</v>
      </c>
      <c r="Q111" s="2">
        <v>0.66</v>
      </c>
      <c r="R111" s="2">
        <v>141</v>
      </c>
      <c r="S111" s="2">
        <v>193</v>
      </c>
      <c r="T111" t="s">
        <v>3881</v>
      </c>
      <c r="U111" s="6">
        <v>20332</v>
      </c>
      <c r="V111" s="2">
        <v>47037015502</v>
      </c>
      <c r="W111" s="2" t="s">
        <v>68</v>
      </c>
      <c r="X111" s="1">
        <v>45658</v>
      </c>
      <c r="Y111" s="2">
        <v>3300</v>
      </c>
      <c r="Z111" s="2">
        <v>0</v>
      </c>
      <c r="AA111" s="2">
        <v>3300</v>
      </c>
    </row>
    <row r="112" spans="1:27" x14ac:dyDescent="0.3">
      <c r="A112" s="3">
        <v>15</v>
      </c>
      <c r="B112" s="2" t="str">
        <f>"09614014900"</f>
        <v>09614014900</v>
      </c>
      <c r="C112" s="2" t="s">
        <v>3882</v>
      </c>
      <c r="D112" t="s">
        <v>29</v>
      </c>
      <c r="E112" s="2" t="s">
        <v>30</v>
      </c>
      <c r="F112" s="2">
        <v>37214</v>
      </c>
      <c r="G112" s="2" t="s">
        <v>64</v>
      </c>
      <c r="H112" t="s">
        <v>2687</v>
      </c>
      <c r="I112" s="6">
        <v>33518</v>
      </c>
      <c r="J112" s="2" t="s">
        <v>3883</v>
      </c>
      <c r="K112" s="2">
        <v>66000</v>
      </c>
      <c r="L112" t="s">
        <v>2689</v>
      </c>
      <c r="M112" t="s">
        <v>29</v>
      </c>
      <c r="N112" t="s">
        <v>30</v>
      </c>
      <c r="O112">
        <v>37214</v>
      </c>
      <c r="P112" t="s">
        <v>3884</v>
      </c>
      <c r="Q112" s="2">
        <v>0.53</v>
      </c>
      <c r="R112" s="2">
        <v>144</v>
      </c>
      <c r="S112" s="2">
        <v>120</v>
      </c>
      <c r="T112" t="s">
        <v>3885</v>
      </c>
      <c r="U112" s="6">
        <v>21695</v>
      </c>
      <c r="V112" s="2">
        <v>47037015502</v>
      </c>
      <c r="W112" s="2" t="s">
        <v>68</v>
      </c>
      <c r="X112" s="1">
        <v>45658</v>
      </c>
      <c r="Y112" s="2">
        <v>3300</v>
      </c>
      <c r="Z112" s="2">
        <v>0</v>
      </c>
      <c r="AA112" s="2">
        <v>3300</v>
      </c>
    </row>
    <row r="113" spans="1:27" x14ac:dyDescent="0.3">
      <c r="A113" s="3">
        <v>15</v>
      </c>
      <c r="B113" s="2" t="str">
        <f>"09614014300"</f>
        <v>09614014300</v>
      </c>
      <c r="C113" s="2" t="s">
        <v>3886</v>
      </c>
      <c r="D113" t="s">
        <v>29</v>
      </c>
      <c r="E113" s="2" t="s">
        <v>30</v>
      </c>
      <c r="F113" s="2">
        <v>37214</v>
      </c>
      <c r="G113" s="2" t="s">
        <v>64</v>
      </c>
      <c r="H113" t="s">
        <v>2687</v>
      </c>
      <c r="I113" s="6">
        <v>33857</v>
      </c>
      <c r="J113" s="2" t="s">
        <v>3887</v>
      </c>
      <c r="K113" s="2" t="s">
        <v>34</v>
      </c>
      <c r="L113" t="s">
        <v>2689</v>
      </c>
      <c r="M113" t="s">
        <v>29</v>
      </c>
      <c r="N113" t="s">
        <v>30</v>
      </c>
      <c r="O113">
        <v>37214</v>
      </c>
      <c r="P113" t="s">
        <v>3888</v>
      </c>
      <c r="Q113" s="2">
        <v>0.34</v>
      </c>
      <c r="R113" s="2">
        <v>70</v>
      </c>
      <c r="S113" s="2">
        <v>209</v>
      </c>
      <c r="T113" t="s">
        <v>3889</v>
      </c>
      <c r="U113" s="6">
        <v>23667</v>
      </c>
      <c r="V113" s="2">
        <v>47037015502</v>
      </c>
      <c r="W113" s="2" t="s">
        <v>68</v>
      </c>
      <c r="X113" s="1">
        <v>45658</v>
      </c>
      <c r="Y113" s="2">
        <v>3300</v>
      </c>
      <c r="Z113" s="2">
        <v>0</v>
      </c>
      <c r="AA113" s="2">
        <v>3300</v>
      </c>
    </row>
    <row r="114" spans="1:27" x14ac:dyDescent="0.3">
      <c r="A114" s="3">
        <v>15</v>
      </c>
      <c r="B114" s="2" t="str">
        <f>"09614014000"</f>
        <v>09614014000</v>
      </c>
      <c r="C114" s="2" t="s">
        <v>3890</v>
      </c>
      <c r="D114" t="s">
        <v>29</v>
      </c>
      <c r="E114" s="2" t="s">
        <v>30</v>
      </c>
      <c r="F114" s="2">
        <v>37214</v>
      </c>
      <c r="G114" s="2" t="s">
        <v>2543</v>
      </c>
      <c r="H114" t="s">
        <v>2687</v>
      </c>
      <c r="I114" s="6">
        <v>33795</v>
      </c>
      <c r="J114" s="2" t="s">
        <v>3891</v>
      </c>
      <c r="K114" s="2" t="s">
        <v>34</v>
      </c>
      <c r="L114" t="s">
        <v>2689</v>
      </c>
      <c r="M114" t="s">
        <v>29</v>
      </c>
      <c r="N114" t="s">
        <v>30</v>
      </c>
      <c r="O114">
        <v>37214</v>
      </c>
      <c r="P114" t="s">
        <v>3892</v>
      </c>
      <c r="Q114" s="2">
        <v>0.32</v>
      </c>
      <c r="R114" s="2">
        <v>110</v>
      </c>
      <c r="S114" s="2">
        <v>120</v>
      </c>
      <c r="T114" t="s">
        <v>3893</v>
      </c>
      <c r="U114" s="6">
        <v>26347</v>
      </c>
      <c r="V114" s="2">
        <v>47037015502</v>
      </c>
      <c r="W114" s="2" t="s">
        <v>68</v>
      </c>
      <c r="X114" s="1">
        <v>45658</v>
      </c>
      <c r="Y114" s="2">
        <v>3300</v>
      </c>
      <c r="Z114" s="2">
        <v>0</v>
      </c>
      <c r="AA114" s="2">
        <v>3300</v>
      </c>
    </row>
    <row r="115" spans="1:27" x14ac:dyDescent="0.3">
      <c r="A115" s="3">
        <v>15</v>
      </c>
      <c r="B115" s="2" t="str">
        <f>"09614015000"</f>
        <v>09614015000</v>
      </c>
      <c r="C115" s="2" t="s">
        <v>3894</v>
      </c>
      <c r="D115" t="s">
        <v>29</v>
      </c>
      <c r="E115" s="2" t="s">
        <v>30</v>
      </c>
      <c r="F115" s="2">
        <v>37214</v>
      </c>
      <c r="G115" s="2" t="s">
        <v>64</v>
      </c>
      <c r="H115" t="s">
        <v>2687</v>
      </c>
      <c r="I115" s="6">
        <v>33560</v>
      </c>
      <c r="J115" s="2" t="s">
        <v>3895</v>
      </c>
      <c r="K115" s="2" t="s">
        <v>34</v>
      </c>
      <c r="L115" t="s">
        <v>2689</v>
      </c>
      <c r="M115" t="s">
        <v>29</v>
      </c>
      <c r="N115" t="s">
        <v>30</v>
      </c>
      <c r="O115">
        <v>37214</v>
      </c>
      <c r="P115" t="s">
        <v>3896</v>
      </c>
      <c r="Q115" s="2">
        <v>0.28999999999999998</v>
      </c>
      <c r="R115" s="2">
        <v>90</v>
      </c>
      <c r="S115" s="2">
        <v>169</v>
      </c>
      <c r="T115" t="s">
        <v>3897</v>
      </c>
      <c r="U115" s="6">
        <v>27080</v>
      </c>
      <c r="V115" s="2">
        <v>47037015502</v>
      </c>
      <c r="W115" s="2" t="s">
        <v>68</v>
      </c>
      <c r="X115" s="1">
        <v>45658</v>
      </c>
      <c r="Y115" s="2">
        <v>3300</v>
      </c>
      <c r="Z115" s="2">
        <v>0</v>
      </c>
      <c r="AA115" s="2">
        <v>3300</v>
      </c>
    </row>
    <row r="116" spans="1:27" x14ac:dyDescent="0.3">
      <c r="A116" s="3">
        <v>15</v>
      </c>
      <c r="B116" s="2" t="str">
        <f>"09614015100"</f>
        <v>09614015100</v>
      </c>
      <c r="C116" s="2" t="s">
        <v>3898</v>
      </c>
      <c r="D116" t="s">
        <v>29</v>
      </c>
      <c r="E116" s="2" t="s">
        <v>30</v>
      </c>
      <c r="F116" s="2">
        <v>37214</v>
      </c>
      <c r="G116" s="2" t="s">
        <v>64</v>
      </c>
      <c r="H116" t="s">
        <v>2687</v>
      </c>
      <c r="I116" s="6">
        <v>33926</v>
      </c>
      <c r="J116" s="2" t="s">
        <v>3899</v>
      </c>
      <c r="K116" s="2" t="s">
        <v>34</v>
      </c>
      <c r="L116" t="s">
        <v>2689</v>
      </c>
      <c r="M116" t="s">
        <v>29</v>
      </c>
      <c r="N116" t="s">
        <v>30</v>
      </c>
      <c r="O116">
        <v>37214</v>
      </c>
      <c r="P116" t="s">
        <v>3900</v>
      </c>
      <c r="Q116" s="2">
        <v>0.27</v>
      </c>
      <c r="R116" s="2">
        <v>80</v>
      </c>
      <c r="S116" s="2">
        <v>179</v>
      </c>
      <c r="T116" t="s">
        <v>3901</v>
      </c>
      <c r="U116" s="6">
        <v>20353</v>
      </c>
      <c r="V116" s="2">
        <v>47037015502</v>
      </c>
      <c r="W116" s="2" t="s">
        <v>68</v>
      </c>
      <c r="X116" s="1">
        <v>45658</v>
      </c>
      <c r="Y116" s="2">
        <v>3300</v>
      </c>
      <c r="Z116" s="2">
        <v>0</v>
      </c>
      <c r="AA116" s="2">
        <v>3300</v>
      </c>
    </row>
    <row r="117" spans="1:27" x14ac:dyDescent="0.3">
      <c r="A117" s="3">
        <v>15</v>
      </c>
      <c r="B117" s="2" t="str">
        <f>"09614015200"</f>
        <v>09614015200</v>
      </c>
      <c r="C117" s="2" t="s">
        <v>3902</v>
      </c>
      <c r="D117" t="s">
        <v>29</v>
      </c>
      <c r="E117" s="2" t="s">
        <v>30</v>
      </c>
      <c r="F117" s="2">
        <v>37214</v>
      </c>
      <c r="G117" s="2" t="s">
        <v>64</v>
      </c>
      <c r="H117" t="s">
        <v>2687</v>
      </c>
      <c r="I117" s="6">
        <v>33367</v>
      </c>
      <c r="J117" s="2" t="s">
        <v>3903</v>
      </c>
      <c r="K117" s="2">
        <v>78500</v>
      </c>
      <c r="L117" t="s">
        <v>2689</v>
      </c>
      <c r="M117" t="s">
        <v>29</v>
      </c>
      <c r="N117" t="s">
        <v>30</v>
      </c>
      <c r="O117">
        <v>37214</v>
      </c>
      <c r="P117" t="s">
        <v>3904</v>
      </c>
      <c r="Q117" s="2">
        <v>0.28999999999999998</v>
      </c>
      <c r="R117" s="2">
        <v>85</v>
      </c>
      <c r="S117" s="2">
        <v>179</v>
      </c>
      <c r="T117" t="s">
        <v>3905</v>
      </c>
      <c r="U117" s="6">
        <v>26210</v>
      </c>
      <c r="V117" s="2">
        <v>47037015502</v>
      </c>
      <c r="W117" s="2" t="s">
        <v>68</v>
      </c>
      <c r="X117" s="1">
        <v>45658</v>
      </c>
      <c r="Y117" s="2">
        <v>3300</v>
      </c>
      <c r="Z117" s="2">
        <v>0</v>
      </c>
      <c r="AA117" s="2">
        <v>3300</v>
      </c>
    </row>
    <row r="118" spans="1:27" x14ac:dyDescent="0.3">
      <c r="A118" s="3">
        <v>15</v>
      </c>
      <c r="B118" s="2" t="str">
        <f>"09614015800"</f>
        <v>09614015800</v>
      </c>
      <c r="C118" s="2" t="s">
        <v>3906</v>
      </c>
      <c r="D118" t="s">
        <v>29</v>
      </c>
      <c r="E118" s="2" t="s">
        <v>30</v>
      </c>
      <c r="F118" s="2">
        <v>37214</v>
      </c>
      <c r="G118" s="2" t="s">
        <v>64</v>
      </c>
      <c r="H118" t="s">
        <v>2687</v>
      </c>
      <c r="I118" s="6">
        <v>33877</v>
      </c>
      <c r="J118" s="2" t="s">
        <v>3907</v>
      </c>
      <c r="K118" s="2" t="s">
        <v>34</v>
      </c>
      <c r="L118" t="s">
        <v>2689</v>
      </c>
      <c r="M118" t="s">
        <v>29</v>
      </c>
      <c r="N118" t="s">
        <v>30</v>
      </c>
      <c r="O118">
        <v>37214</v>
      </c>
      <c r="P118" t="s">
        <v>3908</v>
      </c>
      <c r="Q118" s="2">
        <v>0.4</v>
      </c>
      <c r="R118" s="2">
        <v>100</v>
      </c>
      <c r="S118" s="2">
        <v>184</v>
      </c>
      <c r="T118" t="s">
        <v>3909</v>
      </c>
      <c r="U118" s="6">
        <v>22054</v>
      </c>
      <c r="V118" s="2">
        <v>47037015502</v>
      </c>
      <c r="W118" s="2" t="s">
        <v>68</v>
      </c>
      <c r="X118" s="1">
        <v>45658</v>
      </c>
      <c r="Y118" s="2">
        <v>3300</v>
      </c>
      <c r="Z118" s="2">
        <v>0</v>
      </c>
      <c r="AA118" s="2">
        <v>3300</v>
      </c>
    </row>
    <row r="119" spans="1:27" x14ac:dyDescent="0.3">
      <c r="A119" s="3">
        <v>15</v>
      </c>
      <c r="B119" s="2" t="str">
        <f>"09614015700"</f>
        <v>09614015700</v>
      </c>
      <c r="C119" s="2" t="s">
        <v>3910</v>
      </c>
      <c r="D119" t="s">
        <v>29</v>
      </c>
      <c r="E119" s="2" t="s">
        <v>30</v>
      </c>
      <c r="F119" s="2">
        <v>37214</v>
      </c>
      <c r="G119" s="2" t="s">
        <v>64</v>
      </c>
      <c r="H119" t="s">
        <v>2687</v>
      </c>
      <c r="I119" s="6">
        <v>33787</v>
      </c>
      <c r="J119" s="2" t="s">
        <v>3911</v>
      </c>
      <c r="K119" s="2" t="s">
        <v>34</v>
      </c>
      <c r="L119" t="s">
        <v>2689</v>
      </c>
      <c r="M119" t="s">
        <v>29</v>
      </c>
      <c r="N119" t="s">
        <v>30</v>
      </c>
      <c r="O119">
        <v>37214</v>
      </c>
      <c r="P119" t="s">
        <v>3912</v>
      </c>
      <c r="Q119" s="2">
        <v>0.32</v>
      </c>
      <c r="R119" s="2">
        <v>80</v>
      </c>
      <c r="S119" s="2">
        <v>184</v>
      </c>
      <c r="T119" t="s">
        <v>3913</v>
      </c>
      <c r="U119" s="6">
        <v>21438</v>
      </c>
      <c r="V119" s="2">
        <v>47037015502</v>
      </c>
      <c r="W119" s="2" t="s">
        <v>68</v>
      </c>
      <c r="X119" s="1">
        <v>45658</v>
      </c>
      <c r="Y119" s="2">
        <v>3300</v>
      </c>
      <c r="Z119" s="2">
        <v>0</v>
      </c>
      <c r="AA119" s="2">
        <v>3300</v>
      </c>
    </row>
    <row r="120" spans="1:27" x14ac:dyDescent="0.3">
      <c r="A120" s="3">
        <v>15</v>
      </c>
      <c r="B120" s="2" t="str">
        <f>"09614015300"</f>
        <v>09614015300</v>
      </c>
      <c r="C120" s="2" t="s">
        <v>3914</v>
      </c>
      <c r="D120" t="s">
        <v>29</v>
      </c>
      <c r="E120" s="2" t="s">
        <v>30</v>
      </c>
      <c r="F120" s="2">
        <v>37214</v>
      </c>
      <c r="G120" s="2" t="s">
        <v>64</v>
      </c>
      <c r="H120" t="s">
        <v>2687</v>
      </c>
      <c r="I120" s="6">
        <v>33541</v>
      </c>
      <c r="J120" s="2" t="s">
        <v>3915</v>
      </c>
      <c r="K120" s="2" t="s">
        <v>34</v>
      </c>
      <c r="L120" t="s">
        <v>2689</v>
      </c>
      <c r="M120" t="s">
        <v>29</v>
      </c>
      <c r="N120" t="s">
        <v>30</v>
      </c>
      <c r="O120">
        <v>37214</v>
      </c>
      <c r="P120" t="s">
        <v>3916</v>
      </c>
      <c r="Q120" s="2">
        <v>0.27</v>
      </c>
      <c r="R120" s="2">
        <v>85</v>
      </c>
      <c r="S120" s="2">
        <v>178</v>
      </c>
      <c r="T120" t="s">
        <v>3917</v>
      </c>
      <c r="U120" s="6">
        <v>26574</v>
      </c>
      <c r="V120" s="2">
        <v>47037015502</v>
      </c>
      <c r="W120" s="2" t="s">
        <v>68</v>
      </c>
      <c r="X120" s="1">
        <v>45658</v>
      </c>
      <c r="Y120" s="2">
        <v>3300</v>
      </c>
      <c r="Z120" s="2">
        <v>0</v>
      </c>
      <c r="AA120" s="2">
        <v>3300</v>
      </c>
    </row>
    <row r="121" spans="1:27" x14ac:dyDescent="0.3">
      <c r="A121" s="3">
        <v>15</v>
      </c>
      <c r="B121" s="2" t="str">
        <f>"09614015500"</f>
        <v>09614015500</v>
      </c>
      <c r="C121" s="2" t="s">
        <v>3918</v>
      </c>
      <c r="D121" t="s">
        <v>29</v>
      </c>
      <c r="E121" s="2" t="s">
        <v>30</v>
      </c>
      <c r="F121" s="2">
        <v>37214</v>
      </c>
      <c r="G121" s="2" t="s">
        <v>64</v>
      </c>
      <c r="H121" t="s">
        <v>2687</v>
      </c>
      <c r="I121" s="6">
        <v>33113</v>
      </c>
      <c r="J121" s="2" t="s">
        <v>3919</v>
      </c>
      <c r="K121" s="2">
        <v>70000</v>
      </c>
      <c r="L121" t="s">
        <v>2689</v>
      </c>
      <c r="M121" t="s">
        <v>29</v>
      </c>
      <c r="N121" t="s">
        <v>30</v>
      </c>
      <c r="O121">
        <v>37214</v>
      </c>
      <c r="P121" t="s">
        <v>3920</v>
      </c>
      <c r="Q121" s="2">
        <v>0.28000000000000003</v>
      </c>
      <c r="R121" s="2">
        <v>84</v>
      </c>
      <c r="S121" s="2">
        <v>184</v>
      </c>
      <c r="T121" t="s">
        <v>3921</v>
      </c>
      <c r="U121" s="6">
        <v>23203</v>
      </c>
      <c r="V121" s="2">
        <v>47037015502</v>
      </c>
      <c r="W121" s="2" t="s">
        <v>68</v>
      </c>
      <c r="X121" s="1">
        <v>45658</v>
      </c>
      <c r="Y121" s="2">
        <v>3300</v>
      </c>
      <c r="Z121" s="2">
        <v>0</v>
      </c>
      <c r="AA121" s="2">
        <v>3300</v>
      </c>
    </row>
    <row r="122" spans="1:27" x14ac:dyDescent="0.3">
      <c r="A122" s="3">
        <v>15</v>
      </c>
      <c r="B122" s="2" t="str">
        <f>"09614015400"</f>
        <v>09614015400</v>
      </c>
      <c r="C122" s="2" t="s">
        <v>3922</v>
      </c>
      <c r="D122" t="s">
        <v>29</v>
      </c>
      <c r="E122" s="2" t="s">
        <v>30</v>
      </c>
      <c r="F122" s="2">
        <v>37214</v>
      </c>
      <c r="G122" s="2" t="s">
        <v>64</v>
      </c>
      <c r="H122" t="s">
        <v>2687</v>
      </c>
      <c r="I122" s="6">
        <v>33813</v>
      </c>
      <c r="J122" s="2" t="s">
        <v>3923</v>
      </c>
      <c r="K122" s="2" t="s">
        <v>34</v>
      </c>
      <c r="L122" t="s">
        <v>2689</v>
      </c>
      <c r="M122" t="s">
        <v>29</v>
      </c>
      <c r="N122" t="s">
        <v>30</v>
      </c>
      <c r="O122">
        <v>37214</v>
      </c>
      <c r="P122" t="s">
        <v>3924</v>
      </c>
      <c r="Q122" s="2">
        <v>0.27</v>
      </c>
      <c r="R122" s="2">
        <v>85</v>
      </c>
      <c r="S122" s="2">
        <v>180</v>
      </c>
      <c r="T122" t="s">
        <v>3925</v>
      </c>
      <c r="U122" s="6">
        <v>20666</v>
      </c>
      <c r="V122" s="2">
        <v>47037015502</v>
      </c>
      <c r="W122" s="2" t="s">
        <v>68</v>
      </c>
      <c r="X122" s="1">
        <v>45658</v>
      </c>
      <c r="Y122" s="2">
        <v>3300</v>
      </c>
      <c r="Z122" s="2">
        <v>0</v>
      </c>
      <c r="AA122" s="2">
        <v>3300</v>
      </c>
    </row>
    <row r="123" spans="1:27" x14ac:dyDescent="0.3">
      <c r="A123" s="3">
        <v>15</v>
      </c>
      <c r="B123" s="2" t="str">
        <f>"09614013900"</f>
        <v>09614013900</v>
      </c>
      <c r="C123" s="2" t="s">
        <v>3926</v>
      </c>
      <c r="D123" t="s">
        <v>29</v>
      </c>
      <c r="E123" s="2" t="s">
        <v>30</v>
      </c>
      <c r="F123" s="2">
        <v>37214</v>
      </c>
      <c r="G123" s="2" t="s">
        <v>64</v>
      </c>
      <c r="H123" t="s">
        <v>2687</v>
      </c>
      <c r="I123" s="6">
        <v>33784</v>
      </c>
      <c r="J123" s="2" t="s">
        <v>3927</v>
      </c>
      <c r="K123" s="2">
        <v>66000</v>
      </c>
      <c r="L123" t="s">
        <v>2689</v>
      </c>
      <c r="M123" t="s">
        <v>29</v>
      </c>
      <c r="N123" t="s">
        <v>30</v>
      </c>
      <c r="O123">
        <v>37214</v>
      </c>
      <c r="P123" t="s">
        <v>3928</v>
      </c>
      <c r="Q123" s="2">
        <v>0.34</v>
      </c>
      <c r="R123" s="2">
        <v>100</v>
      </c>
      <c r="S123" s="2">
        <v>120</v>
      </c>
      <c r="T123" t="s">
        <v>3929</v>
      </c>
      <c r="U123" s="6">
        <v>24058</v>
      </c>
      <c r="V123" s="2">
        <v>47037015502</v>
      </c>
      <c r="W123" s="2" t="s">
        <v>68</v>
      </c>
      <c r="X123" s="1">
        <v>45658</v>
      </c>
      <c r="Y123" s="2">
        <v>3300</v>
      </c>
      <c r="Z123" s="2">
        <v>0</v>
      </c>
      <c r="AA123" s="2">
        <v>3300</v>
      </c>
    </row>
    <row r="124" spans="1:27" x14ac:dyDescent="0.3">
      <c r="A124" s="3">
        <v>15</v>
      </c>
      <c r="B124" s="2" t="str">
        <f>"09614024800"</f>
        <v>09614024800</v>
      </c>
      <c r="C124" s="2" t="s">
        <v>3930</v>
      </c>
      <c r="D124" t="s">
        <v>29</v>
      </c>
      <c r="E124" s="2" t="s">
        <v>30</v>
      </c>
      <c r="F124" s="2">
        <v>37214</v>
      </c>
      <c r="G124" s="2" t="s">
        <v>64</v>
      </c>
      <c r="H124" t="s">
        <v>2707</v>
      </c>
      <c r="I124" s="6">
        <v>33149</v>
      </c>
      <c r="J124" s="2" t="s">
        <v>3931</v>
      </c>
      <c r="K124" s="2">
        <v>66000</v>
      </c>
      <c r="L124" t="s">
        <v>2689</v>
      </c>
      <c r="M124" t="s">
        <v>29</v>
      </c>
      <c r="N124" t="s">
        <v>30</v>
      </c>
      <c r="O124">
        <v>37214</v>
      </c>
      <c r="P124" t="s">
        <v>3932</v>
      </c>
      <c r="Q124" s="2">
        <v>0.21</v>
      </c>
      <c r="R124" s="2">
        <v>70</v>
      </c>
      <c r="S124" s="2">
        <v>137</v>
      </c>
      <c r="T124" t="s">
        <v>3933</v>
      </c>
      <c r="U124" s="6">
        <v>27235</v>
      </c>
      <c r="V124" s="2">
        <v>47037015502</v>
      </c>
      <c r="W124" s="2" t="s">
        <v>68</v>
      </c>
      <c r="X124" s="1">
        <v>45658</v>
      </c>
      <c r="Y124" s="2">
        <v>3300</v>
      </c>
      <c r="Z124" s="2">
        <v>0</v>
      </c>
      <c r="AA124" s="2">
        <v>3300</v>
      </c>
    </row>
    <row r="125" spans="1:27" x14ac:dyDescent="0.3">
      <c r="A125" s="3">
        <v>15</v>
      </c>
      <c r="B125" s="2" t="str">
        <f>"09614024900"</f>
        <v>09614024900</v>
      </c>
      <c r="C125" s="2" t="s">
        <v>3934</v>
      </c>
      <c r="D125" t="s">
        <v>29</v>
      </c>
      <c r="E125" s="2" t="s">
        <v>30</v>
      </c>
      <c r="F125" s="2">
        <v>37214</v>
      </c>
      <c r="G125" s="2" t="s">
        <v>64</v>
      </c>
      <c r="H125" t="s">
        <v>2707</v>
      </c>
      <c r="I125" s="6">
        <v>33228</v>
      </c>
      <c r="J125" s="2" t="s">
        <v>3935</v>
      </c>
      <c r="K125" s="2">
        <v>63000</v>
      </c>
      <c r="L125" t="s">
        <v>2689</v>
      </c>
      <c r="M125" t="s">
        <v>29</v>
      </c>
      <c r="N125" t="s">
        <v>30</v>
      </c>
      <c r="O125">
        <v>37214</v>
      </c>
      <c r="P125" t="s">
        <v>3936</v>
      </c>
      <c r="Q125" s="2">
        <v>0.2</v>
      </c>
      <c r="R125" s="2">
        <v>80</v>
      </c>
      <c r="S125" s="2">
        <v>137</v>
      </c>
      <c r="T125" t="s">
        <v>3937</v>
      </c>
      <c r="U125" s="6">
        <v>25465</v>
      </c>
      <c r="V125" s="2">
        <v>47037015502</v>
      </c>
      <c r="W125" s="2" t="s">
        <v>68</v>
      </c>
      <c r="X125" s="1">
        <v>45658</v>
      </c>
      <c r="Y125" s="2">
        <v>3300</v>
      </c>
      <c r="Z125" s="2">
        <v>0</v>
      </c>
      <c r="AA125" s="2">
        <v>3300</v>
      </c>
    </row>
    <row r="126" spans="1:27" x14ac:dyDescent="0.3">
      <c r="A126" s="3">
        <v>15</v>
      </c>
      <c r="B126" s="2" t="str">
        <f>"09614028300"</f>
        <v>09614028300</v>
      </c>
      <c r="C126" s="2" t="s">
        <v>3938</v>
      </c>
      <c r="D126" t="s">
        <v>29</v>
      </c>
      <c r="E126" s="2" t="s">
        <v>30</v>
      </c>
      <c r="F126" s="2">
        <v>37214</v>
      </c>
      <c r="G126" s="2" t="s">
        <v>64</v>
      </c>
      <c r="H126" t="s">
        <v>2707</v>
      </c>
      <c r="I126" s="6">
        <v>33122</v>
      </c>
      <c r="J126" s="2" t="s">
        <v>3939</v>
      </c>
      <c r="K126" s="2">
        <v>69000</v>
      </c>
      <c r="L126" t="s">
        <v>2689</v>
      </c>
      <c r="M126" t="s">
        <v>29</v>
      </c>
      <c r="N126" t="s">
        <v>30</v>
      </c>
      <c r="O126">
        <v>37214</v>
      </c>
      <c r="P126" t="s">
        <v>3940</v>
      </c>
      <c r="Q126" s="2">
        <v>0.23</v>
      </c>
      <c r="R126" s="2">
        <v>72</v>
      </c>
      <c r="S126" s="2">
        <v>140</v>
      </c>
      <c r="T126" t="s">
        <v>3937</v>
      </c>
      <c r="U126" s="6">
        <v>25465</v>
      </c>
      <c r="V126" s="2">
        <v>47037015502</v>
      </c>
      <c r="W126" s="2" t="s">
        <v>68</v>
      </c>
      <c r="X126" s="1">
        <v>45658</v>
      </c>
      <c r="Y126" s="2">
        <v>82000</v>
      </c>
      <c r="Z126" s="2">
        <v>0</v>
      </c>
      <c r="AA126" s="2">
        <v>82000</v>
      </c>
    </row>
    <row r="127" spans="1:27" x14ac:dyDescent="0.3">
      <c r="A127" s="3">
        <v>15</v>
      </c>
      <c r="B127" s="2" t="str">
        <f>"09614025300"</f>
        <v>09614025300</v>
      </c>
      <c r="C127" s="2" t="s">
        <v>3941</v>
      </c>
      <c r="D127" t="s">
        <v>29</v>
      </c>
      <c r="E127" s="2" t="s">
        <v>30</v>
      </c>
      <c r="F127" s="2">
        <v>37214</v>
      </c>
      <c r="G127" s="2" t="s">
        <v>64</v>
      </c>
      <c r="H127" t="s">
        <v>2707</v>
      </c>
      <c r="I127" s="6">
        <v>33186</v>
      </c>
      <c r="J127" s="2" t="s">
        <v>3942</v>
      </c>
      <c r="K127" s="2">
        <v>87000</v>
      </c>
      <c r="L127" t="s">
        <v>2689</v>
      </c>
      <c r="M127" t="s">
        <v>29</v>
      </c>
      <c r="N127" t="s">
        <v>30</v>
      </c>
      <c r="O127">
        <v>37214</v>
      </c>
      <c r="P127" t="s">
        <v>3943</v>
      </c>
      <c r="Q127" s="2">
        <v>0.22</v>
      </c>
      <c r="R127" s="2">
        <v>60</v>
      </c>
      <c r="S127" s="2">
        <v>136</v>
      </c>
      <c r="T127" t="s">
        <v>3937</v>
      </c>
      <c r="U127" s="6">
        <v>25465</v>
      </c>
      <c r="V127" s="2">
        <v>47037015502</v>
      </c>
      <c r="W127" s="2" t="s">
        <v>68</v>
      </c>
      <c r="X127" s="1">
        <v>45658</v>
      </c>
      <c r="Y127" s="2">
        <v>3300</v>
      </c>
      <c r="Z127" s="2">
        <v>0</v>
      </c>
      <c r="AA127" s="2">
        <v>3300</v>
      </c>
    </row>
    <row r="128" spans="1:27" x14ac:dyDescent="0.3">
      <c r="A128" s="3">
        <v>15</v>
      </c>
      <c r="B128" s="2" t="str">
        <f>"09614028800"</f>
        <v>09614028800</v>
      </c>
      <c r="C128" s="2" t="s">
        <v>3944</v>
      </c>
      <c r="D128" t="s">
        <v>29</v>
      </c>
      <c r="E128" s="2" t="s">
        <v>30</v>
      </c>
      <c r="F128" s="2">
        <v>37214</v>
      </c>
      <c r="G128" s="2" t="s">
        <v>64</v>
      </c>
      <c r="H128" t="s">
        <v>2707</v>
      </c>
      <c r="I128" s="6">
        <v>33197</v>
      </c>
      <c r="J128" s="2" t="s">
        <v>3945</v>
      </c>
      <c r="K128" s="2">
        <v>57500</v>
      </c>
      <c r="L128" t="s">
        <v>2689</v>
      </c>
      <c r="M128" t="s">
        <v>29</v>
      </c>
      <c r="N128" t="s">
        <v>30</v>
      </c>
      <c r="O128">
        <v>37214</v>
      </c>
      <c r="P128" t="s">
        <v>3946</v>
      </c>
      <c r="Q128" s="2">
        <v>0.1</v>
      </c>
      <c r="R128" s="2">
        <v>35</v>
      </c>
      <c r="S128" s="2">
        <v>111</v>
      </c>
      <c r="T128" t="s">
        <v>3947</v>
      </c>
      <c r="U128" s="6">
        <v>30929</v>
      </c>
      <c r="V128" s="2">
        <v>47037015502</v>
      </c>
      <c r="W128" s="2" t="s">
        <v>68</v>
      </c>
      <c r="X128" s="1">
        <v>45658</v>
      </c>
      <c r="Y128" s="2">
        <v>3300</v>
      </c>
      <c r="Z128" s="2">
        <v>0</v>
      </c>
      <c r="AA128" s="2">
        <v>3300</v>
      </c>
    </row>
    <row r="129" spans="1:27" x14ac:dyDescent="0.3">
      <c r="A129" s="3">
        <v>15</v>
      </c>
      <c r="B129" s="2" t="str">
        <f>"09614025200"</f>
        <v>09614025200</v>
      </c>
      <c r="C129" s="2" t="s">
        <v>3948</v>
      </c>
      <c r="D129" t="s">
        <v>29</v>
      </c>
      <c r="E129" s="2" t="s">
        <v>30</v>
      </c>
      <c r="F129" s="2">
        <v>37214</v>
      </c>
      <c r="G129" s="2" t="s">
        <v>64</v>
      </c>
      <c r="H129" t="s">
        <v>2707</v>
      </c>
      <c r="I129" s="6">
        <v>33193</v>
      </c>
      <c r="J129" s="2" t="s">
        <v>3949</v>
      </c>
      <c r="K129" s="2">
        <v>85000</v>
      </c>
      <c r="L129" t="s">
        <v>2689</v>
      </c>
      <c r="M129" t="s">
        <v>29</v>
      </c>
      <c r="N129" t="s">
        <v>30</v>
      </c>
      <c r="O129">
        <v>37214</v>
      </c>
      <c r="P129" t="s">
        <v>3950</v>
      </c>
      <c r="Q129" s="2">
        <v>0.28999999999999998</v>
      </c>
      <c r="R129" s="2">
        <v>69</v>
      </c>
      <c r="S129" s="2">
        <v>136</v>
      </c>
      <c r="T129" t="s">
        <v>3937</v>
      </c>
      <c r="U129" s="6">
        <v>25465</v>
      </c>
      <c r="V129" s="2">
        <v>47037015502</v>
      </c>
      <c r="W129" s="2" t="s">
        <v>68</v>
      </c>
      <c r="X129" s="1">
        <v>45658</v>
      </c>
      <c r="Y129" s="2">
        <v>3300</v>
      </c>
      <c r="Z129" s="2">
        <v>0</v>
      </c>
      <c r="AA129" s="2">
        <v>3300</v>
      </c>
    </row>
    <row r="130" spans="1:27" x14ac:dyDescent="0.3">
      <c r="A130" s="3">
        <v>15</v>
      </c>
      <c r="B130" s="2" t="str">
        <f>"09614025400"</f>
        <v>09614025400</v>
      </c>
      <c r="C130" s="2" t="s">
        <v>3951</v>
      </c>
      <c r="D130" t="s">
        <v>29</v>
      </c>
      <c r="E130" s="2" t="s">
        <v>30</v>
      </c>
      <c r="F130" s="2">
        <v>37214</v>
      </c>
      <c r="G130" s="2" t="s">
        <v>64</v>
      </c>
      <c r="H130" t="s">
        <v>2707</v>
      </c>
      <c r="I130" s="6">
        <v>33205</v>
      </c>
      <c r="J130" s="2" t="s">
        <v>3952</v>
      </c>
      <c r="K130" s="2">
        <v>80000</v>
      </c>
      <c r="L130" t="s">
        <v>2689</v>
      </c>
      <c r="M130" t="s">
        <v>29</v>
      </c>
      <c r="N130" t="s">
        <v>30</v>
      </c>
      <c r="O130">
        <v>37214</v>
      </c>
      <c r="P130" t="s">
        <v>3953</v>
      </c>
      <c r="Q130" s="2">
        <v>0.2</v>
      </c>
      <c r="R130" s="2">
        <v>62</v>
      </c>
      <c r="S130" s="2">
        <v>128</v>
      </c>
      <c r="T130" t="s">
        <v>3954</v>
      </c>
      <c r="U130" s="6">
        <v>26483</v>
      </c>
      <c r="V130" s="2">
        <v>47037015502</v>
      </c>
      <c r="W130" s="2" t="s">
        <v>68</v>
      </c>
      <c r="X130" s="1">
        <v>45658</v>
      </c>
      <c r="Y130" s="2">
        <v>3300</v>
      </c>
      <c r="Z130" s="2">
        <v>0</v>
      </c>
      <c r="AA130" s="2">
        <v>3300</v>
      </c>
    </row>
    <row r="131" spans="1:27" x14ac:dyDescent="0.3">
      <c r="A131" s="3">
        <v>15</v>
      </c>
      <c r="B131" s="2" t="str">
        <f>"09614025000"</f>
        <v>09614025000</v>
      </c>
      <c r="C131" s="2" t="s">
        <v>3955</v>
      </c>
      <c r="D131" t="s">
        <v>29</v>
      </c>
      <c r="E131" s="2" t="s">
        <v>30</v>
      </c>
      <c r="F131" s="2">
        <v>37214</v>
      </c>
      <c r="G131" s="2" t="s">
        <v>64</v>
      </c>
      <c r="H131" t="s">
        <v>2707</v>
      </c>
      <c r="I131" s="6">
        <v>33197</v>
      </c>
      <c r="J131" s="2" t="s">
        <v>3956</v>
      </c>
      <c r="K131" s="2">
        <v>56000</v>
      </c>
      <c r="L131" t="s">
        <v>2689</v>
      </c>
      <c r="M131" t="s">
        <v>29</v>
      </c>
      <c r="N131" t="s">
        <v>30</v>
      </c>
      <c r="O131">
        <v>37214</v>
      </c>
      <c r="P131" t="s">
        <v>3957</v>
      </c>
      <c r="Q131" s="2">
        <v>0.11</v>
      </c>
      <c r="R131" s="2">
        <v>35</v>
      </c>
      <c r="S131" s="2">
        <v>135</v>
      </c>
      <c r="T131" t="s">
        <v>3947</v>
      </c>
      <c r="U131" s="6">
        <v>30929</v>
      </c>
      <c r="V131" s="2">
        <v>47037015502</v>
      </c>
      <c r="W131" s="2" t="s">
        <v>68</v>
      </c>
      <c r="X131" s="1">
        <v>45658</v>
      </c>
      <c r="Y131" s="2">
        <v>3300</v>
      </c>
      <c r="Z131" s="2">
        <v>0</v>
      </c>
      <c r="AA131" s="2">
        <v>3300</v>
      </c>
    </row>
    <row r="132" spans="1:27" x14ac:dyDescent="0.3">
      <c r="A132" s="3">
        <v>15</v>
      </c>
      <c r="B132" s="2" t="str">
        <f>"09614025500"</f>
        <v>09614025500</v>
      </c>
      <c r="C132" s="2" t="s">
        <v>3958</v>
      </c>
      <c r="D132" t="s">
        <v>29</v>
      </c>
      <c r="E132" s="2" t="s">
        <v>30</v>
      </c>
      <c r="F132" s="2">
        <v>37214</v>
      </c>
      <c r="G132" s="2" t="s">
        <v>64</v>
      </c>
      <c r="H132" t="s">
        <v>2707</v>
      </c>
      <c r="I132" s="6">
        <v>33185</v>
      </c>
      <c r="J132" s="2" t="s">
        <v>3959</v>
      </c>
      <c r="K132" s="2">
        <v>72500</v>
      </c>
      <c r="L132" t="s">
        <v>2689</v>
      </c>
      <c r="M132" t="s">
        <v>29</v>
      </c>
      <c r="N132" t="s">
        <v>30</v>
      </c>
      <c r="O132">
        <v>37214</v>
      </c>
      <c r="P132" t="s">
        <v>3960</v>
      </c>
      <c r="Q132" s="2">
        <v>0.2</v>
      </c>
      <c r="R132" s="2">
        <v>68</v>
      </c>
      <c r="S132" s="2">
        <v>140</v>
      </c>
      <c r="T132" t="s">
        <v>3961</v>
      </c>
      <c r="U132" s="6">
        <v>26802</v>
      </c>
      <c r="V132" s="2">
        <v>47037015502</v>
      </c>
      <c r="W132" s="2" t="s">
        <v>68</v>
      </c>
      <c r="X132" s="1">
        <v>45658</v>
      </c>
      <c r="Y132" s="2">
        <v>3300</v>
      </c>
      <c r="Z132" s="2">
        <v>0</v>
      </c>
      <c r="AA132" s="2">
        <v>3300</v>
      </c>
    </row>
    <row r="133" spans="1:27" x14ac:dyDescent="0.3">
      <c r="A133" s="3">
        <v>15</v>
      </c>
      <c r="B133" s="2" t="str">
        <f>"09614025600"</f>
        <v>09614025600</v>
      </c>
      <c r="C133" s="2" t="s">
        <v>3962</v>
      </c>
      <c r="D133" t="s">
        <v>29</v>
      </c>
      <c r="E133" s="2" t="s">
        <v>30</v>
      </c>
      <c r="F133" s="2">
        <v>37214</v>
      </c>
      <c r="G133" s="2" t="s">
        <v>64</v>
      </c>
      <c r="H133" t="s">
        <v>2707</v>
      </c>
      <c r="I133" s="6">
        <v>33122</v>
      </c>
      <c r="J133" s="2" t="s">
        <v>3963</v>
      </c>
      <c r="K133" s="2">
        <v>85000</v>
      </c>
      <c r="L133" t="s">
        <v>2689</v>
      </c>
      <c r="M133" t="s">
        <v>29</v>
      </c>
      <c r="N133" t="s">
        <v>30</v>
      </c>
      <c r="O133">
        <v>37214</v>
      </c>
      <c r="P133" t="s">
        <v>3964</v>
      </c>
      <c r="Q133" s="2">
        <v>0.2</v>
      </c>
      <c r="R133" s="2">
        <v>66</v>
      </c>
      <c r="S133" s="2">
        <v>145</v>
      </c>
      <c r="T133" t="s">
        <v>3965</v>
      </c>
      <c r="U133" s="6">
        <v>26847</v>
      </c>
      <c r="V133" s="2">
        <v>47037015502</v>
      </c>
      <c r="W133" s="2" t="s">
        <v>68</v>
      </c>
      <c r="X133" s="1">
        <v>45658</v>
      </c>
      <c r="Y133" s="2">
        <v>82000</v>
      </c>
      <c r="Z133" s="2">
        <v>0</v>
      </c>
      <c r="AA133" s="2">
        <v>82000</v>
      </c>
    </row>
    <row r="134" spans="1:27" x14ac:dyDescent="0.3">
      <c r="A134" s="3">
        <v>15</v>
      </c>
      <c r="B134" s="2" t="str">
        <f>"09614025700"</f>
        <v>09614025700</v>
      </c>
      <c r="C134" s="2" t="s">
        <v>3966</v>
      </c>
      <c r="D134" t="s">
        <v>29</v>
      </c>
      <c r="E134" s="2" t="s">
        <v>30</v>
      </c>
      <c r="F134" s="2">
        <v>37214</v>
      </c>
      <c r="G134" s="2" t="s">
        <v>64</v>
      </c>
      <c r="H134" t="s">
        <v>2707</v>
      </c>
      <c r="I134" s="6">
        <v>33267</v>
      </c>
      <c r="J134" s="2" t="s">
        <v>3967</v>
      </c>
      <c r="K134" s="2">
        <v>74000</v>
      </c>
      <c r="L134" t="s">
        <v>2689</v>
      </c>
      <c r="M134" t="s">
        <v>29</v>
      </c>
      <c r="N134" t="s">
        <v>30</v>
      </c>
      <c r="O134">
        <v>37214</v>
      </c>
      <c r="P134" t="s">
        <v>3968</v>
      </c>
      <c r="Q134" s="2">
        <v>0.22</v>
      </c>
      <c r="R134" s="2">
        <v>64</v>
      </c>
      <c r="S134" s="2">
        <v>150</v>
      </c>
      <c r="T134" t="s">
        <v>3969</v>
      </c>
      <c r="U134" s="6">
        <v>26261</v>
      </c>
      <c r="V134" s="2">
        <v>47037015502</v>
      </c>
      <c r="W134" s="2" t="s">
        <v>68</v>
      </c>
      <c r="X134" s="1">
        <v>45658</v>
      </c>
      <c r="Y134" s="2">
        <v>82000</v>
      </c>
      <c r="Z134" s="2">
        <v>0</v>
      </c>
      <c r="AA134" s="2">
        <v>82000</v>
      </c>
    </row>
    <row r="135" spans="1:27" x14ac:dyDescent="0.3">
      <c r="A135" s="3">
        <v>15</v>
      </c>
      <c r="B135" s="2" t="str">
        <f>"09614028900"</f>
        <v>09614028900</v>
      </c>
      <c r="C135" s="2" t="s">
        <v>3970</v>
      </c>
      <c r="D135" t="s">
        <v>29</v>
      </c>
      <c r="E135" s="2" t="s">
        <v>30</v>
      </c>
      <c r="F135" s="2">
        <v>37214</v>
      </c>
      <c r="G135" s="2" t="s">
        <v>64</v>
      </c>
      <c r="H135" t="s">
        <v>2707</v>
      </c>
      <c r="I135" s="6">
        <v>33175</v>
      </c>
      <c r="J135" s="2" t="s">
        <v>3971</v>
      </c>
      <c r="K135" s="2">
        <v>53000</v>
      </c>
      <c r="L135" t="s">
        <v>2689</v>
      </c>
      <c r="M135" t="s">
        <v>29</v>
      </c>
      <c r="N135" t="s">
        <v>30</v>
      </c>
      <c r="O135">
        <v>37214</v>
      </c>
      <c r="P135" t="s">
        <v>3972</v>
      </c>
      <c r="Q135" s="2">
        <v>0.14000000000000001</v>
      </c>
      <c r="R135" s="2">
        <v>35</v>
      </c>
      <c r="S135" s="2">
        <v>158</v>
      </c>
      <c r="T135" t="s">
        <v>3973</v>
      </c>
      <c r="U135" s="6">
        <v>31162</v>
      </c>
      <c r="V135" s="2">
        <v>47037015502</v>
      </c>
      <c r="W135" s="2" t="s">
        <v>68</v>
      </c>
      <c r="X135" s="1">
        <v>45658</v>
      </c>
      <c r="Y135" s="2">
        <v>3300</v>
      </c>
      <c r="Z135" s="2">
        <v>0</v>
      </c>
      <c r="AA135" s="2">
        <v>3300</v>
      </c>
    </row>
    <row r="136" spans="1:27" x14ac:dyDescent="0.3">
      <c r="A136" s="3">
        <v>15</v>
      </c>
      <c r="B136" s="2" t="str">
        <f>"09614028700"</f>
        <v>09614028700</v>
      </c>
      <c r="C136" s="2" t="s">
        <v>3974</v>
      </c>
      <c r="D136" t="s">
        <v>29</v>
      </c>
      <c r="E136" s="2" t="s">
        <v>30</v>
      </c>
      <c r="F136" s="2">
        <v>37214</v>
      </c>
      <c r="G136" s="2" t="s">
        <v>64</v>
      </c>
      <c r="H136" t="s">
        <v>2707</v>
      </c>
      <c r="I136" s="6">
        <v>33212</v>
      </c>
      <c r="J136" s="2" t="s">
        <v>3975</v>
      </c>
      <c r="K136" s="2">
        <v>65500</v>
      </c>
      <c r="L136" t="s">
        <v>2689</v>
      </c>
      <c r="M136" t="s">
        <v>29</v>
      </c>
      <c r="N136" t="s">
        <v>30</v>
      </c>
      <c r="O136">
        <v>37214</v>
      </c>
      <c r="P136" t="s">
        <v>3976</v>
      </c>
      <c r="Q136" s="2">
        <v>0.13</v>
      </c>
      <c r="R136" s="2">
        <v>34</v>
      </c>
      <c r="S136" s="2">
        <v>108</v>
      </c>
      <c r="T136" t="s">
        <v>3947</v>
      </c>
      <c r="U136" s="6">
        <v>30929</v>
      </c>
      <c r="V136" s="2">
        <v>47037015502</v>
      </c>
      <c r="W136" s="2" t="s">
        <v>68</v>
      </c>
      <c r="X136" s="1">
        <v>45658</v>
      </c>
      <c r="Y136" s="2">
        <v>3300</v>
      </c>
      <c r="Z136" s="2">
        <v>0</v>
      </c>
      <c r="AA136" s="2">
        <v>3300</v>
      </c>
    </row>
    <row r="137" spans="1:27" x14ac:dyDescent="0.3">
      <c r="A137" s="3">
        <v>15</v>
      </c>
      <c r="B137" s="2" t="str">
        <f>"09614025100"</f>
        <v>09614025100</v>
      </c>
      <c r="C137" s="2" t="s">
        <v>3977</v>
      </c>
      <c r="D137" t="s">
        <v>29</v>
      </c>
      <c r="E137" s="2" t="s">
        <v>30</v>
      </c>
      <c r="F137" s="2">
        <v>37214</v>
      </c>
      <c r="G137" s="2" t="s">
        <v>64</v>
      </c>
      <c r="H137" t="s">
        <v>2707</v>
      </c>
      <c r="I137" s="6">
        <v>33212</v>
      </c>
      <c r="J137" s="2" t="s">
        <v>3978</v>
      </c>
      <c r="K137" s="2">
        <v>55000</v>
      </c>
      <c r="L137" t="s">
        <v>2689</v>
      </c>
      <c r="M137" t="s">
        <v>29</v>
      </c>
      <c r="N137" t="s">
        <v>30</v>
      </c>
      <c r="O137">
        <v>37214</v>
      </c>
      <c r="P137" t="s">
        <v>3979</v>
      </c>
      <c r="Q137" s="2">
        <v>0.17</v>
      </c>
      <c r="R137" s="2">
        <v>49</v>
      </c>
      <c r="S137" s="2">
        <v>122</v>
      </c>
      <c r="T137" t="s">
        <v>3947</v>
      </c>
      <c r="U137" s="6">
        <v>30929</v>
      </c>
      <c r="V137" s="2">
        <v>47037015502</v>
      </c>
      <c r="W137" s="2" t="s">
        <v>68</v>
      </c>
      <c r="X137" s="1">
        <v>45658</v>
      </c>
      <c r="Y137" s="2">
        <v>3300</v>
      </c>
      <c r="Z137" s="2">
        <v>0</v>
      </c>
      <c r="AA137" s="2">
        <v>3300</v>
      </c>
    </row>
    <row r="138" spans="1:27" x14ac:dyDescent="0.3">
      <c r="A138" s="3">
        <v>15</v>
      </c>
      <c r="B138" s="2" t="str">
        <f>"09614025800"</f>
        <v>09614025800</v>
      </c>
      <c r="C138" s="2" t="s">
        <v>3980</v>
      </c>
      <c r="D138" t="s">
        <v>29</v>
      </c>
      <c r="E138" s="2" t="s">
        <v>30</v>
      </c>
      <c r="F138" s="2">
        <v>37214</v>
      </c>
      <c r="G138" s="2" t="s">
        <v>64</v>
      </c>
      <c r="H138" t="s">
        <v>2707</v>
      </c>
      <c r="I138" s="6">
        <v>33225</v>
      </c>
      <c r="J138" s="2" t="s">
        <v>3981</v>
      </c>
      <c r="K138" s="2">
        <v>70000</v>
      </c>
      <c r="L138" t="s">
        <v>2689</v>
      </c>
      <c r="M138" t="s">
        <v>29</v>
      </c>
      <c r="N138" t="s">
        <v>30</v>
      </c>
      <c r="O138">
        <v>37214</v>
      </c>
      <c r="P138" t="s">
        <v>3982</v>
      </c>
      <c r="Q138" s="2">
        <v>0.2</v>
      </c>
      <c r="R138" s="2">
        <v>67</v>
      </c>
      <c r="S138" s="2">
        <v>150</v>
      </c>
      <c r="T138" t="s">
        <v>3983</v>
      </c>
      <c r="U138" s="6">
        <v>26144</v>
      </c>
      <c r="V138" s="2">
        <v>47037015502</v>
      </c>
      <c r="W138" s="2" t="s">
        <v>68</v>
      </c>
      <c r="X138" s="1">
        <v>45658</v>
      </c>
      <c r="Y138" s="2">
        <v>82000</v>
      </c>
      <c r="Z138" s="2">
        <v>0</v>
      </c>
      <c r="AA138" s="2">
        <v>82000</v>
      </c>
    </row>
    <row r="139" spans="1:27" x14ac:dyDescent="0.3">
      <c r="A139" s="3">
        <v>15</v>
      </c>
      <c r="B139" s="2" t="str">
        <f>"09614028600"</f>
        <v>09614028600</v>
      </c>
      <c r="C139" s="2" t="s">
        <v>3970</v>
      </c>
      <c r="D139" t="s">
        <v>29</v>
      </c>
      <c r="E139" s="2" t="s">
        <v>30</v>
      </c>
      <c r="F139" s="2">
        <v>37214</v>
      </c>
      <c r="G139" s="2" t="s">
        <v>64</v>
      </c>
      <c r="H139" t="s">
        <v>2707</v>
      </c>
      <c r="I139" s="6">
        <v>33175</v>
      </c>
      <c r="J139" s="2" t="s">
        <v>3984</v>
      </c>
      <c r="K139" s="2">
        <v>55000</v>
      </c>
      <c r="L139" t="s">
        <v>2689</v>
      </c>
      <c r="M139" t="s">
        <v>29</v>
      </c>
      <c r="N139" t="s">
        <v>30</v>
      </c>
      <c r="O139">
        <v>37214</v>
      </c>
      <c r="P139" t="s">
        <v>3985</v>
      </c>
      <c r="Q139" s="2">
        <v>0.12</v>
      </c>
      <c r="R139" s="2">
        <v>35</v>
      </c>
      <c r="S139" s="2">
        <v>142</v>
      </c>
      <c r="T139" t="s">
        <v>3973</v>
      </c>
      <c r="U139" s="6">
        <v>31162</v>
      </c>
      <c r="V139" s="2">
        <v>47037015502</v>
      </c>
      <c r="W139" s="2" t="s">
        <v>68</v>
      </c>
      <c r="X139" s="1">
        <v>45658</v>
      </c>
      <c r="Y139" s="2">
        <v>3300</v>
      </c>
      <c r="Z139" s="2">
        <v>0</v>
      </c>
      <c r="AA139" s="2">
        <v>3300</v>
      </c>
    </row>
    <row r="140" spans="1:27" x14ac:dyDescent="0.3">
      <c r="A140" s="3">
        <v>15</v>
      </c>
      <c r="B140" s="2" t="str">
        <f>"09615009400"</f>
        <v>09615009400</v>
      </c>
      <c r="C140" s="2" t="s">
        <v>3986</v>
      </c>
      <c r="D140" t="s">
        <v>29</v>
      </c>
      <c r="E140" s="2" t="s">
        <v>30</v>
      </c>
      <c r="F140" s="2">
        <v>37214</v>
      </c>
      <c r="G140" s="2" t="s">
        <v>64</v>
      </c>
      <c r="H140" t="s">
        <v>2707</v>
      </c>
      <c r="I140" s="6">
        <v>33336</v>
      </c>
      <c r="J140" s="2" t="s">
        <v>3987</v>
      </c>
      <c r="K140" s="2">
        <v>14000</v>
      </c>
      <c r="L140" t="s">
        <v>2689</v>
      </c>
      <c r="M140" t="s">
        <v>29</v>
      </c>
      <c r="N140" t="s">
        <v>30</v>
      </c>
      <c r="O140">
        <v>37214</v>
      </c>
      <c r="P140" t="s">
        <v>3988</v>
      </c>
      <c r="Q140" s="2">
        <v>0.34</v>
      </c>
      <c r="R140" s="2">
        <v>90</v>
      </c>
      <c r="S140" s="2">
        <v>156</v>
      </c>
      <c r="T140" t="s">
        <v>3989</v>
      </c>
      <c r="U140" s="6">
        <v>22116</v>
      </c>
      <c r="V140" s="2">
        <v>47037015502</v>
      </c>
      <c r="W140" s="2" t="s">
        <v>68</v>
      </c>
      <c r="X140" s="1">
        <v>45658</v>
      </c>
      <c r="Y140" s="2">
        <v>3300</v>
      </c>
      <c r="Z140" s="2">
        <v>0</v>
      </c>
      <c r="AA140" s="2">
        <v>3300</v>
      </c>
    </row>
    <row r="141" spans="1:27" x14ac:dyDescent="0.3">
      <c r="A141" s="3">
        <v>15</v>
      </c>
      <c r="B141" s="2" t="str">
        <f>"09614025900"</f>
        <v>09614025900</v>
      </c>
      <c r="C141" s="2" t="s">
        <v>3990</v>
      </c>
      <c r="D141" t="s">
        <v>29</v>
      </c>
      <c r="E141" s="2" t="s">
        <v>30</v>
      </c>
      <c r="F141" s="2">
        <v>37214</v>
      </c>
      <c r="G141" s="2" t="s">
        <v>64</v>
      </c>
      <c r="H141" t="s">
        <v>2707</v>
      </c>
      <c r="I141" s="6">
        <v>33324</v>
      </c>
      <c r="J141" s="2" t="s">
        <v>3991</v>
      </c>
      <c r="K141" s="2">
        <v>84500</v>
      </c>
      <c r="L141" t="s">
        <v>2689</v>
      </c>
      <c r="M141" t="s">
        <v>29</v>
      </c>
      <c r="N141" t="s">
        <v>30</v>
      </c>
      <c r="O141">
        <v>37214</v>
      </c>
      <c r="P141" t="s">
        <v>3992</v>
      </c>
      <c r="Q141" s="2">
        <v>0.34</v>
      </c>
      <c r="R141" s="2">
        <v>92</v>
      </c>
      <c r="S141" s="2">
        <v>123</v>
      </c>
      <c r="T141" t="s">
        <v>3993</v>
      </c>
      <c r="U141" s="6">
        <v>26233</v>
      </c>
      <c r="V141" s="2">
        <v>47037015502</v>
      </c>
      <c r="W141" s="2" t="s">
        <v>68</v>
      </c>
      <c r="X141" s="1">
        <v>45658</v>
      </c>
      <c r="Y141" s="2">
        <v>3300</v>
      </c>
      <c r="Z141" s="2">
        <v>0</v>
      </c>
      <c r="AA141" s="2">
        <v>3300</v>
      </c>
    </row>
    <row r="142" spans="1:27" x14ac:dyDescent="0.3">
      <c r="A142" s="3">
        <v>15</v>
      </c>
      <c r="B142" s="2" t="str">
        <f>"09615008600"</f>
        <v>09615008600</v>
      </c>
      <c r="C142" s="2" t="s">
        <v>3994</v>
      </c>
      <c r="D142" t="s">
        <v>29</v>
      </c>
      <c r="E142" s="2" t="s">
        <v>30</v>
      </c>
      <c r="F142" s="2">
        <v>37214</v>
      </c>
      <c r="G142" s="2" t="s">
        <v>64</v>
      </c>
      <c r="H142" t="s">
        <v>2707</v>
      </c>
      <c r="I142" s="6">
        <v>33336</v>
      </c>
      <c r="J142" s="2" t="s">
        <v>3995</v>
      </c>
      <c r="K142" s="2">
        <v>86000</v>
      </c>
      <c r="L142" t="s">
        <v>2689</v>
      </c>
      <c r="M142" t="s">
        <v>29</v>
      </c>
      <c r="N142" t="s">
        <v>30</v>
      </c>
      <c r="O142">
        <v>37214</v>
      </c>
      <c r="P142" t="s">
        <v>3996</v>
      </c>
      <c r="Q142" s="2">
        <v>1</v>
      </c>
      <c r="R142" s="2">
        <v>250</v>
      </c>
      <c r="S142" s="2">
        <v>147</v>
      </c>
      <c r="T142" t="s">
        <v>3997</v>
      </c>
      <c r="U142" s="6">
        <v>22825</v>
      </c>
      <c r="V142" s="2">
        <v>47037015502</v>
      </c>
      <c r="W142" s="2" t="s">
        <v>68</v>
      </c>
      <c r="X142" s="1">
        <v>45658</v>
      </c>
      <c r="Y142" s="2">
        <v>3300</v>
      </c>
      <c r="Z142" s="2">
        <v>0</v>
      </c>
      <c r="AA142" s="2">
        <v>3300</v>
      </c>
    </row>
    <row r="143" spans="1:27" x14ac:dyDescent="0.3">
      <c r="A143" s="3">
        <v>15</v>
      </c>
      <c r="B143" s="2" t="str">
        <f>"09614028500"</f>
        <v>09614028500</v>
      </c>
      <c r="C143" s="2" t="s">
        <v>3998</v>
      </c>
      <c r="D143" t="s">
        <v>29</v>
      </c>
      <c r="E143" s="2" t="s">
        <v>30</v>
      </c>
      <c r="F143" s="2">
        <v>37214</v>
      </c>
      <c r="G143" s="2" t="s">
        <v>64</v>
      </c>
      <c r="H143" t="s">
        <v>2707</v>
      </c>
      <c r="I143" s="6">
        <v>33175</v>
      </c>
      <c r="J143" s="2" t="s">
        <v>3999</v>
      </c>
      <c r="K143" s="2">
        <v>72000</v>
      </c>
      <c r="L143" t="s">
        <v>2689</v>
      </c>
      <c r="M143" t="s">
        <v>29</v>
      </c>
      <c r="N143" t="s">
        <v>30</v>
      </c>
      <c r="O143">
        <v>37214</v>
      </c>
      <c r="P143" t="s">
        <v>4000</v>
      </c>
      <c r="Q143" s="2">
        <v>0.48</v>
      </c>
      <c r="R143" s="2">
        <v>334</v>
      </c>
      <c r="S143" s="2">
        <v>140</v>
      </c>
      <c r="T143" t="s">
        <v>4001</v>
      </c>
      <c r="U143" s="6">
        <v>30886</v>
      </c>
      <c r="V143" s="2">
        <v>47037015502</v>
      </c>
      <c r="W143" s="2" t="s">
        <v>68</v>
      </c>
      <c r="X143" s="1">
        <v>45658</v>
      </c>
      <c r="Y143" s="2">
        <v>3300</v>
      </c>
      <c r="Z143" s="2">
        <v>0</v>
      </c>
      <c r="AA143" s="2">
        <v>3300</v>
      </c>
    </row>
    <row r="144" spans="1:27" x14ac:dyDescent="0.3">
      <c r="A144" s="3">
        <v>15</v>
      </c>
      <c r="B144" s="2" t="str">
        <f>"09615010500"</f>
        <v>09615010500</v>
      </c>
      <c r="C144" s="2" t="s">
        <v>4002</v>
      </c>
      <c r="D144" t="s">
        <v>29</v>
      </c>
      <c r="E144" s="2" t="s">
        <v>30</v>
      </c>
      <c r="F144" s="2">
        <v>37214</v>
      </c>
      <c r="G144" s="2" t="s">
        <v>64</v>
      </c>
      <c r="H144" t="s">
        <v>2707</v>
      </c>
      <c r="I144" s="6">
        <v>33301</v>
      </c>
      <c r="J144" s="2" t="s">
        <v>4003</v>
      </c>
      <c r="K144" s="2">
        <v>81000</v>
      </c>
      <c r="L144" t="s">
        <v>2689</v>
      </c>
      <c r="M144" t="s">
        <v>29</v>
      </c>
      <c r="N144" t="s">
        <v>30</v>
      </c>
      <c r="O144">
        <v>37214</v>
      </c>
      <c r="P144" t="s">
        <v>4004</v>
      </c>
      <c r="Q144" s="2">
        <v>0.32</v>
      </c>
      <c r="R144" s="2">
        <v>117</v>
      </c>
      <c r="S144" s="2">
        <v>114</v>
      </c>
      <c r="T144" t="s">
        <v>4005</v>
      </c>
      <c r="U144" s="6">
        <v>26855</v>
      </c>
      <c r="V144" s="2">
        <v>47037015502</v>
      </c>
      <c r="W144" s="2" t="s">
        <v>68</v>
      </c>
      <c r="X144" s="1">
        <v>45658</v>
      </c>
      <c r="Y144" s="2">
        <v>3300</v>
      </c>
      <c r="Z144" s="2">
        <v>0</v>
      </c>
      <c r="AA144" s="2">
        <v>3300</v>
      </c>
    </row>
    <row r="145" spans="1:27" x14ac:dyDescent="0.3">
      <c r="A145" s="3">
        <v>15</v>
      </c>
      <c r="B145" s="2" t="str">
        <f>"10802010200"</f>
        <v>10802010200</v>
      </c>
      <c r="C145" s="2" t="s">
        <v>4006</v>
      </c>
      <c r="D145" t="s">
        <v>29</v>
      </c>
      <c r="E145" s="2" t="s">
        <v>30</v>
      </c>
      <c r="F145" s="2">
        <v>37214</v>
      </c>
      <c r="G145" s="2" t="s">
        <v>64</v>
      </c>
      <c r="H145" t="s">
        <v>2707</v>
      </c>
      <c r="I145" s="6">
        <v>33102</v>
      </c>
      <c r="J145" s="2" t="s">
        <v>4007</v>
      </c>
      <c r="K145" s="2">
        <v>82000</v>
      </c>
      <c r="L145" t="s">
        <v>2689</v>
      </c>
      <c r="M145" t="s">
        <v>29</v>
      </c>
      <c r="N145" t="s">
        <v>30</v>
      </c>
      <c r="O145">
        <v>37214</v>
      </c>
      <c r="P145" t="s">
        <v>4008</v>
      </c>
      <c r="Q145" s="2">
        <v>0.38</v>
      </c>
      <c r="R145" s="2">
        <v>130</v>
      </c>
      <c r="S145" s="2">
        <v>179</v>
      </c>
      <c r="T145" t="s">
        <v>3619</v>
      </c>
      <c r="U145" s="6">
        <v>35123</v>
      </c>
      <c r="V145" s="2">
        <v>47037015502</v>
      </c>
      <c r="W145" s="2" t="s">
        <v>68</v>
      </c>
      <c r="X145" s="1">
        <v>45658</v>
      </c>
      <c r="Y145" s="2">
        <v>3300</v>
      </c>
      <c r="Z145" s="2">
        <v>0</v>
      </c>
      <c r="AA145" s="2">
        <v>3300</v>
      </c>
    </row>
    <row r="146" spans="1:27" x14ac:dyDescent="0.3">
      <c r="A146" s="3">
        <v>15</v>
      </c>
      <c r="B146" s="2" t="str">
        <f>"10802010400"</f>
        <v>10802010400</v>
      </c>
      <c r="C146" s="2" t="s">
        <v>4009</v>
      </c>
      <c r="D146" t="s">
        <v>29</v>
      </c>
      <c r="E146" s="2" t="s">
        <v>30</v>
      </c>
      <c r="F146" s="2">
        <v>37214</v>
      </c>
      <c r="G146" s="2" t="s">
        <v>64</v>
      </c>
      <c r="H146" t="s">
        <v>2707</v>
      </c>
      <c r="I146" s="6">
        <v>33102</v>
      </c>
      <c r="J146" s="2" t="s">
        <v>4010</v>
      </c>
      <c r="K146" s="2">
        <v>85500</v>
      </c>
      <c r="L146" t="s">
        <v>2689</v>
      </c>
      <c r="M146" t="s">
        <v>29</v>
      </c>
      <c r="N146" t="s">
        <v>30</v>
      </c>
      <c r="O146">
        <v>37214</v>
      </c>
      <c r="P146" t="s">
        <v>4011</v>
      </c>
      <c r="Q146" s="2">
        <v>0.32</v>
      </c>
      <c r="R146" s="2">
        <v>60</v>
      </c>
      <c r="S146" s="2">
        <v>232</v>
      </c>
      <c r="T146" t="s">
        <v>4012</v>
      </c>
      <c r="U146" s="6">
        <v>28844</v>
      </c>
      <c r="V146" s="2">
        <v>47037015502</v>
      </c>
      <c r="W146" s="2" t="s">
        <v>68</v>
      </c>
      <c r="X146" s="1">
        <v>45658</v>
      </c>
      <c r="Y146" s="2">
        <v>3300</v>
      </c>
      <c r="Z146" s="2">
        <v>0</v>
      </c>
      <c r="AA146" s="2">
        <v>3300</v>
      </c>
    </row>
    <row r="147" spans="1:27" x14ac:dyDescent="0.3">
      <c r="A147" s="3">
        <v>15</v>
      </c>
      <c r="B147" s="2" t="str">
        <f>"10802010100"</f>
        <v>10802010100</v>
      </c>
      <c r="C147" s="2" t="s">
        <v>4013</v>
      </c>
      <c r="D147" t="s">
        <v>29</v>
      </c>
      <c r="E147" s="2" t="s">
        <v>30</v>
      </c>
      <c r="F147" s="2">
        <v>37214</v>
      </c>
      <c r="G147" s="2" t="s">
        <v>64</v>
      </c>
      <c r="H147" t="s">
        <v>2707</v>
      </c>
      <c r="I147" s="6">
        <v>33043</v>
      </c>
      <c r="J147" s="2" t="s">
        <v>4014</v>
      </c>
      <c r="K147" s="2">
        <v>59500</v>
      </c>
      <c r="L147" t="s">
        <v>2689</v>
      </c>
      <c r="M147" t="s">
        <v>29</v>
      </c>
      <c r="N147" t="s">
        <v>30</v>
      </c>
      <c r="O147">
        <v>37214</v>
      </c>
      <c r="P147" t="s">
        <v>4015</v>
      </c>
      <c r="Q147" s="2">
        <v>0.45</v>
      </c>
      <c r="R147" s="2">
        <v>75</v>
      </c>
      <c r="S147" s="2">
        <v>295</v>
      </c>
      <c r="T147" t="s">
        <v>4016</v>
      </c>
      <c r="U147" s="6">
        <v>23678</v>
      </c>
      <c r="V147" s="2">
        <v>47037015502</v>
      </c>
      <c r="W147" s="2" t="s">
        <v>68</v>
      </c>
      <c r="X147" s="1">
        <v>45658</v>
      </c>
      <c r="Y147" s="2">
        <v>3300</v>
      </c>
      <c r="Z147" s="2">
        <v>0</v>
      </c>
      <c r="AA147" s="2">
        <v>3300</v>
      </c>
    </row>
    <row r="148" spans="1:27" x14ac:dyDescent="0.3">
      <c r="A148" s="3">
        <v>15</v>
      </c>
      <c r="B148" s="2" t="str">
        <f>"10802010000"</f>
        <v>10802010000</v>
      </c>
      <c r="C148" s="2" t="s">
        <v>4017</v>
      </c>
      <c r="D148" t="s">
        <v>29</v>
      </c>
      <c r="E148" s="2" t="s">
        <v>30</v>
      </c>
      <c r="F148" s="2">
        <v>37214</v>
      </c>
      <c r="G148" s="2" t="s">
        <v>64</v>
      </c>
      <c r="H148" t="s">
        <v>2707</v>
      </c>
      <c r="I148" s="6">
        <v>33091</v>
      </c>
      <c r="J148" s="2" t="s">
        <v>4018</v>
      </c>
      <c r="K148" s="2">
        <v>72500</v>
      </c>
      <c r="L148" t="s">
        <v>2689</v>
      </c>
      <c r="M148" t="s">
        <v>29</v>
      </c>
      <c r="N148" t="s">
        <v>30</v>
      </c>
      <c r="O148">
        <v>37214</v>
      </c>
      <c r="P148" t="s">
        <v>4019</v>
      </c>
      <c r="Q148" s="2">
        <v>0.53</v>
      </c>
      <c r="R148" s="2">
        <v>75</v>
      </c>
      <c r="S148" s="2">
        <v>355</v>
      </c>
      <c r="T148" t="s">
        <v>4020</v>
      </c>
      <c r="U148" s="6">
        <v>26093</v>
      </c>
      <c r="V148" s="2">
        <v>47037015502</v>
      </c>
      <c r="W148" s="2" t="s">
        <v>68</v>
      </c>
      <c r="X148" s="1">
        <v>45658</v>
      </c>
      <c r="Y148" s="2">
        <v>3300</v>
      </c>
      <c r="Z148" s="2">
        <v>0</v>
      </c>
      <c r="AA148" s="2">
        <v>3300</v>
      </c>
    </row>
    <row r="149" spans="1:27" x14ac:dyDescent="0.3">
      <c r="A149" s="3">
        <v>15</v>
      </c>
      <c r="B149" s="2" t="str">
        <f>"10802009900"</f>
        <v>10802009900</v>
      </c>
      <c r="C149" s="2" t="s">
        <v>4021</v>
      </c>
      <c r="D149" t="s">
        <v>29</v>
      </c>
      <c r="E149" s="2" t="s">
        <v>30</v>
      </c>
      <c r="F149" s="2">
        <v>37214</v>
      </c>
      <c r="G149" s="2" t="s">
        <v>64</v>
      </c>
      <c r="H149" t="s">
        <v>2707</v>
      </c>
      <c r="I149" s="6">
        <v>32996</v>
      </c>
      <c r="J149" s="2" t="s">
        <v>4022</v>
      </c>
      <c r="K149" s="2">
        <v>76500</v>
      </c>
      <c r="L149" t="s">
        <v>2689</v>
      </c>
      <c r="M149" t="s">
        <v>29</v>
      </c>
      <c r="N149" t="s">
        <v>30</v>
      </c>
      <c r="O149">
        <v>37214</v>
      </c>
      <c r="P149" t="s">
        <v>4023</v>
      </c>
      <c r="Q149" s="2">
        <v>0.63</v>
      </c>
      <c r="R149" s="2">
        <v>75</v>
      </c>
      <c r="S149" s="2">
        <v>409</v>
      </c>
      <c r="T149" t="s">
        <v>4024</v>
      </c>
      <c r="U149" s="6">
        <v>25455</v>
      </c>
      <c r="V149" s="2">
        <v>47037015502</v>
      </c>
      <c r="W149" s="2" t="s">
        <v>68</v>
      </c>
      <c r="X149" s="1">
        <v>45658</v>
      </c>
      <c r="Y149" s="2">
        <v>3300</v>
      </c>
      <c r="Z149" s="2">
        <v>0</v>
      </c>
      <c r="AA149" s="2">
        <v>3300</v>
      </c>
    </row>
    <row r="150" spans="1:27" x14ac:dyDescent="0.3">
      <c r="A150" s="3">
        <v>15</v>
      </c>
      <c r="B150" s="2" t="str">
        <f>"10802009800"</f>
        <v>10802009800</v>
      </c>
      <c r="C150" s="2" t="s">
        <v>4025</v>
      </c>
      <c r="D150" t="s">
        <v>29</v>
      </c>
      <c r="E150" s="2" t="s">
        <v>30</v>
      </c>
      <c r="F150" s="2">
        <v>37214</v>
      </c>
      <c r="G150" s="2" t="s">
        <v>64</v>
      </c>
      <c r="H150" t="s">
        <v>2707</v>
      </c>
      <c r="I150" s="6">
        <v>33070</v>
      </c>
      <c r="J150" s="2" t="s">
        <v>4026</v>
      </c>
      <c r="K150" s="2">
        <v>72000</v>
      </c>
      <c r="L150" t="s">
        <v>2689</v>
      </c>
      <c r="M150" t="s">
        <v>29</v>
      </c>
      <c r="N150" t="s">
        <v>30</v>
      </c>
      <c r="O150">
        <v>37214</v>
      </c>
      <c r="P150" t="s">
        <v>4027</v>
      </c>
      <c r="Q150" s="2">
        <v>0.65</v>
      </c>
      <c r="R150" s="2">
        <v>75</v>
      </c>
      <c r="S150" s="2">
        <v>409</v>
      </c>
      <c r="T150" t="s">
        <v>4028</v>
      </c>
      <c r="U150" s="6">
        <v>24728</v>
      </c>
      <c r="V150" s="2">
        <v>47037015502</v>
      </c>
      <c r="W150" s="2" t="s">
        <v>68</v>
      </c>
      <c r="X150" s="1">
        <v>45658</v>
      </c>
      <c r="Y150" s="2">
        <v>3300</v>
      </c>
      <c r="Z150" s="2">
        <v>0</v>
      </c>
      <c r="AA150" s="2">
        <v>3300</v>
      </c>
    </row>
    <row r="151" spans="1:27" x14ac:dyDescent="0.3">
      <c r="A151" s="3">
        <v>15</v>
      </c>
      <c r="B151" s="2" t="str">
        <f>"10802009400"</f>
        <v>10802009400</v>
      </c>
      <c r="C151" s="2" t="s">
        <v>4029</v>
      </c>
      <c r="D151" t="s">
        <v>29</v>
      </c>
      <c r="E151" s="2" t="s">
        <v>30</v>
      </c>
      <c r="F151" s="2">
        <v>37214</v>
      </c>
      <c r="G151" s="2" t="s">
        <v>64</v>
      </c>
      <c r="H151" t="s">
        <v>2707</v>
      </c>
      <c r="I151" s="6">
        <v>41985</v>
      </c>
      <c r="J151" s="2" t="s">
        <v>4030</v>
      </c>
      <c r="K151" s="2">
        <v>127700</v>
      </c>
      <c r="L151" t="s">
        <v>2689</v>
      </c>
      <c r="M151" t="s">
        <v>29</v>
      </c>
      <c r="N151" t="s">
        <v>30</v>
      </c>
      <c r="O151">
        <v>37214</v>
      </c>
      <c r="P151" t="s">
        <v>4031</v>
      </c>
      <c r="Q151" s="2">
        <v>1.61</v>
      </c>
      <c r="R151" s="2">
        <v>198</v>
      </c>
      <c r="S151" s="2">
        <v>431</v>
      </c>
      <c r="T151" t="s">
        <v>4032</v>
      </c>
      <c r="U151" s="6">
        <v>26112</v>
      </c>
      <c r="V151" s="2">
        <v>47037015502</v>
      </c>
      <c r="W151" s="2" t="s">
        <v>68</v>
      </c>
      <c r="X151" s="1">
        <v>45658</v>
      </c>
      <c r="Y151" s="2">
        <v>143300</v>
      </c>
      <c r="Z151" s="2">
        <v>0</v>
      </c>
      <c r="AA151" s="2">
        <v>143300</v>
      </c>
    </row>
    <row r="152" spans="1:27" x14ac:dyDescent="0.3">
      <c r="A152" s="3">
        <v>15</v>
      </c>
      <c r="B152" s="2" t="str">
        <f>"10802009700"</f>
        <v>10802009700</v>
      </c>
      <c r="C152" s="2" t="s">
        <v>4033</v>
      </c>
      <c r="D152" t="s">
        <v>29</v>
      </c>
      <c r="E152" s="2" t="s">
        <v>30</v>
      </c>
      <c r="F152" s="2">
        <v>37214</v>
      </c>
      <c r="G152" s="2" t="s">
        <v>64</v>
      </c>
      <c r="H152" t="s">
        <v>2707</v>
      </c>
      <c r="I152" s="6">
        <v>33067</v>
      </c>
      <c r="J152" s="2" t="s">
        <v>4034</v>
      </c>
      <c r="K152" s="2">
        <v>64000</v>
      </c>
      <c r="L152" t="s">
        <v>2689</v>
      </c>
      <c r="M152" t="s">
        <v>29</v>
      </c>
      <c r="N152" t="s">
        <v>30</v>
      </c>
      <c r="O152">
        <v>37214</v>
      </c>
      <c r="P152" t="s">
        <v>4035</v>
      </c>
      <c r="Q152" s="2">
        <v>0.57999999999999996</v>
      </c>
      <c r="R152" s="2">
        <v>75</v>
      </c>
      <c r="S152" s="2">
        <v>355</v>
      </c>
      <c r="T152" t="s">
        <v>4036</v>
      </c>
      <c r="U152" s="6">
        <v>26793</v>
      </c>
      <c r="V152" s="2">
        <v>47037015502</v>
      </c>
      <c r="W152" s="2" t="s">
        <v>68</v>
      </c>
      <c r="X152" s="1">
        <v>45658</v>
      </c>
      <c r="Y152" s="2">
        <v>3300</v>
      </c>
      <c r="Z152" s="2">
        <v>0</v>
      </c>
      <c r="AA152" s="2">
        <v>3300</v>
      </c>
    </row>
    <row r="153" spans="1:27" x14ac:dyDescent="0.3">
      <c r="A153" s="3">
        <v>15</v>
      </c>
      <c r="B153" s="2" t="str">
        <f>"10802009600"</f>
        <v>10802009600</v>
      </c>
      <c r="C153" s="2" t="s">
        <v>4037</v>
      </c>
      <c r="D153" t="s">
        <v>29</v>
      </c>
      <c r="E153" s="2" t="s">
        <v>30</v>
      </c>
      <c r="F153" s="2">
        <v>37214</v>
      </c>
      <c r="G153" s="2" t="s">
        <v>64</v>
      </c>
      <c r="H153" t="s">
        <v>2707</v>
      </c>
      <c r="I153" s="6">
        <v>33002</v>
      </c>
      <c r="J153" s="2" t="s">
        <v>4038</v>
      </c>
      <c r="K153" s="2">
        <v>62000</v>
      </c>
      <c r="L153" t="s">
        <v>2689</v>
      </c>
      <c r="M153" t="s">
        <v>29</v>
      </c>
      <c r="N153" t="s">
        <v>30</v>
      </c>
      <c r="O153">
        <v>37214</v>
      </c>
      <c r="P153" t="s">
        <v>4039</v>
      </c>
      <c r="Q153" s="2">
        <v>0.75</v>
      </c>
      <c r="R153" s="2">
        <v>244</v>
      </c>
      <c r="S153" s="2">
        <v>303</v>
      </c>
      <c r="T153" t="s">
        <v>4040</v>
      </c>
      <c r="U153" s="6">
        <v>24411</v>
      </c>
      <c r="V153" s="2">
        <v>47037015502</v>
      </c>
      <c r="W153" s="2" t="s">
        <v>68</v>
      </c>
      <c r="X153" s="1">
        <v>45658</v>
      </c>
      <c r="Y153" s="2">
        <v>3300</v>
      </c>
      <c r="Z153" s="2">
        <v>0</v>
      </c>
      <c r="AA153" s="2">
        <v>3300</v>
      </c>
    </row>
    <row r="154" spans="1:27" x14ac:dyDescent="0.3">
      <c r="A154" s="3">
        <v>15</v>
      </c>
      <c r="B154" s="2" t="str">
        <f>"10802005600"</f>
        <v>10802005600</v>
      </c>
      <c r="C154" s="2" t="s">
        <v>4041</v>
      </c>
      <c r="D154" t="s">
        <v>29</v>
      </c>
      <c r="E154" s="2" t="s">
        <v>30</v>
      </c>
      <c r="F154" s="2">
        <v>37214</v>
      </c>
      <c r="G154" s="2" t="s">
        <v>64</v>
      </c>
      <c r="H154" t="s">
        <v>2707</v>
      </c>
      <c r="I154" s="6">
        <v>33140</v>
      </c>
      <c r="J154" s="2" t="s">
        <v>4042</v>
      </c>
      <c r="K154" s="2">
        <v>53000</v>
      </c>
      <c r="L154" t="s">
        <v>2689</v>
      </c>
      <c r="M154" t="s">
        <v>29</v>
      </c>
      <c r="N154" t="s">
        <v>30</v>
      </c>
      <c r="O154">
        <v>37214</v>
      </c>
      <c r="P154" t="s">
        <v>4043</v>
      </c>
      <c r="Q154" s="2">
        <v>0.28999999999999998</v>
      </c>
      <c r="R154" s="2">
        <v>75</v>
      </c>
      <c r="S154" s="2">
        <v>125</v>
      </c>
      <c r="T154" t="s">
        <v>4044</v>
      </c>
      <c r="U154" s="6">
        <v>24683</v>
      </c>
      <c r="V154" s="2">
        <v>47037015502</v>
      </c>
      <c r="W154" s="2" t="s">
        <v>68</v>
      </c>
      <c r="X154" s="1">
        <v>45658</v>
      </c>
      <c r="Y154" s="2">
        <v>3300</v>
      </c>
      <c r="Z154" s="2">
        <v>0</v>
      </c>
      <c r="AA154" s="2">
        <v>3300</v>
      </c>
    </row>
    <row r="155" spans="1:27" x14ac:dyDescent="0.3">
      <c r="A155" s="3">
        <v>15</v>
      </c>
      <c r="B155" s="2" t="str">
        <f>"10802005700"</f>
        <v>10802005700</v>
      </c>
      <c r="C155" s="2" t="s">
        <v>4045</v>
      </c>
      <c r="D155" t="s">
        <v>29</v>
      </c>
      <c r="E155" s="2" t="s">
        <v>30</v>
      </c>
      <c r="F155" s="2">
        <v>37214</v>
      </c>
      <c r="G155" s="2" t="s">
        <v>64</v>
      </c>
      <c r="H155" t="s">
        <v>2707</v>
      </c>
      <c r="I155" s="6">
        <v>33135</v>
      </c>
      <c r="J155" s="2" t="s">
        <v>4046</v>
      </c>
      <c r="K155" s="2">
        <v>69000</v>
      </c>
      <c r="L155" t="s">
        <v>2689</v>
      </c>
      <c r="M155" t="s">
        <v>29</v>
      </c>
      <c r="N155" t="s">
        <v>30</v>
      </c>
      <c r="O155">
        <v>37214</v>
      </c>
      <c r="P155" t="s">
        <v>4047</v>
      </c>
      <c r="Q155" s="2">
        <v>0.25</v>
      </c>
      <c r="R155" s="2">
        <v>81</v>
      </c>
      <c r="S155" s="2">
        <v>199</v>
      </c>
      <c r="T155" t="s">
        <v>4048</v>
      </c>
      <c r="U155" s="6">
        <v>25314</v>
      </c>
      <c r="V155" s="2">
        <v>47037015502</v>
      </c>
      <c r="W155" s="2" t="s">
        <v>68</v>
      </c>
      <c r="X155" s="1">
        <v>45658</v>
      </c>
      <c r="Y155" s="2">
        <v>3300</v>
      </c>
      <c r="Z155" s="2">
        <v>0</v>
      </c>
      <c r="AA155" s="2">
        <v>3300</v>
      </c>
    </row>
    <row r="156" spans="1:27" x14ac:dyDescent="0.3">
      <c r="A156" s="3">
        <v>15</v>
      </c>
      <c r="B156" s="2" t="str">
        <f>"10802009200"</f>
        <v>10802009200</v>
      </c>
      <c r="C156" s="2" t="s">
        <v>4049</v>
      </c>
      <c r="D156" t="s">
        <v>29</v>
      </c>
      <c r="E156" s="2" t="s">
        <v>30</v>
      </c>
      <c r="F156" s="2">
        <v>37214</v>
      </c>
      <c r="G156" s="2" t="s">
        <v>64</v>
      </c>
      <c r="H156" t="s">
        <v>2707</v>
      </c>
      <c r="I156" s="6">
        <v>32932</v>
      </c>
      <c r="J156" s="2" t="s">
        <v>4050</v>
      </c>
      <c r="K156" s="2">
        <v>77000</v>
      </c>
      <c r="L156" t="s">
        <v>2689</v>
      </c>
      <c r="M156" t="s">
        <v>29</v>
      </c>
      <c r="N156" t="s">
        <v>30</v>
      </c>
      <c r="O156">
        <v>37214</v>
      </c>
      <c r="P156" t="s">
        <v>4051</v>
      </c>
      <c r="Q156" s="2">
        <v>0.97</v>
      </c>
      <c r="R156" s="2">
        <v>60</v>
      </c>
      <c r="S156" s="2">
        <v>387</v>
      </c>
      <c r="T156" t="s">
        <v>4052</v>
      </c>
      <c r="U156" s="6">
        <v>27257</v>
      </c>
      <c r="V156" s="2">
        <v>47037015502</v>
      </c>
      <c r="W156" s="2" t="s">
        <v>68</v>
      </c>
      <c r="X156" s="1">
        <v>45658</v>
      </c>
      <c r="Y156" s="2">
        <v>3300</v>
      </c>
      <c r="Z156" s="2">
        <v>0</v>
      </c>
      <c r="AA156" s="2">
        <v>3300</v>
      </c>
    </row>
    <row r="157" spans="1:27" x14ac:dyDescent="0.3">
      <c r="A157" s="3">
        <v>15</v>
      </c>
      <c r="B157" s="2" t="str">
        <f>"10802005800"</f>
        <v>10802005800</v>
      </c>
      <c r="C157" s="2" t="s">
        <v>4053</v>
      </c>
      <c r="D157" t="s">
        <v>29</v>
      </c>
      <c r="E157" s="2" t="s">
        <v>30</v>
      </c>
      <c r="F157" s="2">
        <v>37214</v>
      </c>
      <c r="G157" s="2" t="s">
        <v>64</v>
      </c>
      <c r="H157" t="s">
        <v>2707</v>
      </c>
      <c r="I157" s="6">
        <v>33323</v>
      </c>
      <c r="J157" s="2" t="s">
        <v>4054</v>
      </c>
      <c r="K157" s="2">
        <v>69000</v>
      </c>
      <c r="L157" t="s">
        <v>2689</v>
      </c>
      <c r="M157" t="s">
        <v>29</v>
      </c>
      <c r="N157" t="s">
        <v>30</v>
      </c>
      <c r="O157">
        <v>37214</v>
      </c>
      <c r="P157" t="s">
        <v>4055</v>
      </c>
      <c r="Q157" s="2">
        <v>0.28000000000000003</v>
      </c>
      <c r="R157" s="2">
        <v>65</v>
      </c>
      <c r="S157" s="2">
        <v>199</v>
      </c>
      <c r="T157" t="s">
        <v>4056</v>
      </c>
      <c r="U157" s="6">
        <v>25798</v>
      </c>
      <c r="V157" s="2">
        <v>47037015502</v>
      </c>
      <c r="W157" s="2" t="s">
        <v>68</v>
      </c>
      <c r="X157" s="1">
        <v>45658</v>
      </c>
      <c r="Y157" s="2">
        <v>3300</v>
      </c>
      <c r="Z157" s="2">
        <v>0</v>
      </c>
      <c r="AA157" s="2">
        <v>3300</v>
      </c>
    </row>
    <row r="158" spans="1:27" x14ac:dyDescent="0.3">
      <c r="A158" s="3">
        <v>15</v>
      </c>
      <c r="B158" s="2" t="str">
        <f>"10802005500"</f>
        <v>10802005500</v>
      </c>
      <c r="C158" s="2" t="s">
        <v>4057</v>
      </c>
      <c r="D158" t="s">
        <v>29</v>
      </c>
      <c r="E158" s="2" t="s">
        <v>30</v>
      </c>
      <c r="F158" s="2">
        <v>37214</v>
      </c>
      <c r="G158" s="2" t="s">
        <v>64</v>
      </c>
      <c r="H158" t="s">
        <v>2707</v>
      </c>
      <c r="I158" s="6">
        <v>33162</v>
      </c>
      <c r="J158" s="2" t="s">
        <v>4058</v>
      </c>
      <c r="K158" s="2">
        <v>65500</v>
      </c>
      <c r="L158" t="s">
        <v>2689</v>
      </c>
      <c r="M158" t="s">
        <v>29</v>
      </c>
      <c r="N158" t="s">
        <v>30</v>
      </c>
      <c r="O158">
        <v>37214</v>
      </c>
      <c r="P158" t="s">
        <v>4059</v>
      </c>
      <c r="Q158" s="2">
        <v>0.28999999999999998</v>
      </c>
      <c r="R158" s="2">
        <v>80</v>
      </c>
      <c r="S158" s="2">
        <v>167</v>
      </c>
      <c r="T158" t="s">
        <v>4060</v>
      </c>
      <c r="U158" s="6">
        <v>20667</v>
      </c>
      <c r="V158" s="2">
        <v>47037015502</v>
      </c>
      <c r="W158" s="2" t="s">
        <v>68</v>
      </c>
      <c r="X158" s="1">
        <v>45658</v>
      </c>
      <c r="Y158" s="2">
        <v>3300</v>
      </c>
      <c r="Z158" s="2">
        <v>0</v>
      </c>
      <c r="AA158" s="2">
        <v>3300</v>
      </c>
    </row>
    <row r="159" spans="1:27" x14ac:dyDescent="0.3">
      <c r="A159" s="3">
        <v>15</v>
      </c>
      <c r="B159" s="2" t="str">
        <f>"10802005900"</f>
        <v>10802005900</v>
      </c>
      <c r="C159" s="2" t="s">
        <v>4061</v>
      </c>
      <c r="D159" t="s">
        <v>29</v>
      </c>
      <c r="E159" s="2" t="s">
        <v>30</v>
      </c>
      <c r="F159" s="2">
        <v>37214</v>
      </c>
      <c r="G159" s="2" t="s">
        <v>64</v>
      </c>
      <c r="H159" t="s">
        <v>2707</v>
      </c>
      <c r="I159" s="6">
        <v>33164</v>
      </c>
      <c r="J159" s="2" t="s">
        <v>4062</v>
      </c>
      <c r="K159" s="2">
        <v>69000</v>
      </c>
      <c r="L159" t="s">
        <v>2689</v>
      </c>
      <c r="M159" t="s">
        <v>29</v>
      </c>
      <c r="N159" t="s">
        <v>30</v>
      </c>
      <c r="O159">
        <v>37214</v>
      </c>
      <c r="P159" t="s">
        <v>4063</v>
      </c>
      <c r="Q159" s="2">
        <v>0.44</v>
      </c>
      <c r="R159" s="2">
        <v>99</v>
      </c>
      <c r="S159" s="2">
        <v>197</v>
      </c>
      <c r="T159" t="s">
        <v>4064</v>
      </c>
      <c r="U159" s="6">
        <v>26828</v>
      </c>
      <c r="V159" s="2">
        <v>47037015502</v>
      </c>
      <c r="W159" s="2" t="s">
        <v>68</v>
      </c>
      <c r="X159" s="1">
        <v>45658</v>
      </c>
      <c r="Y159" s="2">
        <v>3300</v>
      </c>
      <c r="Z159" s="2">
        <v>0</v>
      </c>
      <c r="AA159" s="2">
        <v>3300</v>
      </c>
    </row>
    <row r="160" spans="1:27" x14ac:dyDescent="0.3">
      <c r="A160" s="3">
        <v>15</v>
      </c>
      <c r="B160" s="2" t="str">
        <f>"10802006000"</f>
        <v>10802006000</v>
      </c>
      <c r="C160" s="2" t="s">
        <v>4065</v>
      </c>
      <c r="D160" t="s">
        <v>29</v>
      </c>
      <c r="E160" s="2" t="s">
        <v>30</v>
      </c>
      <c r="F160" s="2">
        <v>37214</v>
      </c>
      <c r="G160" s="2" t="s">
        <v>64</v>
      </c>
      <c r="H160" t="s">
        <v>2707</v>
      </c>
      <c r="I160" s="6">
        <v>33186</v>
      </c>
      <c r="J160" s="2" t="s">
        <v>4066</v>
      </c>
      <c r="K160" s="2">
        <v>72500</v>
      </c>
      <c r="L160" t="s">
        <v>2689</v>
      </c>
      <c r="M160" t="s">
        <v>29</v>
      </c>
      <c r="N160" t="s">
        <v>30</v>
      </c>
      <c r="O160">
        <v>37214</v>
      </c>
      <c r="P160" t="s">
        <v>4067</v>
      </c>
      <c r="Q160" s="2">
        <v>0.43</v>
      </c>
      <c r="R160" s="2">
        <v>101</v>
      </c>
      <c r="S160" s="2">
        <v>193</v>
      </c>
      <c r="T160" t="s">
        <v>4068</v>
      </c>
      <c r="U160" s="6">
        <v>24726</v>
      </c>
      <c r="V160" s="2">
        <v>47037015502</v>
      </c>
      <c r="W160" s="2" t="s">
        <v>68</v>
      </c>
      <c r="X160" s="1">
        <v>45658</v>
      </c>
      <c r="Y160" s="2">
        <v>3300</v>
      </c>
      <c r="Z160" s="2">
        <v>0</v>
      </c>
      <c r="AA160" s="2">
        <v>3300</v>
      </c>
    </row>
    <row r="161" spans="1:27" x14ac:dyDescent="0.3">
      <c r="A161" s="3">
        <v>15</v>
      </c>
      <c r="B161" s="2" t="str">
        <f>"10802005400"</f>
        <v>10802005400</v>
      </c>
      <c r="C161" s="2" t="s">
        <v>4069</v>
      </c>
      <c r="D161" t="s">
        <v>29</v>
      </c>
      <c r="E161" s="2" t="s">
        <v>30</v>
      </c>
      <c r="F161" s="2">
        <v>37214</v>
      </c>
      <c r="G161" s="2" t="s">
        <v>64</v>
      </c>
      <c r="H161" t="s">
        <v>2707</v>
      </c>
      <c r="I161" s="6">
        <v>33219</v>
      </c>
      <c r="J161" s="2" t="s">
        <v>4070</v>
      </c>
      <c r="K161" s="2">
        <v>65000</v>
      </c>
      <c r="L161" t="s">
        <v>2689</v>
      </c>
      <c r="M161" t="s">
        <v>29</v>
      </c>
      <c r="N161" t="s">
        <v>30</v>
      </c>
      <c r="O161">
        <v>37214</v>
      </c>
      <c r="P161" t="s">
        <v>4071</v>
      </c>
      <c r="Q161" s="2">
        <v>0.67</v>
      </c>
      <c r="R161" s="2">
        <v>130</v>
      </c>
      <c r="S161" s="2">
        <v>198</v>
      </c>
      <c r="T161" t="s">
        <v>4072</v>
      </c>
      <c r="U161" s="6">
        <v>20920</v>
      </c>
      <c r="V161" s="2">
        <v>47037015502</v>
      </c>
      <c r="W161" s="2" t="s">
        <v>68</v>
      </c>
      <c r="X161" s="1">
        <v>45658</v>
      </c>
      <c r="Y161" s="2">
        <v>3300</v>
      </c>
      <c r="Z161" s="2">
        <v>0</v>
      </c>
      <c r="AA161" s="2">
        <v>3300</v>
      </c>
    </row>
    <row r="162" spans="1:27" x14ac:dyDescent="0.3">
      <c r="A162" s="3">
        <v>15</v>
      </c>
      <c r="B162" s="2" t="str">
        <f>"10802009100"</f>
        <v>10802009100</v>
      </c>
      <c r="C162" s="2" t="s">
        <v>4073</v>
      </c>
      <c r="D162" t="s">
        <v>29</v>
      </c>
      <c r="E162" s="2" t="s">
        <v>30</v>
      </c>
      <c r="F162" s="2">
        <v>37214</v>
      </c>
      <c r="G162" s="2" t="s">
        <v>64</v>
      </c>
      <c r="H162" t="s">
        <v>2707</v>
      </c>
      <c r="I162" s="6">
        <v>32899</v>
      </c>
      <c r="J162" s="2" t="s">
        <v>4074</v>
      </c>
      <c r="K162" s="2">
        <v>79500</v>
      </c>
      <c r="L162" t="s">
        <v>2689</v>
      </c>
      <c r="M162" t="s">
        <v>29</v>
      </c>
      <c r="N162" t="s">
        <v>30</v>
      </c>
      <c r="O162">
        <v>37214</v>
      </c>
      <c r="P162" t="s">
        <v>4075</v>
      </c>
      <c r="Q162" s="2">
        <v>1.17</v>
      </c>
      <c r="R162" s="2">
        <v>60</v>
      </c>
      <c r="S162" s="2">
        <v>439</v>
      </c>
      <c r="T162" t="s">
        <v>4076</v>
      </c>
      <c r="U162" s="6">
        <v>27110</v>
      </c>
      <c r="V162" s="2">
        <v>47037015502</v>
      </c>
      <c r="W162" s="2" t="s">
        <v>68</v>
      </c>
      <c r="X162" s="1">
        <v>45658</v>
      </c>
      <c r="Y162" s="2">
        <v>3900</v>
      </c>
      <c r="Z162" s="2">
        <v>0</v>
      </c>
      <c r="AA162" s="2">
        <v>3900</v>
      </c>
    </row>
    <row r="163" spans="1:27" x14ac:dyDescent="0.3">
      <c r="A163" s="3">
        <v>15</v>
      </c>
      <c r="B163" s="2" t="str">
        <f>"10802006500"</f>
        <v>10802006500</v>
      </c>
      <c r="C163" s="2" t="s">
        <v>4077</v>
      </c>
      <c r="D163" t="s">
        <v>29</v>
      </c>
      <c r="E163" s="2" t="s">
        <v>30</v>
      </c>
      <c r="F163" s="2">
        <v>37214</v>
      </c>
      <c r="G163" s="2" t="s">
        <v>64</v>
      </c>
      <c r="H163" t="s">
        <v>2707</v>
      </c>
      <c r="I163" s="6">
        <v>33225</v>
      </c>
      <c r="J163" s="2" t="s">
        <v>4078</v>
      </c>
      <c r="K163" s="2">
        <v>67500</v>
      </c>
      <c r="L163" t="s">
        <v>2689</v>
      </c>
      <c r="M163" t="s">
        <v>29</v>
      </c>
      <c r="N163" t="s">
        <v>30</v>
      </c>
      <c r="O163">
        <v>37214</v>
      </c>
      <c r="P163" t="s">
        <v>4079</v>
      </c>
      <c r="Q163" s="2">
        <v>0.4</v>
      </c>
      <c r="R163" s="2">
        <v>90</v>
      </c>
      <c r="S163" s="2">
        <v>202</v>
      </c>
      <c r="T163" t="s">
        <v>4080</v>
      </c>
      <c r="U163" s="6">
        <v>26296</v>
      </c>
      <c r="V163" s="2">
        <v>47037015502</v>
      </c>
      <c r="W163" s="2" t="s">
        <v>68</v>
      </c>
      <c r="X163" s="1">
        <v>45658</v>
      </c>
      <c r="Y163" s="2">
        <v>3300</v>
      </c>
      <c r="Z163" s="2">
        <v>0</v>
      </c>
      <c r="AA163" s="2">
        <v>3300</v>
      </c>
    </row>
    <row r="164" spans="1:27" x14ac:dyDescent="0.3">
      <c r="A164" s="3">
        <v>15</v>
      </c>
      <c r="B164" s="2" t="str">
        <f>"10802006400"</f>
        <v>10802006400</v>
      </c>
      <c r="C164" s="2" t="s">
        <v>4081</v>
      </c>
      <c r="D164" t="s">
        <v>29</v>
      </c>
      <c r="E164" s="2" t="s">
        <v>30</v>
      </c>
      <c r="F164" s="2">
        <v>37214</v>
      </c>
      <c r="G164" s="2" t="s">
        <v>64</v>
      </c>
      <c r="H164" t="s">
        <v>2707</v>
      </c>
      <c r="I164" s="6">
        <v>33479</v>
      </c>
      <c r="J164" s="2" t="s">
        <v>4082</v>
      </c>
      <c r="K164" s="2">
        <v>64000</v>
      </c>
      <c r="L164" t="s">
        <v>2689</v>
      </c>
      <c r="M164" t="s">
        <v>29</v>
      </c>
      <c r="N164" t="s">
        <v>30</v>
      </c>
      <c r="O164">
        <v>37214</v>
      </c>
      <c r="P164" t="s">
        <v>4083</v>
      </c>
      <c r="Q164" s="2">
        <v>0.36</v>
      </c>
      <c r="R164" s="2">
        <v>80</v>
      </c>
      <c r="S164" s="2">
        <v>207</v>
      </c>
      <c r="T164" t="s">
        <v>4084</v>
      </c>
      <c r="U164" s="6">
        <v>23585</v>
      </c>
      <c r="V164" s="2">
        <v>47037015502</v>
      </c>
      <c r="W164" s="2" t="s">
        <v>68</v>
      </c>
      <c r="X164" s="1">
        <v>45658</v>
      </c>
      <c r="Y164" s="2">
        <v>3300</v>
      </c>
      <c r="Z164" s="2">
        <v>0</v>
      </c>
      <c r="AA164" s="2">
        <v>3300</v>
      </c>
    </row>
    <row r="165" spans="1:27" x14ac:dyDescent="0.3">
      <c r="A165" s="3">
        <v>15</v>
      </c>
      <c r="B165" s="2" t="str">
        <f>"10800019900"</f>
        <v>10800019900</v>
      </c>
      <c r="C165" s="2" t="s">
        <v>4085</v>
      </c>
      <c r="D165" t="s">
        <v>29</v>
      </c>
      <c r="E165" s="2" t="s">
        <v>30</v>
      </c>
      <c r="F165" s="2">
        <v>37214</v>
      </c>
      <c r="G165" s="2" t="s">
        <v>64</v>
      </c>
      <c r="H165" t="s">
        <v>2707</v>
      </c>
      <c r="I165" s="6">
        <v>33163</v>
      </c>
      <c r="J165" s="2" t="s">
        <v>4086</v>
      </c>
      <c r="K165" s="2">
        <v>18000</v>
      </c>
      <c r="L165" t="s">
        <v>2689</v>
      </c>
      <c r="M165" t="s">
        <v>29</v>
      </c>
      <c r="N165" t="s">
        <v>30</v>
      </c>
      <c r="O165">
        <v>37214</v>
      </c>
      <c r="P165" t="s">
        <v>4087</v>
      </c>
      <c r="Q165" s="2">
        <v>0.55000000000000004</v>
      </c>
      <c r="R165" s="2">
        <v>113</v>
      </c>
      <c r="S165" s="2">
        <v>200</v>
      </c>
      <c r="T165" t="s">
        <v>4088</v>
      </c>
      <c r="U165" s="6">
        <v>30314</v>
      </c>
      <c r="V165" s="2">
        <v>47037015502</v>
      </c>
      <c r="W165" s="2" t="s">
        <v>837</v>
      </c>
      <c r="X165" s="1">
        <v>45658</v>
      </c>
      <c r="Y165" s="2">
        <v>3300</v>
      </c>
      <c r="Z165" s="2">
        <v>0</v>
      </c>
      <c r="AA165" s="2">
        <v>3300</v>
      </c>
    </row>
    <row r="166" spans="1:27" x14ac:dyDescent="0.3">
      <c r="A166" s="3">
        <v>15</v>
      </c>
      <c r="B166" s="2" t="str">
        <f>"10800020000"</f>
        <v>10800020000</v>
      </c>
      <c r="C166" s="2" t="s">
        <v>4089</v>
      </c>
      <c r="D166" t="s">
        <v>29</v>
      </c>
      <c r="E166" s="2" t="s">
        <v>30</v>
      </c>
      <c r="F166" s="2">
        <v>37214</v>
      </c>
      <c r="G166" s="2" t="s">
        <v>64</v>
      </c>
      <c r="H166" t="s">
        <v>2707</v>
      </c>
      <c r="I166" s="6">
        <v>33308</v>
      </c>
      <c r="J166" s="2" t="s">
        <v>4090</v>
      </c>
      <c r="K166" s="2">
        <v>17500</v>
      </c>
      <c r="L166" t="s">
        <v>2689</v>
      </c>
      <c r="M166" t="s">
        <v>29</v>
      </c>
      <c r="N166" t="s">
        <v>30</v>
      </c>
      <c r="O166">
        <v>37214</v>
      </c>
      <c r="P166" t="s">
        <v>4087</v>
      </c>
      <c r="Q166" s="2">
        <v>0.51</v>
      </c>
      <c r="R166" s="2">
        <v>112</v>
      </c>
      <c r="S166" s="2">
        <v>200</v>
      </c>
      <c r="T166" t="s">
        <v>4091</v>
      </c>
      <c r="U166" s="6">
        <v>30314</v>
      </c>
      <c r="V166" s="2">
        <v>47037015502</v>
      </c>
      <c r="W166" s="2" t="s">
        <v>837</v>
      </c>
      <c r="X166" s="1">
        <v>45658</v>
      </c>
      <c r="Y166" s="2">
        <v>3300</v>
      </c>
      <c r="Z166" s="2">
        <v>0</v>
      </c>
      <c r="AA166" s="2">
        <v>3300</v>
      </c>
    </row>
    <row r="167" spans="1:27" x14ac:dyDescent="0.3">
      <c r="A167" s="3">
        <v>15</v>
      </c>
      <c r="B167" s="2" t="str">
        <f>"10802009000"</f>
        <v>10802009000</v>
      </c>
      <c r="C167" s="2" t="s">
        <v>4092</v>
      </c>
      <c r="D167" t="s">
        <v>29</v>
      </c>
      <c r="E167" s="2" t="s">
        <v>30</v>
      </c>
      <c r="F167" s="2">
        <v>37214</v>
      </c>
      <c r="G167" s="2" t="s">
        <v>64</v>
      </c>
      <c r="H167" t="s">
        <v>2707</v>
      </c>
      <c r="I167" s="6">
        <v>33277</v>
      </c>
      <c r="J167" s="2" t="s">
        <v>4093</v>
      </c>
      <c r="K167" s="2">
        <v>80000</v>
      </c>
      <c r="L167" t="s">
        <v>2689</v>
      </c>
      <c r="M167" t="s">
        <v>29</v>
      </c>
      <c r="N167" t="s">
        <v>30</v>
      </c>
      <c r="O167">
        <v>37214</v>
      </c>
      <c r="P167" t="s">
        <v>4094</v>
      </c>
      <c r="Q167" s="2">
        <v>0.65</v>
      </c>
      <c r="R167" s="2">
        <v>70</v>
      </c>
      <c r="S167" s="2">
        <v>439</v>
      </c>
      <c r="T167" t="s">
        <v>4095</v>
      </c>
      <c r="U167" s="6">
        <v>23979</v>
      </c>
      <c r="V167" s="2">
        <v>47037015502</v>
      </c>
      <c r="W167" s="2" t="s">
        <v>68</v>
      </c>
      <c r="X167" s="1">
        <v>45658</v>
      </c>
      <c r="Y167" s="2">
        <v>3300</v>
      </c>
      <c r="Z167" s="2">
        <v>0</v>
      </c>
      <c r="AA167" s="2">
        <v>3300</v>
      </c>
    </row>
    <row r="168" spans="1:27" x14ac:dyDescent="0.3">
      <c r="A168" s="3">
        <v>15</v>
      </c>
      <c r="B168" s="2" t="str">
        <f>"10802008300"</f>
        <v>10802008300</v>
      </c>
      <c r="C168" s="2" t="s">
        <v>4096</v>
      </c>
      <c r="D168" t="s">
        <v>29</v>
      </c>
      <c r="E168" s="2" t="s">
        <v>30</v>
      </c>
      <c r="F168" s="2">
        <v>37214</v>
      </c>
      <c r="G168" s="2" t="s">
        <v>64</v>
      </c>
      <c r="H168" t="s">
        <v>2707</v>
      </c>
      <c r="I168" s="6">
        <v>33086</v>
      </c>
      <c r="J168" s="2" t="s">
        <v>4097</v>
      </c>
      <c r="K168" s="2">
        <v>67500</v>
      </c>
      <c r="L168" t="s">
        <v>2689</v>
      </c>
      <c r="M168" t="s">
        <v>29</v>
      </c>
      <c r="N168" t="s">
        <v>30</v>
      </c>
      <c r="O168">
        <v>37214</v>
      </c>
      <c r="P168" t="s">
        <v>4098</v>
      </c>
      <c r="Q168" s="2">
        <v>1.24</v>
      </c>
      <c r="R168" s="2">
        <v>135</v>
      </c>
      <c r="S168" s="2">
        <v>377</v>
      </c>
      <c r="T168" t="s">
        <v>4099</v>
      </c>
      <c r="U168" s="6">
        <v>24588</v>
      </c>
      <c r="V168" s="2">
        <v>47037015502</v>
      </c>
      <c r="W168" s="2" t="s">
        <v>68</v>
      </c>
      <c r="X168" s="1">
        <v>45658</v>
      </c>
      <c r="Y168" s="2">
        <v>4100</v>
      </c>
      <c r="Z168" s="2">
        <v>0</v>
      </c>
      <c r="AA168" s="2">
        <v>4100</v>
      </c>
    </row>
    <row r="169" spans="1:27" x14ac:dyDescent="0.3">
      <c r="A169" s="3">
        <v>15</v>
      </c>
      <c r="B169" s="2" t="str">
        <f>"10800018000"</f>
        <v>10800018000</v>
      </c>
      <c r="C169" s="2" t="s">
        <v>4100</v>
      </c>
      <c r="D169" t="s">
        <v>29</v>
      </c>
      <c r="E169" s="2" t="s">
        <v>30</v>
      </c>
      <c r="F169" s="2">
        <v>37214</v>
      </c>
      <c r="G169" s="2" t="s">
        <v>64</v>
      </c>
      <c r="H169" t="s">
        <v>2707</v>
      </c>
      <c r="I169" s="6">
        <v>33035</v>
      </c>
      <c r="J169" s="2" t="s">
        <v>4101</v>
      </c>
      <c r="K169" s="2">
        <v>51000</v>
      </c>
      <c r="L169" t="s">
        <v>2689</v>
      </c>
      <c r="M169" t="s">
        <v>29</v>
      </c>
      <c r="N169" t="s">
        <v>30</v>
      </c>
      <c r="O169">
        <v>37214</v>
      </c>
      <c r="P169" t="s">
        <v>4102</v>
      </c>
      <c r="Q169" s="2">
        <v>0.54</v>
      </c>
      <c r="R169" s="2">
        <v>230</v>
      </c>
      <c r="S169" s="2">
        <v>183</v>
      </c>
      <c r="T169" t="s">
        <v>4103</v>
      </c>
      <c r="U169" s="6">
        <v>27845</v>
      </c>
      <c r="V169" s="2">
        <v>47037015502</v>
      </c>
      <c r="W169" s="2" t="s">
        <v>837</v>
      </c>
      <c r="X169" s="1">
        <v>45658</v>
      </c>
      <c r="Y169" s="2">
        <v>3300</v>
      </c>
      <c r="Z169" s="2">
        <v>0</v>
      </c>
      <c r="AA169" s="2">
        <v>3300</v>
      </c>
    </row>
    <row r="170" spans="1:27" x14ac:dyDescent="0.3">
      <c r="A170" s="3">
        <v>15</v>
      </c>
      <c r="B170" s="2" t="str">
        <f>"10802008400"</f>
        <v>10802008400</v>
      </c>
      <c r="C170" s="2" t="s">
        <v>4104</v>
      </c>
      <c r="D170" t="s">
        <v>29</v>
      </c>
      <c r="E170" s="2" t="s">
        <v>30</v>
      </c>
      <c r="F170" s="2">
        <v>37214</v>
      </c>
      <c r="G170" s="2" t="s">
        <v>64</v>
      </c>
      <c r="H170" t="s">
        <v>2707</v>
      </c>
      <c r="I170" s="6">
        <v>32995</v>
      </c>
      <c r="J170" s="2" t="s">
        <v>4105</v>
      </c>
      <c r="K170" s="2">
        <v>62500</v>
      </c>
      <c r="L170" t="s">
        <v>2689</v>
      </c>
      <c r="M170" t="s">
        <v>29</v>
      </c>
      <c r="N170" t="s">
        <v>30</v>
      </c>
      <c r="O170">
        <v>37214</v>
      </c>
      <c r="P170" t="s">
        <v>4106</v>
      </c>
      <c r="Q170" s="2">
        <v>0.55000000000000004</v>
      </c>
      <c r="R170" s="2">
        <v>70</v>
      </c>
      <c r="S170" s="2">
        <v>377</v>
      </c>
      <c r="T170" t="s">
        <v>4107</v>
      </c>
      <c r="U170" s="6">
        <v>23894</v>
      </c>
      <c r="V170" s="2">
        <v>47037015502</v>
      </c>
      <c r="W170" s="2" t="s">
        <v>68</v>
      </c>
      <c r="X170" s="1">
        <v>45658</v>
      </c>
      <c r="Y170" s="2">
        <v>3300</v>
      </c>
      <c r="Z170" s="2">
        <v>0</v>
      </c>
      <c r="AA170" s="2">
        <v>3300</v>
      </c>
    </row>
    <row r="171" spans="1:27" x14ac:dyDescent="0.3">
      <c r="A171" s="3">
        <v>15</v>
      </c>
      <c r="B171" s="2" t="str">
        <f>"10802008900"</f>
        <v>10802008900</v>
      </c>
      <c r="C171" s="2" t="s">
        <v>4108</v>
      </c>
      <c r="D171" t="s">
        <v>29</v>
      </c>
      <c r="E171" s="2" t="s">
        <v>30</v>
      </c>
      <c r="F171" s="2">
        <v>37214</v>
      </c>
      <c r="G171" s="2" t="s">
        <v>64</v>
      </c>
      <c r="H171" t="s">
        <v>2707</v>
      </c>
      <c r="I171" s="6">
        <v>33081</v>
      </c>
      <c r="J171" s="2" t="s">
        <v>4109</v>
      </c>
      <c r="K171" s="2">
        <v>75000</v>
      </c>
      <c r="L171" t="s">
        <v>2689</v>
      </c>
      <c r="M171" t="s">
        <v>29</v>
      </c>
      <c r="N171" t="s">
        <v>30</v>
      </c>
      <c r="O171">
        <v>37214</v>
      </c>
      <c r="P171" t="s">
        <v>4110</v>
      </c>
      <c r="Q171" s="2">
        <v>0.6</v>
      </c>
      <c r="R171" s="2">
        <v>77</v>
      </c>
      <c r="S171" s="2">
        <v>365</v>
      </c>
      <c r="T171" t="s">
        <v>4111</v>
      </c>
      <c r="U171" s="6">
        <v>24133</v>
      </c>
      <c r="V171" s="2">
        <v>47037015502</v>
      </c>
      <c r="W171" s="2" t="s">
        <v>68</v>
      </c>
      <c r="X171" s="1">
        <v>45658</v>
      </c>
      <c r="Y171" s="2">
        <v>3300</v>
      </c>
      <c r="Z171" s="2">
        <v>0</v>
      </c>
      <c r="AA171" s="2">
        <v>3300</v>
      </c>
    </row>
    <row r="172" spans="1:27" x14ac:dyDescent="0.3">
      <c r="A172" s="3">
        <v>15</v>
      </c>
      <c r="B172" s="2" t="str">
        <f>"10802007800"</f>
        <v>10802007800</v>
      </c>
      <c r="C172" s="2" t="s">
        <v>4112</v>
      </c>
      <c r="D172" t="s">
        <v>29</v>
      </c>
      <c r="E172" s="2" t="s">
        <v>30</v>
      </c>
      <c r="F172" s="2">
        <v>37214</v>
      </c>
      <c r="G172" s="2" t="s">
        <v>2490</v>
      </c>
      <c r="H172" t="s">
        <v>2707</v>
      </c>
      <c r="I172" s="6">
        <v>33883</v>
      </c>
      <c r="J172" s="2" t="s">
        <v>4113</v>
      </c>
      <c r="K172" s="2" t="s">
        <v>34</v>
      </c>
      <c r="L172" t="s">
        <v>2689</v>
      </c>
      <c r="M172" t="s">
        <v>29</v>
      </c>
      <c r="N172" t="s">
        <v>30</v>
      </c>
      <c r="O172">
        <v>37214</v>
      </c>
      <c r="P172" t="s">
        <v>4114</v>
      </c>
      <c r="Q172" s="2">
        <v>1.1000000000000001</v>
      </c>
      <c r="R172" s="2">
        <v>172</v>
      </c>
      <c r="S172" s="2">
        <v>425</v>
      </c>
      <c r="T172" t="s">
        <v>4115</v>
      </c>
      <c r="U172" s="6">
        <v>22909</v>
      </c>
      <c r="V172" s="2">
        <v>47037015502</v>
      </c>
      <c r="W172" s="2" t="s">
        <v>68</v>
      </c>
      <c r="X172" s="1">
        <v>45658</v>
      </c>
      <c r="Y172" s="2">
        <v>1255800</v>
      </c>
      <c r="Z172" s="2">
        <v>105800</v>
      </c>
      <c r="AA172" s="2">
        <v>1150000</v>
      </c>
    </row>
    <row r="173" spans="1:27" x14ac:dyDescent="0.3">
      <c r="A173" s="3">
        <v>15</v>
      </c>
      <c r="B173" s="2" t="str">
        <f>"10802008500"</f>
        <v>10802008500</v>
      </c>
      <c r="C173" s="2" t="s">
        <v>4116</v>
      </c>
      <c r="D173" t="s">
        <v>29</v>
      </c>
      <c r="E173" s="2" t="s">
        <v>30</v>
      </c>
      <c r="F173" s="2">
        <v>37214</v>
      </c>
      <c r="G173" s="2" t="s">
        <v>64</v>
      </c>
      <c r="H173" t="s">
        <v>2707</v>
      </c>
      <c r="I173" s="6">
        <v>32947</v>
      </c>
      <c r="J173" s="2" t="s">
        <v>4117</v>
      </c>
      <c r="K173" s="2">
        <v>60000</v>
      </c>
      <c r="L173" t="s">
        <v>2689</v>
      </c>
      <c r="M173" t="s">
        <v>29</v>
      </c>
      <c r="N173" t="s">
        <v>30</v>
      </c>
      <c r="O173">
        <v>37214</v>
      </c>
      <c r="P173" t="s">
        <v>4118</v>
      </c>
      <c r="Q173" s="2">
        <v>0.5</v>
      </c>
      <c r="R173" s="2">
        <v>75</v>
      </c>
      <c r="S173" s="2">
        <v>326</v>
      </c>
      <c r="T173" t="s">
        <v>4119</v>
      </c>
      <c r="U173" s="6">
        <v>25245</v>
      </c>
      <c r="V173" s="2">
        <v>47037015502</v>
      </c>
      <c r="W173" s="2" t="s">
        <v>68</v>
      </c>
      <c r="X173" s="1">
        <v>45658</v>
      </c>
      <c r="Y173" s="2">
        <v>3300</v>
      </c>
      <c r="Z173" s="2">
        <v>0</v>
      </c>
      <c r="AA173" s="2">
        <v>3300</v>
      </c>
    </row>
    <row r="174" spans="1:27" x14ac:dyDescent="0.3">
      <c r="A174" s="3">
        <v>15</v>
      </c>
      <c r="B174" s="2" t="str">
        <f>"10802008800"</f>
        <v>10802008800</v>
      </c>
      <c r="C174" s="2" t="s">
        <v>4120</v>
      </c>
      <c r="D174" t="s">
        <v>29</v>
      </c>
      <c r="E174" s="2" t="s">
        <v>30</v>
      </c>
      <c r="F174" s="2">
        <v>37214</v>
      </c>
      <c r="G174" s="2" t="s">
        <v>64</v>
      </c>
      <c r="H174" t="s">
        <v>2707</v>
      </c>
      <c r="I174" s="6">
        <v>32961</v>
      </c>
      <c r="J174" s="2" t="s">
        <v>4121</v>
      </c>
      <c r="K174" s="2">
        <v>83000</v>
      </c>
      <c r="L174" t="s">
        <v>2689</v>
      </c>
      <c r="M174" t="s">
        <v>29</v>
      </c>
      <c r="N174" t="s">
        <v>30</v>
      </c>
      <c r="O174">
        <v>37214</v>
      </c>
      <c r="P174" t="s">
        <v>4122</v>
      </c>
      <c r="Q174" s="2">
        <v>0.5</v>
      </c>
      <c r="R174" s="2">
        <v>108</v>
      </c>
      <c r="S174" s="2">
        <v>306</v>
      </c>
      <c r="T174" t="s">
        <v>4123</v>
      </c>
      <c r="U174" s="6">
        <v>25414</v>
      </c>
      <c r="V174" s="2">
        <v>47037015502</v>
      </c>
      <c r="W174" s="2" t="s">
        <v>68</v>
      </c>
      <c r="X174" s="1">
        <v>45658</v>
      </c>
      <c r="Y174" s="2">
        <v>3300</v>
      </c>
      <c r="Z174" s="2">
        <v>0</v>
      </c>
      <c r="AA174" s="2">
        <v>3300</v>
      </c>
    </row>
    <row r="175" spans="1:27" x14ac:dyDescent="0.3">
      <c r="A175" s="3">
        <v>15</v>
      </c>
      <c r="B175" s="2" t="str">
        <f>"10802007900"</f>
        <v>10802007900</v>
      </c>
      <c r="C175" s="2" t="s">
        <v>4124</v>
      </c>
      <c r="D175" t="s">
        <v>29</v>
      </c>
      <c r="E175" s="2" t="s">
        <v>30</v>
      </c>
      <c r="F175" s="2">
        <v>37214</v>
      </c>
      <c r="G175" s="2" t="s">
        <v>2490</v>
      </c>
      <c r="H175" t="s">
        <v>2707</v>
      </c>
      <c r="I175" s="6">
        <v>34696</v>
      </c>
      <c r="J175" s="2" t="s">
        <v>4125</v>
      </c>
      <c r="K175" s="2">
        <v>19000</v>
      </c>
      <c r="L175" t="s">
        <v>2689</v>
      </c>
      <c r="M175" t="s">
        <v>29</v>
      </c>
      <c r="N175" t="s">
        <v>30</v>
      </c>
      <c r="O175">
        <v>37214</v>
      </c>
      <c r="P175" t="s">
        <v>4126</v>
      </c>
      <c r="Q175" s="2">
        <v>0.72</v>
      </c>
      <c r="R175" s="2">
        <v>70</v>
      </c>
      <c r="S175" s="2">
        <v>432</v>
      </c>
      <c r="T175" t="s">
        <v>4127</v>
      </c>
      <c r="U175" s="6">
        <v>26235</v>
      </c>
      <c r="V175" s="2">
        <v>47037015502</v>
      </c>
      <c r="W175" s="2" t="s">
        <v>68</v>
      </c>
      <c r="X175" s="1">
        <v>45658</v>
      </c>
      <c r="Y175" s="2">
        <v>472500</v>
      </c>
      <c r="Z175" s="2">
        <v>33400</v>
      </c>
      <c r="AA175" s="2">
        <v>439100</v>
      </c>
    </row>
    <row r="176" spans="1:27" x14ac:dyDescent="0.3">
      <c r="A176" s="3">
        <v>15</v>
      </c>
      <c r="B176" s="2" t="str">
        <f>"10802008600"</f>
        <v>10802008600</v>
      </c>
      <c r="C176" s="2" t="s">
        <v>4128</v>
      </c>
      <c r="D176" t="s">
        <v>29</v>
      </c>
      <c r="E176" s="2" t="s">
        <v>30</v>
      </c>
      <c r="F176" s="2">
        <v>37214</v>
      </c>
      <c r="G176" s="2" t="s">
        <v>64</v>
      </c>
      <c r="H176" t="s">
        <v>2707</v>
      </c>
      <c r="I176" s="6">
        <v>34060</v>
      </c>
      <c r="J176" s="2" t="s">
        <v>4129</v>
      </c>
      <c r="K176" s="2" t="s">
        <v>34</v>
      </c>
      <c r="L176" t="s">
        <v>2689</v>
      </c>
      <c r="M176" t="s">
        <v>29</v>
      </c>
      <c r="N176" t="s">
        <v>30</v>
      </c>
      <c r="O176">
        <v>37214</v>
      </c>
      <c r="P176" t="s">
        <v>4130</v>
      </c>
      <c r="Q176" s="2">
        <v>0.45</v>
      </c>
      <c r="R176" s="2">
        <v>75</v>
      </c>
      <c r="S176" s="2">
        <v>271</v>
      </c>
      <c r="T176" t="s">
        <v>4131</v>
      </c>
      <c r="U176" s="6">
        <v>23958</v>
      </c>
      <c r="V176" s="2">
        <v>47037015502</v>
      </c>
      <c r="W176" s="2" t="s">
        <v>68</v>
      </c>
      <c r="X176" s="1">
        <v>45658</v>
      </c>
      <c r="Y176" s="2">
        <v>3300</v>
      </c>
      <c r="Z176" s="2">
        <v>0</v>
      </c>
      <c r="AA176" s="2">
        <v>3300</v>
      </c>
    </row>
    <row r="177" spans="1:27" x14ac:dyDescent="0.3">
      <c r="A177" s="3">
        <v>15</v>
      </c>
      <c r="B177" s="2" t="str">
        <f>"10800004200"</f>
        <v>10800004200</v>
      </c>
      <c r="C177" s="2" t="s">
        <v>4132</v>
      </c>
      <c r="D177" t="s">
        <v>29</v>
      </c>
      <c r="E177" s="2" t="s">
        <v>30</v>
      </c>
      <c r="F177" s="2">
        <v>37214</v>
      </c>
      <c r="G177" s="2" t="s">
        <v>64</v>
      </c>
      <c r="H177" t="s">
        <v>2707</v>
      </c>
      <c r="I177" s="6">
        <v>33114</v>
      </c>
      <c r="J177" s="2" t="s">
        <v>4133</v>
      </c>
      <c r="K177" s="2">
        <v>32000</v>
      </c>
      <c r="L177" t="s">
        <v>2689</v>
      </c>
      <c r="M177" t="s">
        <v>29</v>
      </c>
      <c r="N177" t="s">
        <v>30</v>
      </c>
      <c r="O177">
        <v>37214</v>
      </c>
      <c r="P177" t="s">
        <v>4134</v>
      </c>
      <c r="Q177" s="2">
        <v>0.46</v>
      </c>
      <c r="R177" s="2">
        <v>110</v>
      </c>
      <c r="S177" s="2">
        <v>165</v>
      </c>
      <c r="T177" t="s">
        <v>4103</v>
      </c>
      <c r="U177" s="6">
        <v>27845</v>
      </c>
      <c r="V177" s="2">
        <v>47037015502</v>
      </c>
      <c r="W177" s="2" t="s">
        <v>837</v>
      </c>
      <c r="X177" s="1">
        <v>45658</v>
      </c>
      <c r="Y177" s="2">
        <v>3300</v>
      </c>
      <c r="Z177" s="2">
        <v>0</v>
      </c>
      <c r="AA177" s="2">
        <v>3300</v>
      </c>
    </row>
    <row r="178" spans="1:27" x14ac:dyDescent="0.3">
      <c r="A178" s="3">
        <v>15</v>
      </c>
      <c r="B178" s="2" t="str">
        <f>"108020A01400CO"</f>
        <v>108020A01400CO</v>
      </c>
      <c r="C178" s="2" t="s">
        <v>4135</v>
      </c>
      <c r="D178" t="s">
        <v>29</v>
      </c>
      <c r="E178" s="2" t="s">
        <v>30</v>
      </c>
      <c r="F178" s="2">
        <v>37214</v>
      </c>
      <c r="G178" s="2" t="s">
        <v>64</v>
      </c>
      <c r="H178" t="s">
        <v>2707</v>
      </c>
      <c r="I178" s="6">
        <v>32952</v>
      </c>
      <c r="J178" s="2" t="s">
        <v>4136</v>
      </c>
      <c r="K178" s="2">
        <v>52000</v>
      </c>
      <c r="L178" t="s">
        <v>2689</v>
      </c>
      <c r="M178" t="s">
        <v>29</v>
      </c>
      <c r="N178" t="s">
        <v>30</v>
      </c>
      <c r="O178">
        <v>37214</v>
      </c>
      <c r="P178" t="s">
        <v>4137</v>
      </c>
      <c r="Q178" s="2">
        <v>0</v>
      </c>
      <c r="R178" s="2">
        <v>0</v>
      </c>
      <c r="S178" s="2">
        <v>0</v>
      </c>
      <c r="T178" t="s">
        <v>4138</v>
      </c>
      <c r="U178" s="6">
        <v>29654</v>
      </c>
      <c r="V178" s="2">
        <v>47037015502</v>
      </c>
      <c r="W178" s="2" t="s">
        <v>68</v>
      </c>
      <c r="X178" s="1">
        <v>45658</v>
      </c>
      <c r="Y178" s="2">
        <v>52000</v>
      </c>
      <c r="Z178" s="2">
        <v>0</v>
      </c>
      <c r="AA178" s="2">
        <v>52000</v>
      </c>
    </row>
    <row r="179" spans="1:27" x14ac:dyDescent="0.3">
      <c r="A179" s="3">
        <v>15</v>
      </c>
      <c r="B179" s="2" t="str">
        <f>"108020A01300CO"</f>
        <v>108020A01300CO</v>
      </c>
      <c r="C179" s="2" t="s">
        <v>4139</v>
      </c>
      <c r="D179" t="s">
        <v>29</v>
      </c>
      <c r="E179" s="2" t="s">
        <v>30</v>
      </c>
      <c r="F179" s="2">
        <v>37214</v>
      </c>
      <c r="G179" s="2" t="s">
        <v>64</v>
      </c>
      <c r="H179" t="s">
        <v>2707</v>
      </c>
      <c r="I179" s="6">
        <v>33022</v>
      </c>
      <c r="J179" s="2" t="s">
        <v>4140</v>
      </c>
      <c r="K179" s="2">
        <v>52000</v>
      </c>
      <c r="L179" t="s">
        <v>2689</v>
      </c>
      <c r="M179" t="s">
        <v>29</v>
      </c>
      <c r="N179" t="s">
        <v>30</v>
      </c>
      <c r="O179">
        <v>37214</v>
      </c>
      <c r="P179" t="s">
        <v>4141</v>
      </c>
      <c r="Q179" s="2">
        <v>0</v>
      </c>
      <c r="R179" s="2">
        <v>0</v>
      </c>
      <c r="S179" s="2">
        <v>0</v>
      </c>
      <c r="T179" t="s">
        <v>4138</v>
      </c>
      <c r="U179" s="6">
        <v>29654</v>
      </c>
      <c r="V179" s="2">
        <v>47037015502</v>
      </c>
      <c r="W179" s="2" t="s">
        <v>68</v>
      </c>
      <c r="X179" s="1">
        <v>45658</v>
      </c>
      <c r="Y179" s="2">
        <v>52000</v>
      </c>
      <c r="Z179" s="2">
        <v>0</v>
      </c>
      <c r="AA179" s="2">
        <v>52000</v>
      </c>
    </row>
    <row r="180" spans="1:27" x14ac:dyDescent="0.3">
      <c r="A180" s="3">
        <v>15</v>
      </c>
      <c r="B180" s="2" t="str">
        <f>"10802008200"</f>
        <v>10802008200</v>
      </c>
      <c r="C180" s="2" t="s">
        <v>2607</v>
      </c>
      <c r="D180" t="s">
        <v>29</v>
      </c>
      <c r="E180" s="2" t="s">
        <v>30</v>
      </c>
      <c r="F180" s="2">
        <v>37214</v>
      </c>
      <c r="G180" s="2" t="s">
        <v>64</v>
      </c>
      <c r="H180" t="s">
        <v>2707</v>
      </c>
      <c r="I180" s="6">
        <v>34696</v>
      </c>
      <c r="J180" s="2" t="s">
        <v>4142</v>
      </c>
      <c r="K180" s="2">
        <v>71000</v>
      </c>
      <c r="L180" t="s">
        <v>2689</v>
      </c>
      <c r="M180" t="s">
        <v>29</v>
      </c>
      <c r="N180" t="s">
        <v>30</v>
      </c>
      <c r="O180">
        <v>37214</v>
      </c>
      <c r="P180" t="s">
        <v>4143</v>
      </c>
      <c r="Q180" s="2">
        <v>0.94</v>
      </c>
      <c r="R180" s="2">
        <v>150</v>
      </c>
      <c r="S180" s="2">
        <v>308</v>
      </c>
      <c r="T180" t="s">
        <v>4144</v>
      </c>
      <c r="U180" s="6">
        <v>24222</v>
      </c>
      <c r="V180" s="2">
        <v>47037015502</v>
      </c>
      <c r="W180" s="2" t="s">
        <v>68</v>
      </c>
      <c r="X180" s="1">
        <v>45658</v>
      </c>
      <c r="Y180" s="2">
        <v>3300</v>
      </c>
      <c r="Z180" s="2">
        <v>0</v>
      </c>
      <c r="AA180" s="2">
        <v>3300</v>
      </c>
    </row>
    <row r="181" spans="1:27" x14ac:dyDescent="0.3">
      <c r="A181" s="3">
        <v>15</v>
      </c>
      <c r="B181" s="2" t="str">
        <f>"108020A01200CO"</f>
        <v>108020A01200CO</v>
      </c>
      <c r="C181" s="2" t="s">
        <v>4145</v>
      </c>
      <c r="D181" t="s">
        <v>29</v>
      </c>
      <c r="E181" s="2" t="s">
        <v>30</v>
      </c>
      <c r="F181" s="2">
        <v>37214</v>
      </c>
      <c r="G181" s="2" t="s">
        <v>64</v>
      </c>
      <c r="H181" t="s">
        <v>2707</v>
      </c>
      <c r="I181" s="6">
        <v>33038</v>
      </c>
      <c r="J181" s="2" t="s">
        <v>4146</v>
      </c>
      <c r="K181" s="2">
        <v>49500</v>
      </c>
      <c r="L181" t="s">
        <v>2689</v>
      </c>
      <c r="M181" t="s">
        <v>29</v>
      </c>
      <c r="N181" t="s">
        <v>30</v>
      </c>
      <c r="O181">
        <v>37214</v>
      </c>
      <c r="P181" t="s">
        <v>4147</v>
      </c>
      <c r="Q181" s="2">
        <v>0</v>
      </c>
      <c r="R181" s="2">
        <v>0</v>
      </c>
      <c r="S181" s="2">
        <v>0</v>
      </c>
      <c r="T181" t="s">
        <v>4138</v>
      </c>
      <c r="U181" s="6">
        <v>29654</v>
      </c>
      <c r="V181" s="2">
        <v>47037015502</v>
      </c>
      <c r="W181" s="2" t="s">
        <v>68</v>
      </c>
      <c r="X181" s="1">
        <v>45658</v>
      </c>
      <c r="Y181" s="2">
        <v>52000</v>
      </c>
      <c r="Z181" s="2">
        <v>0</v>
      </c>
      <c r="AA181" s="2">
        <v>52000</v>
      </c>
    </row>
    <row r="182" spans="1:27" x14ac:dyDescent="0.3">
      <c r="A182" s="3">
        <v>15</v>
      </c>
      <c r="B182" s="2" t="str">
        <f>"108020A01100CO"</f>
        <v>108020A01100CO</v>
      </c>
      <c r="C182" s="2" t="s">
        <v>4148</v>
      </c>
      <c r="D182" t="s">
        <v>29</v>
      </c>
      <c r="E182" s="2" t="s">
        <v>30</v>
      </c>
      <c r="F182" s="2">
        <v>37214</v>
      </c>
      <c r="G182" s="2" t="s">
        <v>64</v>
      </c>
      <c r="H182" t="s">
        <v>2707</v>
      </c>
      <c r="I182" s="6">
        <v>33039</v>
      </c>
      <c r="J182" s="2" t="s">
        <v>4149</v>
      </c>
      <c r="K182" s="2">
        <v>50000</v>
      </c>
      <c r="L182" t="s">
        <v>2689</v>
      </c>
      <c r="M182" t="s">
        <v>29</v>
      </c>
      <c r="N182" t="s">
        <v>30</v>
      </c>
      <c r="O182">
        <v>37214</v>
      </c>
      <c r="P182" t="s">
        <v>4150</v>
      </c>
      <c r="Q182" s="2">
        <v>0</v>
      </c>
      <c r="R182" s="2">
        <v>0</v>
      </c>
      <c r="S182" s="2">
        <v>0</v>
      </c>
      <c r="T182" t="s">
        <v>4138</v>
      </c>
      <c r="U182" s="6">
        <v>29654</v>
      </c>
      <c r="V182" s="2">
        <v>47037015502</v>
      </c>
      <c r="W182" s="2" t="s">
        <v>68</v>
      </c>
      <c r="X182" s="1">
        <v>45658</v>
      </c>
      <c r="Y182" s="2">
        <v>52000</v>
      </c>
      <c r="Z182" s="2">
        <v>0</v>
      </c>
      <c r="AA182" s="2">
        <v>52000</v>
      </c>
    </row>
    <row r="183" spans="1:27" x14ac:dyDescent="0.3">
      <c r="A183" s="3">
        <v>15</v>
      </c>
      <c r="B183" s="2" t="str">
        <f>"108020A01000CO"</f>
        <v>108020A01000CO</v>
      </c>
      <c r="C183" s="2" t="s">
        <v>4151</v>
      </c>
      <c r="D183" t="s">
        <v>29</v>
      </c>
      <c r="E183" s="2" t="s">
        <v>30</v>
      </c>
      <c r="F183" s="2">
        <v>37214</v>
      </c>
      <c r="G183" s="2" t="s">
        <v>64</v>
      </c>
      <c r="H183" t="s">
        <v>2707</v>
      </c>
      <c r="I183" s="6">
        <v>32969</v>
      </c>
      <c r="J183" s="2" t="s">
        <v>4152</v>
      </c>
      <c r="K183" s="2">
        <v>50500</v>
      </c>
      <c r="L183" t="s">
        <v>2689</v>
      </c>
      <c r="M183" t="s">
        <v>29</v>
      </c>
      <c r="N183" t="s">
        <v>30</v>
      </c>
      <c r="O183">
        <v>37214</v>
      </c>
      <c r="P183" t="s">
        <v>4153</v>
      </c>
      <c r="Q183" s="2">
        <v>0</v>
      </c>
      <c r="R183" s="2">
        <v>0</v>
      </c>
      <c r="S183" s="2">
        <v>0</v>
      </c>
      <c r="T183" t="s">
        <v>4138</v>
      </c>
      <c r="U183" s="6">
        <v>29654</v>
      </c>
      <c r="V183" s="2">
        <v>47037015502</v>
      </c>
      <c r="W183" s="2" t="s">
        <v>68</v>
      </c>
      <c r="X183" s="1">
        <v>45658</v>
      </c>
      <c r="Y183" s="2">
        <v>52000</v>
      </c>
      <c r="Z183" s="2">
        <v>0</v>
      </c>
      <c r="AA183" s="2">
        <v>52000</v>
      </c>
    </row>
    <row r="184" spans="1:27" x14ac:dyDescent="0.3">
      <c r="A184" s="3">
        <v>15</v>
      </c>
      <c r="B184" s="2" t="str">
        <f>"108020A00900CO"</f>
        <v>108020A00900CO</v>
      </c>
      <c r="C184" s="2" t="s">
        <v>4154</v>
      </c>
      <c r="D184" t="s">
        <v>29</v>
      </c>
      <c r="E184" s="2" t="s">
        <v>30</v>
      </c>
      <c r="F184" s="2">
        <v>37214</v>
      </c>
      <c r="G184" s="2" t="s">
        <v>64</v>
      </c>
      <c r="H184" t="s">
        <v>2707</v>
      </c>
      <c r="I184" s="6">
        <v>33001</v>
      </c>
      <c r="J184" s="2" t="s">
        <v>4155</v>
      </c>
      <c r="K184" s="2">
        <v>51000</v>
      </c>
      <c r="L184" t="s">
        <v>2689</v>
      </c>
      <c r="M184" t="s">
        <v>29</v>
      </c>
      <c r="N184" t="s">
        <v>30</v>
      </c>
      <c r="O184">
        <v>37214</v>
      </c>
      <c r="P184" t="s">
        <v>4156</v>
      </c>
      <c r="Q184" s="2">
        <v>0</v>
      </c>
      <c r="R184" s="2">
        <v>0</v>
      </c>
      <c r="S184" s="2">
        <v>0</v>
      </c>
      <c r="T184" t="s">
        <v>4138</v>
      </c>
      <c r="U184" s="6">
        <v>29654</v>
      </c>
      <c r="V184" s="2">
        <v>47037015502</v>
      </c>
      <c r="W184" s="2" t="s">
        <v>68</v>
      </c>
      <c r="X184" s="1">
        <v>45658</v>
      </c>
      <c r="Y184" s="2">
        <v>52000</v>
      </c>
      <c r="Z184" s="2">
        <v>0</v>
      </c>
      <c r="AA184" s="2">
        <v>52000</v>
      </c>
    </row>
    <row r="185" spans="1:27" x14ac:dyDescent="0.3">
      <c r="A185" s="3">
        <v>15</v>
      </c>
      <c r="B185" s="2" t="str">
        <f>"108020A00100CO"</f>
        <v>108020A00100CO</v>
      </c>
      <c r="C185" s="2" t="s">
        <v>4157</v>
      </c>
      <c r="D185" t="s">
        <v>29</v>
      </c>
      <c r="E185" s="2" t="s">
        <v>30</v>
      </c>
      <c r="F185" s="2">
        <v>37214</v>
      </c>
      <c r="G185" s="2" t="s">
        <v>64</v>
      </c>
      <c r="H185" t="s">
        <v>2707</v>
      </c>
      <c r="I185" s="6">
        <v>33015</v>
      </c>
      <c r="J185" s="2" t="s">
        <v>4158</v>
      </c>
      <c r="K185" s="2">
        <v>48000</v>
      </c>
      <c r="L185" t="s">
        <v>2689</v>
      </c>
      <c r="M185" t="s">
        <v>29</v>
      </c>
      <c r="N185" t="s">
        <v>30</v>
      </c>
      <c r="O185">
        <v>37214</v>
      </c>
      <c r="P185" t="s">
        <v>4159</v>
      </c>
      <c r="Q185" s="2">
        <v>0</v>
      </c>
      <c r="R185" s="2">
        <v>0</v>
      </c>
      <c r="S185" s="2">
        <v>0</v>
      </c>
      <c r="T185" t="s">
        <v>4138</v>
      </c>
      <c r="U185" s="6">
        <v>29654</v>
      </c>
      <c r="V185" s="2">
        <v>47037015502</v>
      </c>
      <c r="W185" s="2" t="s">
        <v>68</v>
      </c>
      <c r="X185" s="1">
        <v>45658</v>
      </c>
      <c r="Y185" s="2">
        <v>52000</v>
      </c>
      <c r="Z185" s="2">
        <v>0</v>
      </c>
      <c r="AA185" s="2">
        <v>52000</v>
      </c>
    </row>
    <row r="186" spans="1:27" x14ac:dyDescent="0.3">
      <c r="A186" s="3">
        <v>15</v>
      </c>
      <c r="B186" s="2" t="str">
        <f>"108020A00200CO"</f>
        <v>108020A00200CO</v>
      </c>
      <c r="C186" s="2" t="s">
        <v>4160</v>
      </c>
      <c r="D186" t="s">
        <v>29</v>
      </c>
      <c r="E186" s="2" t="s">
        <v>30</v>
      </c>
      <c r="F186" s="2">
        <v>37214</v>
      </c>
      <c r="G186" s="2" t="s">
        <v>64</v>
      </c>
      <c r="H186" t="s">
        <v>2707</v>
      </c>
      <c r="I186" s="6">
        <v>32955</v>
      </c>
      <c r="J186" s="2" t="s">
        <v>4161</v>
      </c>
      <c r="K186" s="2">
        <v>51000</v>
      </c>
      <c r="L186" t="s">
        <v>2689</v>
      </c>
      <c r="M186" t="s">
        <v>29</v>
      </c>
      <c r="N186" t="s">
        <v>30</v>
      </c>
      <c r="O186">
        <v>37214</v>
      </c>
      <c r="P186" t="s">
        <v>4162</v>
      </c>
      <c r="Q186" s="2">
        <v>0</v>
      </c>
      <c r="R186" s="2">
        <v>0</v>
      </c>
      <c r="S186" s="2">
        <v>0</v>
      </c>
      <c r="T186" t="s">
        <v>4138</v>
      </c>
      <c r="U186" s="6">
        <v>29654</v>
      </c>
      <c r="V186" s="2">
        <v>47037015502</v>
      </c>
      <c r="W186" s="2" t="s">
        <v>68</v>
      </c>
      <c r="X186" s="1">
        <v>45658</v>
      </c>
      <c r="Y186" s="2">
        <v>52000</v>
      </c>
      <c r="Z186" s="2">
        <v>0</v>
      </c>
      <c r="AA186" s="2">
        <v>52000</v>
      </c>
    </row>
    <row r="187" spans="1:27" x14ac:dyDescent="0.3">
      <c r="A187" s="3">
        <v>15</v>
      </c>
      <c r="B187" s="2" t="str">
        <f>"108020A00800CO"</f>
        <v>108020A00800CO</v>
      </c>
      <c r="C187" s="2" t="s">
        <v>4163</v>
      </c>
      <c r="D187" t="s">
        <v>29</v>
      </c>
      <c r="E187" s="2" t="s">
        <v>30</v>
      </c>
      <c r="F187" s="2">
        <v>37214</v>
      </c>
      <c r="G187" s="2" t="s">
        <v>64</v>
      </c>
      <c r="H187" t="s">
        <v>2707</v>
      </c>
      <c r="I187" s="6">
        <v>33031</v>
      </c>
      <c r="J187" s="2" t="s">
        <v>4164</v>
      </c>
      <c r="K187" s="2">
        <v>51500</v>
      </c>
      <c r="L187" t="s">
        <v>2689</v>
      </c>
      <c r="M187" t="s">
        <v>29</v>
      </c>
      <c r="N187" t="s">
        <v>30</v>
      </c>
      <c r="O187">
        <v>37214</v>
      </c>
      <c r="P187" t="s">
        <v>4165</v>
      </c>
      <c r="Q187" s="2">
        <v>0</v>
      </c>
      <c r="R187" s="2">
        <v>0</v>
      </c>
      <c r="S187" s="2">
        <v>0</v>
      </c>
      <c r="T187" t="s">
        <v>4138</v>
      </c>
      <c r="U187" s="6">
        <v>29654</v>
      </c>
      <c r="V187" s="2">
        <v>47037015502</v>
      </c>
      <c r="W187" s="2" t="s">
        <v>68</v>
      </c>
      <c r="X187" s="1">
        <v>45658</v>
      </c>
      <c r="Y187" s="2">
        <v>52000</v>
      </c>
      <c r="Z187" s="2">
        <v>0</v>
      </c>
      <c r="AA187" s="2">
        <v>52000</v>
      </c>
    </row>
    <row r="188" spans="1:27" x14ac:dyDescent="0.3">
      <c r="A188" s="3">
        <v>15</v>
      </c>
      <c r="B188" s="2" t="str">
        <f>"108020A00700CO"</f>
        <v>108020A00700CO</v>
      </c>
      <c r="C188" s="2" t="s">
        <v>4166</v>
      </c>
      <c r="D188" t="s">
        <v>29</v>
      </c>
      <c r="E188" s="2" t="s">
        <v>30</v>
      </c>
      <c r="F188" s="2">
        <v>37214</v>
      </c>
      <c r="G188" s="2" t="s">
        <v>64</v>
      </c>
      <c r="H188" t="s">
        <v>2707</v>
      </c>
      <c r="I188" s="6">
        <v>32951</v>
      </c>
      <c r="J188" s="2" t="s">
        <v>4167</v>
      </c>
      <c r="K188" s="2">
        <v>49000</v>
      </c>
      <c r="L188" t="s">
        <v>2689</v>
      </c>
      <c r="M188" t="s">
        <v>29</v>
      </c>
      <c r="N188" t="s">
        <v>30</v>
      </c>
      <c r="O188">
        <v>37214</v>
      </c>
      <c r="P188" t="s">
        <v>4168</v>
      </c>
      <c r="Q188" s="2">
        <v>0</v>
      </c>
      <c r="R188" s="2">
        <v>0</v>
      </c>
      <c r="S188" s="2">
        <v>0</v>
      </c>
      <c r="T188" t="s">
        <v>4138</v>
      </c>
      <c r="U188" s="6">
        <v>29654</v>
      </c>
      <c r="V188" s="2">
        <v>47037015502</v>
      </c>
      <c r="W188" s="2" t="s">
        <v>68</v>
      </c>
      <c r="X188" s="1">
        <v>45658</v>
      </c>
      <c r="Y188" s="2">
        <v>52000</v>
      </c>
      <c r="Z188" s="2">
        <v>0</v>
      </c>
      <c r="AA188" s="2">
        <v>52000</v>
      </c>
    </row>
    <row r="189" spans="1:27" x14ac:dyDescent="0.3">
      <c r="A189" s="3">
        <v>15</v>
      </c>
      <c r="B189" s="2" t="str">
        <f>"108020A00300CO"</f>
        <v>108020A00300CO</v>
      </c>
      <c r="C189" s="2" t="s">
        <v>4169</v>
      </c>
      <c r="D189" t="s">
        <v>29</v>
      </c>
      <c r="E189" s="2" t="s">
        <v>30</v>
      </c>
      <c r="F189" s="2">
        <v>37214</v>
      </c>
      <c r="G189" s="2" t="s">
        <v>64</v>
      </c>
      <c r="H189" t="s">
        <v>2707</v>
      </c>
      <c r="I189" s="6">
        <v>32939</v>
      </c>
      <c r="J189" s="2" t="s">
        <v>4170</v>
      </c>
      <c r="K189" s="2">
        <v>53000</v>
      </c>
      <c r="L189" t="s">
        <v>2689</v>
      </c>
      <c r="M189" t="s">
        <v>29</v>
      </c>
      <c r="N189" t="s">
        <v>30</v>
      </c>
      <c r="O189">
        <v>37214</v>
      </c>
      <c r="P189" t="s">
        <v>4171</v>
      </c>
      <c r="Q189" s="2">
        <v>0</v>
      </c>
      <c r="R189" s="2">
        <v>0</v>
      </c>
      <c r="S189" s="2">
        <v>0</v>
      </c>
      <c r="T189" t="s">
        <v>4138</v>
      </c>
      <c r="U189" s="6">
        <v>29654</v>
      </c>
      <c r="V189" s="2">
        <v>47037015502</v>
      </c>
      <c r="W189" s="2" t="s">
        <v>68</v>
      </c>
      <c r="X189" s="1">
        <v>45658</v>
      </c>
      <c r="Y189" s="2">
        <v>52000</v>
      </c>
      <c r="Z189" s="2">
        <v>0</v>
      </c>
      <c r="AA189" s="2">
        <v>52000</v>
      </c>
    </row>
    <row r="190" spans="1:27" x14ac:dyDescent="0.3">
      <c r="A190" s="3">
        <v>15</v>
      </c>
      <c r="B190" s="2" t="str">
        <f>"108020A00400CO"</f>
        <v>108020A00400CO</v>
      </c>
      <c r="C190" s="2" t="s">
        <v>4172</v>
      </c>
      <c r="D190" t="s">
        <v>29</v>
      </c>
      <c r="E190" s="2" t="s">
        <v>30</v>
      </c>
      <c r="F190" s="2">
        <v>37214</v>
      </c>
      <c r="G190" s="2" t="s">
        <v>64</v>
      </c>
      <c r="H190" t="s">
        <v>2707</v>
      </c>
      <c r="I190" s="6">
        <v>33051</v>
      </c>
      <c r="J190" s="2" t="s">
        <v>4173</v>
      </c>
      <c r="K190" s="2">
        <v>51000</v>
      </c>
      <c r="L190" t="s">
        <v>2689</v>
      </c>
      <c r="M190" t="s">
        <v>29</v>
      </c>
      <c r="N190" t="s">
        <v>30</v>
      </c>
      <c r="O190">
        <v>37214</v>
      </c>
      <c r="P190" t="s">
        <v>4174</v>
      </c>
      <c r="Q190" s="2">
        <v>0</v>
      </c>
      <c r="R190" s="2">
        <v>0</v>
      </c>
      <c r="S190" s="2">
        <v>0</v>
      </c>
      <c r="T190" t="s">
        <v>4138</v>
      </c>
      <c r="U190" s="6">
        <v>29654</v>
      </c>
      <c r="V190" s="2">
        <v>47037015502</v>
      </c>
      <c r="W190" s="2" t="s">
        <v>68</v>
      </c>
      <c r="X190" s="1">
        <v>45658</v>
      </c>
      <c r="Y190" s="2">
        <v>52000</v>
      </c>
      <c r="Z190" s="2">
        <v>0</v>
      </c>
      <c r="AA190" s="2">
        <v>52000</v>
      </c>
    </row>
    <row r="191" spans="1:27" x14ac:dyDescent="0.3">
      <c r="A191" s="3">
        <v>15</v>
      </c>
      <c r="B191" s="2" t="str">
        <f>"108020A00600CO"</f>
        <v>108020A00600CO</v>
      </c>
      <c r="C191" s="2" t="s">
        <v>4175</v>
      </c>
      <c r="D191" t="s">
        <v>29</v>
      </c>
      <c r="E191" s="2" t="s">
        <v>30</v>
      </c>
      <c r="F191" s="2">
        <v>37214</v>
      </c>
      <c r="G191" s="2" t="s">
        <v>64</v>
      </c>
      <c r="H191" t="s">
        <v>2707</v>
      </c>
      <c r="I191" s="6">
        <v>32948</v>
      </c>
      <c r="J191" s="2" t="s">
        <v>4176</v>
      </c>
      <c r="K191" s="2">
        <v>51500</v>
      </c>
      <c r="L191" t="s">
        <v>2689</v>
      </c>
      <c r="M191" t="s">
        <v>29</v>
      </c>
      <c r="N191" t="s">
        <v>30</v>
      </c>
      <c r="O191">
        <v>37214</v>
      </c>
      <c r="P191" t="s">
        <v>4177</v>
      </c>
      <c r="Q191" s="2">
        <v>0</v>
      </c>
      <c r="R191" s="2">
        <v>0</v>
      </c>
      <c r="S191" s="2">
        <v>0</v>
      </c>
      <c r="T191" t="s">
        <v>4138</v>
      </c>
      <c r="U191" s="6">
        <v>29654</v>
      </c>
      <c r="V191" s="2">
        <v>47037015502</v>
      </c>
      <c r="W191" s="2" t="s">
        <v>68</v>
      </c>
      <c r="X191" s="1">
        <v>45658</v>
      </c>
      <c r="Y191" s="2">
        <v>52000</v>
      </c>
      <c r="Z191" s="2">
        <v>0</v>
      </c>
      <c r="AA191" s="2">
        <v>52000</v>
      </c>
    </row>
    <row r="192" spans="1:27" x14ac:dyDescent="0.3">
      <c r="A192" s="3">
        <v>15</v>
      </c>
      <c r="B192" s="2" t="str">
        <f>"108020A00500CO"</f>
        <v>108020A00500CO</v>
      </c>
      <c r="C192" s="2" t="s">
        <v>4178</v>
      </c>
      <c r="D192" t="s">
        <v>29</v>
      </c>
      <c r="E192" s="2" t="s">
        <v>30</v>
      </c>
      <c r="F192" s="2">
        <v>37214</v>
      </c>
      <c r="G192" s="2" t="s">
        <v>64</v>
      </c>
      <c r="H192" t="s">
        <v>2707</v>
      </c>
      <c r="I192" s="6">
        <v>32899</v>
      </c>
      <c r="J192" s="2" t="s">
        <v>4179</v>
      </c>
      <c r="K192" s="2">
        <v>53000</v>
      </c>
      <c r="L192" t="s">
        <v>2689</v>
      </c>
      <c r="M192" t="s">
        <v>29</v>
      </c>
      <c r="N192" t="s">
        <v>30</v>
      </c>
      <c r="O192">
        <v>37214</v>
      </c>
      <c r="P192" t="s">
        <v>4180</v>
      </c>
      <c r="Q192" s="2">
        <v>0</v>
      </c>
      <c r="R192" s="2">
        <v>0</v>
      </c>
      <c r="S192" s="2">
        <v>0</v>
      </c>
      <c r="T192" t="s">
        <v>4138</v>
      </c>
      <c r="U192" s="6">
        <v>29654</v>
      </c>
      <c r="V192" s="2">
        <v>47037015502</v>
      </c>
      <c r="W192" s="2" t="s">
        <v>68</v>
      </c>
      <c r="X192" s="1">
        <v>45658</v>
      </c>
      <c r="Y192" s="2">
        <v>52000</v>
      </c>
      <c r="Z192" s="2">
        <v>0</v>
      </c>
      <c r="AA192" s="2">
        <v>52000</v>
      </c>
    </row>
    <row r="193" spans="1:27" x14ac:dyDescent="0.3">
      <c r="A193" s="3">
        <v>15</v>
      </c>
      <c r="B193" s="2" t="str">
        <f>"10800003100"</f>
        <v>10800003100</v>
      </c>
      <c r="C193" s="2" t="s">
        <v>4181</v>
      </c>
      <c r="D193" t="s">
        <v>29</v>
      </c>
      <c r="E193" s="2" t="s">
        <v>30</v>
      </c>
      <c r="F193" s="2">
        <v>37214</v>
      </c>
      <c r="G193" s="2" t="s">
        <v>41</v>
      </c>
      <c r="H193" t="s">
        <v>2707</v>
      </c>
      <c r="I193" s="6">
        <v>33885</v>
      </c>
      <c r="J193" s="2" t="s">
        <v>4182</v>
      </c>
      <c r="K193" s="2">
        <v>88100</v>
      </c>
      <c r="L193" t="s">
        <v>2689</v>
      </c>
      <c r="M193" t="s">
        <v>29</v>
      </c>
      <c r="N193" t="s">
        <v>30</v>
      </c>
      <c r="O193">
        <v>37214</v>
      </c>
      <c r="P193" t="s">
        <v>4183</v>
      </c>
      <c r="Q193" s="2">
        <v>1.49</v>
      </c>
      <c r="R193" s="2">
        <v>0</v>
      </c>
      <c r="S193" s="2">
        <v>0</v>
      </c>
      <c r="T193" t="s">
        <v>4184</v>
      </c>
      <c r="U193" s="6">
        <v>26057</v>
      </c>
      <c r="V193" s="2">
        <v>47037015502</v>
      </c>
      <c r="W193" s="2" t="s">
        <v>68</v>
      </c>
      <c r="X193" s="1">
        <v>45658</v>
      </c>
      <c r="Y193" s="2">
        <v>590600</v>
      </c>
      <c r="Z193" s="2">
        <v>0</v>
      </c>
      <c r="AA193" s="2">
        <v>590600</v>
      </c>
    </row>
    <row r="194" spans="1:27" x14ac:dyDescent="0.3">
      <c r="A194" s="3">
        <v>15</v>
      </c>
      <c r="B194" s="2" t="str">
        <f>"10800003000"</f>
        <v>10800003000</v>
      </c>
      <c r="C194" s="2" t="s">
        <v>2607</v>
      </c>
      <c r="D194" t="s">
        <v>29</v>
      </c>
      <c r="E194" s="2" t="s">
        <v>30</v>
      </c>
      <c r="F194" s="2">
        <v>37214</v>
      </c>
      <c r="G194" s="2" t="s">
        <v>64</v>
      </c>
      <c r="H194" t="s">
        <v>2707</v>
      </c>
      <c r="I194" s="6">
        <v>33939</v>
      </c>
      <c r="J194" s="2" t="s">
        <v>4185</v>
      </c>
      <c r="K194" s="2" t="s">
        <v>34</v>
      </c>
      <c r="L194" t="s">
        <v>2689</v>
      </c>
      <c r="M194" t="s">
        <v>29</v>
      </c>
      <c r="N194" t="s">
        <v>30</v>
      </c>
      <c r="O194">
        <v>37214</v>
      </c>
      <c r="P194" t="s">
        <v>4186</v>
      </c>
      <c r="Q194" s="2">
        <v>0.47</v>
      </c>
      <c r="R194" s="2">
        <v>245</v>
      </c>
      <c r="S194" s="2">
        <v>180</v>
      </c>
      <c r="T194" t="s">
        <v>4187</v>
      </c>
      <c r="U194" s="6">
        <v>26418</v>
      </c>
      <c r="V194" s="2">
        <v>47037015502</v>
      </c>
      <c r="W194" s="2" t="s">
        <v>68</v>
      </c>
      <c r="X194" s="1">
        <v>45658</v>
      </c>
      <c r="Y194" s="2">
        <v>3300</v>
      </c>
      <c r="Z194" s="2">
        <v>0</v>
      </c>
      <c r="AA194" s="2">
        <v>3300</v>
      </c>
    </row>
    <row r="195" spans="1:27" x14ac:dyDescent="0.3">
      <c r="A195" s="3">
        <v>15</v>
      </c>
      <c r="B195" s="2" t="str">
        <f>"10800002800"</f>
        <v>10800002800</v>
      </c>
      <c r="C195" s="2" t="s">
        <v>2607</v>
      </c>
      <c r="D195" t="s">
        <v>29</v>
      </c>
      <c r="E195" s="2" t="s">
        <v>30</v>
      </c>
      <c r="F195" s="2">
        <v>37214</v>
      </c>
      <c r="G195" s="2" t="s">
        <v>64</v>
      </c>
      <c r="H195" t="s">
        <v>2707</v>
      </c>
      <c r="I195" s="6">
        <v>34500</v>
      </c>
      <c r="J195" s="2" t="s">
        <v>4188</v>
      </c>
      <c r="K195" s="2" t="s">
        <v>34</v>
      </c>
      <c r="L195" t="s">
        <v>2689</v>
      </c>
      <c r="M195" t="s">
        <v>29</v>
      </c>
      <c r="N195" t="s">
        <v>30</v>
      </c>
      <c r="O195">
        <v>37214</v>
      </c>
      <c r="P195" t="s">
        <v>4189</v>
      </c>
      <c r="Q195" s="2">
        <v>0.18</v>
      </c>
      <c r="R195" s="2">
        <v>210</v>
      </c>
      <c r="S195" s="2">
        <v>190</v>
      </c>
      <c r="T195" t="s">
        <v>4190</v>
      </c>
      <c r="U195" s="6">
        <v>21733</v>
      </c>
      <c r="V195" s="2">
        <v>47037015502</v>
      </c>
      <c r="W195" s="2" t="s">
        <v>68</v>
      </c>
      <c r="X195" s="1">
        <v>45658</v>
      </c>
      <c r="Y195" s="2">
        <v>3300</v>
      </c>
      <c r="Z195" s="2">
        <v>0</v>
      </c>
      <c r="AA195" s="2">
        <v>3300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A28E-61E1-4F95-8AD5-0B26F46C9C87}">
  <sheetPr>
    <tabColor rgb="FF002060"/>
  </sheetPr>
  <dimension ref="A1:AA88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16</v>
      </c>
      <c r="B2" s="2" t="str">
        <f>"11902010300"</f>
        <v>11902010300</v>
      </c>
      <c r="C2" s="2" t="s">
        <v>4191</v>
      </c>
      <c r="D2" t="s">
        <v>29</v>
      </c>
      <c r="E2" s="2" t="s">
        <v>30</v>
      </c>
      <c r="F2" s="2">
        <v>37210</v>
      </c>
      <c r="G2" s="2" t="s">
        <v>64</v>
      </c>
      <c r="H2" t="s">
        <v>32</v>
      </c>
      <c r="I2" s="6">
        <v>42443</v>
      </c>
      <c r="J2" s="2" t="s">
        <v>4192</v>
      </c>
      <c r="K2" s="2">
        <v>720</v>
      </c>
      <c r="L2" t="s">
        <v>35</v>
      </c>
      <c r="M2" t="s">
        <v>29</v>
      </c>
      <c r="N2" t="s">
        <v>30</v>
      </c>
      <c r="O2">
        <v>37219</v>
      </c>
      <c r="P2" t="s">
        <v>4193</v>
      </c>
      <c r="Q2" s="2">
        <v>0.08</v>
      </c>
      <c r="R2" s="2">
        <v>117</v>
      </c>
      <c r="S2" s="2">
        <v>57</v>
      </c>
      <c r="T2" t="s">
        <v>4194</v>
      </c>
      <c r="U2" s="6">
        <v>23585</v>
      </c>
      <c r="V2" s="2">
        <v>47037017300</v>
      </c>
      <c r="W2" s="2" t="s">
        <v>68</v>
      </c>
      <c r="X2" s="1">
        <v>45658</v>
      </c>
      <c r="Y2" s="2">
        <v>1000</v>
      </c>
      <c r="Z2" s="2">
        <v>0</v>
      </c>
      <c r="AA2" s="2">
        <v>1000</v>
      </c>
    </row>
    <row r="3" spans="1:27" x14ac:dyDescent="0.3">
      <c r="A3" s="3">
        <v>16</v>
      </c>
      <c r="B3" s="2" t="str">
        <f>"11907004400"</f>
        <v>11907004400</v>
      </c>
      <c r="C3" s="2" t="s">
        <v>4195</v>
      </c>
      <c r="D3" t="s">
        <v>29</v>
      </c>
      <c r="E3" s="2" t="s">
        <v>30</v>
      </c>
      <c r="F3" s="2">
        <v>37210</v>
      </c>
      <c r="G3" s="2" t="s">
        <v>64</v>
      </c>
      <c r="H3" t="s">
        <v>32</v>
      </c>
      <c r="I3" s="6">
        <v>41359</v>
      </c>
      <c r="J3" s="2" t="s">
        <v>4196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4197</v>
      </c>
      <c r="Q3" s="2">
        <v>2.96</v>
      </c>
      <c r="R3" s="2">
        <v>0</v>
      </c>
      <c r="S3" s="2">
        <v>0</v>
      </c>
      <c r="T3" t="s">
        <v>4198</v>
      </c>
      <c r="U3" s="6">
        <v>16298</v>
      </c>
      <c r="V3" s="2">
        <v>47037015802</v>
      </c>
      <c r="W3" s="2" t="s">
        <v>68</v>
      </c>
      <c r="X3" s="1">
        <v>45658</v>
      </c>
      <c r="Y3" s="2">
        <v>3300</v>
      </c>
      <c r="Z3" s="2">
        <v>0</v>
      </c>
      <c r="AA3" s="2">
        <v>3300</v>
      </c>
    </row>
    <row r="4" spans="1:27" x14ac:dyDescent="0.3">
      <c r="A4" s="3">
        <v>16</v>
      </c>
      <c r="B4" s="2" t="str">
        <f>"11908004400"</f>
        <v>11908004400</v>
      </c>
      <c r="C4" s="2" t="s">
        <v>4199</v>
      </c>
      <c r="D4" t="s">
        <v>29</v>
      </c>
      <c r="E4" s="2" t="s">
        <v>30</v>
      </c>
      <c r="F4" s="2">
        <v>37211</v>
      </c>
      <c r="G4" s="2" t="s">
        <v>41</v>
      </c>
      <c r="H4" t="s">
        <v>32</v>
      </c>
      <c r="I4" s="6">
        <v>40820</v>
      </c>
      <c r="J4" s="2" t="s">
        <v>4200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4201</v>
      </c>
      <c r="Q4" s="2">
        <v>0.87</v>
      </c>
      <c r="R4" s="2">
        <v>69</v>
      </c>
      <c r="S4" s="2">
        <v>621</v>
      </c>
      <c r="T4" t="s">
        <v>4202</v>
      </c>
      <c r="U4" s="6">
        <v>36557</v>
      </c>
      <c r="V4" s="2">
        <v>47037015802</v>
      </c>
      <c r="W4" s="2" t="s">
        <v>68</v>
      </c>
      <c r="X4" s="1">
        <v>45658</v>
      </c>
      <c r="Y4" s="2">
        <v>3800</v>
      </c>
      <c r="Z4" s="2">
        <v>0</v>
      </c>
      <c r="AA4" s="2">
        <v>3800</v>
      </c>
    </row>
    <row r="5" spans="1:27" x14ac:dyDescent="0.3">
      <c r="A5" s="3">
        <v>16</v>
      </c>
      <c r="B5" s="2" t="str">
        <f>"11907004600"</f>
        <v>11907004600</v>
      </c>
      <c r="C5" s="2" t="s">
        <v>4195</v>
      </c>
      <c r="D5" t="s">
        <v>29</v>
      </c>
      <c r="E5" s="2" t="s">
        <v>30</v>
      </c>
      <c r="F5" s="2">
        <v>37210</v>
      </c>
      <c r="G5" s="2" t="s">
        <v>64</v>
      </c>
      <c r="H5" t="s">
        <v>32</v>
      </c>
      <c r="I5" s="6">
        <v>41575</v>
      </c>
      <c r="J5" s="2" t="s">
        <v>4203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4204</v>
      </c>
      <c r="Q5" s="2">
        <v>0.42</v>
      </c>
      <c r="R5" s="2">
        <v>276</v>
      </c>
      <c r="S5" s="2">
        <v>140</v>
      </c>
      <c r="T5" t="s">
        <v>4205</v>
      </c>
      <c r="U5" s="6">
        <v>15284</v>
      </c>
      <c r="V5" s="2">
        <v>47037015802</v>
      </c>
      <c r="W5" s="2" t="s">
        <v>68</v>
      </c>
      <c r="X5" s="1">
        <v>45658</v>
      </c>
      <c r="Y5" s="2">
        <v>2500</v>
      </c>
      <c r="Z5" s="2">
        <v>0</v>
      </c>
      <c r="AA5" s="2">
        <v>2500</v>
      </c>
    </row>
    <row r="6" spans="1:27" x14ac:dyDescent="0.3">
      <c r="A6" s="3">
        <v>16</v>
      </c>
      <c r="B6" s="2" t="str">
        <f>"11907004500"</f>
        <v>11907004500</v>
      </c>
      <c r="C6" s="2" t="s">
        <v>4195</v>
      </c>
      <c r="D6" t="s">
        <v>29</v>
      </c>
      <c r="E6" s="2" t="s">
        <v>30</v>
      </c>
      <c r="F6" s="2">
        <v>37210</v>
      </c>
      <c r="G6" s="2" t="s">
        <v>64</v>
      </c>
      <c r="H6" t="s">
        <v>32</v>
      </c>
      <c r="I6" s="6">
        <v>41575</v>
      </c>
      <c r="J6" s="2" t="s">
        <v>4203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4206</v>
      </c>
      <c r="Q6" s="2">
        <v>4.57</v>
      </c>
      <c r="R6" s="2">
        <v>0</v>
      </c>
      <c r="S6" s="2">
        <v>0</v>
      </c>
      <c r="T6" t="s">
        <v>4205</v>
      </c>
      <c r="U6" s="6">
        <v>15284</v>
      </c>
      <c r="V6" s="2">
        <v>47037015802</v>
      </c>
      <c r="W6" s="2" t="s">
        <v>68</v>
      </c>
      <c r="X6" s="1">
        <v>45658</v>
      </c>
      <c r="Y6" s="2">
        <v>12600</v>
      </c>
      <c r="Z6" s="2">
        <v>0</v>
      </c>
      <c r="AA6" s="2">
        <v>12600</v>
      </c>
    </row>
    <row r="7" spans="1:27" x14ac:dyDescent="0.3">
      <c r="A7" s="3">
        <v>16</v>
      </c>
      <c r="B7" s="2" t="str">
        <f>"11908004500"</f>
        <v>11908004500</v>
      </c>
      <c r="C7" s="2" t="s">
        <v>4207</v>
      </c>
      <c r="D7" t="s">
        <v>29</v>
      </c>
      <c r="E7" s="2" t="s">
        <v>30</v>
      </c>
      <c r="F7" s="2">
        <v>37211</v>
      </c>
      <c r="G7" s="2" t="s">
        <v>41</v>
      </c>
      <c r="H7" t="s">
        <v>32</v>
      </c>
      <c r="I7" s="6">
        <v>40820</v>
      </c>
      <c r="J7" s="2" t="s">
        <v>4200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4201</v>
      </c>
      <c r="Q7" s="2">
        <v>2.58</v>
      </c>
      <c r="R7" s="2">
        <v>0</v>
      </c>
      <c r="S7" s="2">
        <v>0</v>
      </c>
      <c r="T7" t="s">
        <v>4202</v>
      </c>
      <c r="U7" s="6">
        <v>36557</v>
      </c>
      <c r="V7" s="2">
        <v>47037015802</v>
      </c>
      <c r="W7" s="2" t="s">
        <v>68</v>
      </c>
      <c r="X7" s="1">
        <v>45658</v>
      </c>
      <c r="Y7" s="2">
        <v>281000</v>
      </c>
      <c r="Z7" s="2">
        <v>0</v>
      </c>
      <c r="AA7" s="2">
        <v>281000</v>
      </c>
    </row>
    <row r="8" spans="1:27" x14ac:dyDescent="0.3">
      <c r="A8" s="3">
        <v>16</v>
      </c>
      <c r="B8" s="2" t="str">
        <f>"10606008300"</f>
        <v>10606008300</v>
      </c>
      <c r="C8" s="2" t="s">
        <v>4208</v>
      </c>
      <c r="D8" t="s">
        <v>29</v>
      </c>
      <c r="E8" s="2" t="s">
        <v>30</v>
      </c>
      <c r="F8" s="2">
        <v>37210</v>
      </c>
      <c r="G8" s="2" t="s">
        <v>41</v>
      </c>
      <c r="H8" t="s">
        <v>32</v>
      </c>
      <c r="I8" s="6">
        <v>41961</v>
      </c>
      <c r="J8" s="2" t="s">
        <v>4209</v>
      </c>
      <c r="K8" s="2">
        <v>0</v>
      </c>
      <c r="L8" t="s">
        <v>35</v>
      </c>
      <c r="M8" t="s">
        <v>29</v>
      </c>
      <c r="N8" t="s">
        <v>30</v>
      </c>
      <c r="O8">
        <v>37219</v>
      </c>
      <c r="P8" t="s">
        <v>4210</v>
      </c>
      <c r="Q8" s="2">
        <v>6.56</v>
      </c>
      <c r="R8" s="2">
        <v>0</v>
      </c>
      <c r="S8" s="2">
        <v>0</v>
      </c>
      <c r="T8" t="s">
        <v>62</v>
      </c>
      <c r="U8" s="6">
        <v>31637</v>
      </c>
      <c r="V8" s="2">
        <v>47037015900</v>
      </c>
      <c r="W8" s="2" t="s">
        <v>68</v>
      </c>
      <c r="X8" s="1">
        <v>45658</v>
      </c>
      <c r="Y8" s="2">
        <v>12178300</v>
      </c>
      <c r="Z8" s="2">
        <v>0</v>
      </c>
      <c r="AA8" s="2">
        <v>12178300</v>
      </c>
    </row>
    <row r="9" spans="1:27" x14ac:dyDescent="0.3">
      <c r="A9" s="3">
        <v>16</v>
      </c>
      <c r="B9" s="2" t="str">
        <f>"10606008700"</f>
        <v>10606008700</v>
      </c>
      <c r="C9" s="2" t="s">
        <v>4211</v>
      </c>
      <c r="D9" t="s">
        <v>29</v>
      </c>
      <c r="E9" s="2" t="s">
        <v>30</v>
      </c>
      <c r="F9" s="2">
        <v>37210</v>
      </c>
      <c r="G9" s="2" t="s">
        <v>41</v>
      </c>
      <c r="H9" t="s">
        <v>32</v>
      </c>
      <c r="I9" s="6">
        <v>41961</v>
      </c>
      <c r="J9" s="2" t="s">
        <v>4209</v>
      </c>
      <c r="K9" s="2">
        <v>0</v>
      </c>
      <c r="L9" t="s">
        <v>35</v>
      </c>
      <c r="M9" t="s">
        <v>29</v>
      </c>
      <c r="N9" t="s">
        <v>30</v>
      </c>
      <c r="O9">
        <v>37219</v>
      </c>
      <c r="P9" t="s">
        <v>4212</v>
      </c>
      <c r="Q9" s="2">
        <v>1.38</v>
      </c>
      <c r="R9" s="2">
        <v>119</v>
      </c>
      <c r="S9" s="2">
        <v>526</v>
      </c>
      <c r="T9" t="s">
        <v>4213</v>
      </c>
      <c r="U9" s="6">
        <v>31637</v>
      </c>
      <c r="V9" s="2">
        <v>47037015900</v>
      </c>
      <c r="W9" s="2" t="s">
        <v>68</v>
      </c>
      <c r="X9" s="1">
        <v>45658</v>
      </c>
      <c r="Y9" s="2">
        <v>2611700</v>
      </c>
      <c r="Z9" s="2">
        <v>0</v>
      </c>
      <c r="AA9" s="2">
        <v>2611700</v>
      </c>
    </row>
    <row r="10" spans="1:27" x14ac:dyDescent="0.3">
      <c r="A10" s="3">
        <v>16</v>
      </c>
      <c r="B10" s="2" t="str">
        <f>"10600017500"</f>
        <v>10600017500</v>
      </c>
      <c r="C10" s="2" t="s">
        <v>4214</v>
      </c>
      <c r="D10" t="s">
        <v>29</v>
      </c>
      <c r="E10" s="2" t="s">
        <v>30</v>
      </c>
      <c r="F10" s="2">
        <v>37210</v>
      </c>
      <c r="G10" s="2" t="s">
        <v>64</v>
      </c>
      <c r="H10" t="s">
        <v>32</v>
      </c>
      <c r="I10" s="6">
        <v>41627</v>
      </c>
      <c r="J10" s="2" t="s">
        <v>4215</v>
      </c>
      <c r="K10" s="2">
        <v>0</v>
      </c>
      <c r="L10" t="s">
        <v>35</v>
      </c>
      <c r="M10" t="s">
        <v>29</v>
      </c>
      <c r="N10" t="s">
        <v>30</v>
      </c>
      <c r="O10">
        <v>37219</v>
      </c>
      <c r="P10" t="s">
        <v>4216</v>
      </c>
      <c r="Q10" s="2">
        <v>8.6</v>
      </c>
      <c r="R10" s="2">
        <v>196</v>
      </c>
      <c r="S10" s="2">
        <v>0</v>
      </c>
      <c r="T10" t="s">
        <v>4215</v>
      </c>
      <c r="U10" s="6">
        <v>41627</v>
      </c>
      <c r="V10" s="2">
        <v>47037015900</v>
      </c>
      <c r="W10" s="2" t="s">
        <v>68</v>
      </c>
      <c r="X10" s="1">
        <v>45658</v>
      </c>
      <c r="Y10" s="2">
        <v>887500</v>
      </c>
      <c r="Z10" s="2">
        <v>0</v>
      </c>
      <c r="AA10" s="2">
        <v>887500</v>
      </c>
    </row>
    <row r="11" spans="1:27" x14ac:dyDescent="0.3">
      <c r="A11" s="3">
        <v>16</v>
      </c>
      <c r="B11" s="2" t="str">
        <f>"11907004800"</f>
        <v>11907004800</v>
      </c>
      <c r="C11" s="2" t="s">
        <v>4217</v>
      </c>
      <c r="D11" t="s">
        <v>29</v>
      </c>
      <c r="E11" s="2" t="s">
        <v>30</v>
      </c>
      <c r="F11" s="2">
        <v>37210</v>
      </c>
      <c r="G11" s="2" t="s">
        <v>64</v>
      </c>
      <c r="H11" t="s">
        <v>32</v>
      </c>
      <c r="I11" s="6">
        <v>42639</v>
      </c>
      <c r="J11" s="2" t="s">
        <v>4218</v>
      </c>
      <c r="K11" s="2">
        <v>1903</v>
      </c>
      <c r="L11" t="s">
        <v>35</v>
      </c>
      <c r="M11" t="s">
        <v>29</v>
      </c>
      <c r="N11" t="s">
        <v>30</v>
      </c>
      <c r="O11">
        <v>37219</v>
      </c>
      <c r="P11" t="s">
        <v>4219</v>
      </c>
      <c r="Q11" s="2">
        <v>0.22</v>
      </c>
      <c r="R11" s="2">
        <v>158</v>
      </c>
      <c r="S11" s="2">
        <v>74</v>
      </c>
      <c r="T11" t="s">
        <v>4220</v>
      </c>
      <c r="U11" s="6">
        <v>16053</v>
      </c>
      <c r="V11" s="2">
        <v>47037017300</v>
      </c>
      <c r="W11" s="2" t="s">
        <v>68</v>
      </c>
      <c r="X11" s="1">
        <v>45658</v>
      </c>
      <c r="Y11" s="2">
        <v>1000</v>
      </c>
      <c r="Z11" s="2">
        <v>0</v>
      </c>
      <c r="AA11" s="2">
        <v>1000</v>
      </c>
    </row>
    <row r="12" spans="1:27" x14ac:dyDescent="0.3">
      <c r="A12" s="3">
        <v>16</v>
      </c>
      <c r="B12" s="2" t="str">
        <f>"11901012000"</f>
        <v>11901012000</v>
      </c>
      <c r="C12" s="2" t="s">
        <v>4221</v>
      </c>
      <c r="D12" t="s">
        <v>29</v>
      </c>
      <c r="E12" s="2" t="s">
        <v>30</v>
      </c>
      <c r="F12" s="2">
        <v>37210</v>
      </c>
      <c r="G12" s="2" t="s">
        <v>64</v>
      </c>
      <c r="H12" t="s">
        <v>99</v>
      </c>
      <c r="I12" s="6">
        <v>28572</v>
      </c>
      <c r="J12" s="2" t="s">
        <v>4222</v>
      </c>
      <c r="K12" s="2">
        <v>205</v>
      </c>
      <c r="L12" t="s">
        <v>35</v>
      </c>
      <c r="M12" t="s">
        <v>29</v>
      </c>
      <c r="N12" t="s">
        <v>30</v>
      </c>
      <c r="O12">
        <v>37219</v>
      </c>
      <c r="P12" t="s">
        <v>4223</v>
      </c>
      <c r="Q12" s="2">
        <v>7.0000000000000007E-2</v>
      </c>
      <c r="R12" s="2">
        <v>30</v>
      </c>
      <c r="S12" s="2">
        <v>152</v>
      </c>
      <c r="T12" t="s">
        <v>4224</v>
      </c>
      <c r="U12" s="6">
        <v>17278</v>
      </c>
      <c r="V12" s="2">
        <v>47037017300</v>
      </c>
      <c r="W12" s="2" t="s">
        <v>68</v>
      </c>
      <c r="X12" s="1">
        <v>45658</v>
      </c>
      <c r="Y12" s="2">
        <v>1000</v>
      </c>
      <c r="Z12" s="2">
        <v>0</v>
      </c>
      <c r="AA12" s="2">
        <v>1000</v>
      </c>
    </row>
    <row r="13" spans="1:27" x14ac:dyDescent="0.3">
      <c r="A13" s="3">
        <v>16</v>
      </c>
      <c r="B13" s="2" t="str">
        <f>"10605007800"</f>
        <v>10605007800</v>
      </c>
      <c r="C13" s="2" t="s">
        <v>4225</v>
      </c>
      <c r="D13" t="s">
        <v>29</v>
      </c>
      <c r="E13" s="2" t="s">
        <v>30</v>
      </c>
      <c r="F13" s="2">
        <v>37210</v>
      </c>
      <c r="G13" s="2" t="s">
        <v>147</v>
      </c>
      <c r="H13" t="s">
        <v>4226</v>
      </c>
      <c r="I13" s="6">
        <v>23021</v>
      </c>
      <c r="J13" s="2" t="s">
        <v>4227</v>
      </c>
      <c r="K13" s="2" t="s">
        <v>34</v>
      </c>
      <c r="L13" t="s">
        <v>35</v>
      </c>
      <c r="M13" t="s">
        <v>29</v>
      </c>
      <c r="N13" t="s">
        <v>30</v>
      </c>
      <c r="O13">
        <v>37219</v>
      </c>
      <c r="P13" t="s">
        <v>4228</v>
      </c>
      <c r="Q13" s="2">
        <v>1.1000000000000001</v>
      </c>
      <c r="R13" s="2">
        <v>164</v>
      </c>
      <c r="S13" s="2">
        <v>139</v>
      </c>
      <c r="T13" t="s">
        <v>4229</v>
      </c>
      <c r="U13" s="6">
        <v>34430</v>
      </c>
      <c r="V13" s="2">
        <v>47037015900</v>
      </c>
      <c r="W13" s="2" t="s">
        <v>68</v>
      </c>
      <c r="X13" s="1">
        <v>45658</v>
      </c>
      <c r="Y13" s="2">
        <v>958300</v>
      </c>
      <c r="Z13" s="2">
        <v>0</v>
      </c>
      <c r="AA13" s="2">
        <v>958300</v>
      </c>
    </row>
    <row r="14" spans="1:27" x14ac:dyDescent="0.3">
      <c r="A14" s="3">
        <v>16</v>
      </c>
      <c r="B14" s="2" t="str">
        <f>"11905027700"</f>
        <v>11905027700</v>
      </c>
      <c r="C14" s="2" t="s">
        <v>4230</v>
      </c>
      <c r="D14" t="s">
        <v>29</v>
      </c>
      <c r="E14" s="2" t="s">
        <v>30</v>
      </c>
      <c r="F14" s="2">
        <v>37210</v>
      </c>
      <c r="G14" s="2" t="s">
        <v>147</v>
      </c>
      <c r="H14" t="s">
        <v>4231</v>
      </c>
      <c r="I14" s="6">
        <v>22808</v>
      </c>
      <c r="J14" s="2" t="s">
        <v>4232</v>
      </c>
      <c r="K14" s="2" t="s">
        <v>34</v>
      </c>
      <c r="L14" t="s">
        <v>35</v>
      </c>
      <c r="M14" t="s">
        <v>29</v>
      </c>
      <c r="N14" t="s">
        <v>30</v>
      </c>
      <c r="O14">
        <v>37219</v>
      </c>
      <c r="P14" t="s">
        <v>4233</v>
      </c>
      <c r="Q14" s="2">
        <v>1.18</v>
      </c>
      <c r="R14" s="2">
        <v>210</v>
      </c>
      <c r="S14" s="2">
        <v>206</v>
      </c>
      <c r="T14" t="s">
        <v>4232</v>
      </c>
      <c r="U14" s="6">
        <v>22808</v>
      </c>
      <c r="V14" s="2">
        <v>47037017300</v>
      </c>
      <c r="W14" s="2" t="s">
        <v>68</v>
      </c>
      <c r="X14" s="1">
        <v>45658</v>
      </c>
      <c r="Y14" s="2">
        <v>1799000</v>
      </c>
      <c r="Z14" s="2">
        <v>0</v>
      </c>
      <c r="AA14" s="2">
        <v>1799000</v>
      </c>
    </row>
    <row r="15" spans="1:27" x14ac:dyDescent="0.3">
      <c r="A15" s="3">
        <v>16</v>
      </c>
      <c r="B15" s="2" t="str">
        <f>"11909014500"</f>
        <v>11909014500</v>
      </c>
      <c r="C15" s="2" t="s">
        <v>4234</v>
      </c>
      <c r="D15" t="s">
        <v>29</v>
      </c>
      <c r="E15" s="2" t="s">
        <v>30</v>
      </c>
      <c r="F15" s="2">
        <v>37211</v>
      </c>
      <c r="G15" s="2" t="s">
        <v>1510</v>
      </c>
      <c r="H15" t="s">
        <v>4235</v>
      </c>
      <c r="I15" s="6">
        <v>23049</v>
      </c>
      <c r="J15" s="2" t="s">
        <v>4236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4237</v>
      </c>
      <c r="Q15" s="2">
        <v>0.57999999999999996</v>
      </c>
      <c r="R15" s="2">
        <v>140</v>
      </c>
      <c r="S15" s="2">
        <v>177</v>
      </c>
      <c r="T15" t="s">
        <v>4236</v>
      </c>
      <c r="U15" s="6">
        <v>23049</v>
      </c>
      <c r="V15" s="2">
        <v>47037017300</v>
      </c>
      <c r="W15" s="2" t="s">
        <v>68</v>
      </c>
      <c r="X15" s="1">
        <v>45658</v>
      </c>
      <c r="Y15" s="2">
        <v>1010600</v>
      </c>
      <c r="Z15" s="2">
        <v>0</v>
      </c>
      <c r="AA15" s="2">
        <v>1010600</v>
      </c>
    </row>
    <row r="16" spans="1:27" x14ac:dyDescent="0.3">
      <c r="A16" s="3">
        <v>16</v>
      </c>
      <c r="B16" s="2" t="str">
        <f>"11901032200"</f>
        <v>11901032200</v>
      </c>
      <c r="C16" s="2" t="s">
        <v>4238</v>
      </c>
      <c r="D16" t="s">
        <v>29</v>
      </c>
      <c r="E16" s="2" t="s">
        <v>30</v>
      </c>
      <c r="F16" s="2">
        <v>37210</v>
      </c>
      <c r="G16" s="2" t="s">
        <v>253</v>
      </c>
      <c r="H16" t="s">
        <v>4239</v>
      </c>
      <c r="I16" s="6">
        <v>21504</v>
      </c>
      <c r="J16" s="2" t="s">
        <v>4240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4241</v>
      </c>
      <c r="Q16" s="2">
        <v>0.26</v>
      </c>
      <c r="R16" s="2">
        <v>75</v>
      </c>
      <c r="S16" s="2">
        <v>150</v>
      </c>
      <c r="T16" t="s">
        <v>4240</v>
      </c>
      <c r="U16" s="6">
        <v>21504</v>
      </c>
      <c r="V16" s="2">
        <v>47037017300</v>
      </c>
      <c r="W16" s="2" t="s">
        <v>68</v>
      </c>
      <c r="X16" s="1">
        <v>45658</v>
      </c>
      <c r="Y16" s="2">
        <v>150000</v>
      </c>
      <c r="Z16" s="2">
        <v>0</v>
      </c>
      <c r="AA16" s="2">
        <v>150000</v>
      </c>
    </row>
    <row r="17" spans="1:27" x14ac:dyDescent="0.3">
      <c r="A17" s="3">
        <v>16</v>
      </c>
      <c r="B17" s="2" t="str">
        <f>"11901032800"</f>
        <v>11901032800</v>
      </c>
      <c r="C17" s="2" t="s">
        <v>4242</v>
      </c>
      <c r="D17" t="s">
        <v>29</v>
      </c>
      <c r="E17" s="2" t="s">
        <v>30</v>
      </c>
      <c r="F17" s="2">
        <v>37210</v>
      </c>
      <c r="G17" s="2" t="s">
        <v>253</v>
      </c>
      <c r="H17" t="s">
        <v>4239</v>
      </c>
      <c r="I17" s="6">
        <v>27395</v>
      </c>
      <c r="J17" s="2" t="s">
        <v>4243</v>
      </c>
      <c r="K17" s="2" t="s">
        <v>34</v>
      </c>
      <c r="L17" t="s">
        <v>35</v>
      </c>
      <c r="M17" t="s">
        <v>29</v>
      </c>
      <c r="N17" t="s">
        <v>30</v>
      </c>
      <c r="O17">
        <v>37219</v>
      </c>
      <c r="P17" t="s">
        <v>4244</v>
      </c>
      <c r="Q17" s="2">
        <v>1.61</v>
      </c>
      <c r="R17" s="2">
        <v>463</v>
      </c>
      <c r="S17" s="2">
        <v>150</v>
      </c>
      <c r="T17" t="s">
        <v>4245</v>
      </c>
      <c r="U17" s="6">
        <v>2545</v>
      </c>
      <c r="V17" s="2">
        <v>47037017300</v>
      </c>
      <c r="W17" s="2" t="s">
        <v>68</v>
      </c>
      <c r="X17" s="1">
        <v>45658</v>
      </c>
      <c r="Y17" s="2">
        <v>305900</v>
      </c>
      <c r="Z17" s="2">
        <v>0</v>
      </c>
      <c r="AA17" s="2">
        <v>305900</v>
      </c>
    </row>
    <row r="18" spans="1:27" x14ac:dyDescent="0.3">
      <c r="A18" s="3">
        <v>16</v>
      </c>
      <c r="B18" s="2" t="str">
        <f>"11901040800"</f>
        <v>11901040800</v>
      </c>
      <c r="C18" s="2" t="s">
        <v>4246</v>
      </c>
      <c r="D18" t="s">
        <v>29</v>
      </c>
      <c r="E18" s="2" t="s">
        <v>30</v>
      </c>
      <c r="F18" s="2">
        <v>37210</v>
      </c>
      <c r="G18" s="2" t="s">
        <v>253</v>
      </c>
      <c r="H18" t="s">
        <v>4239</v>
      </c>
      <c r="I18" s="6">
        <v>15894</v>
      </c>
      <c r="J18" s="2" t="s">
        <v>4247</v>
      </c>
      <c r="K18" s="2" t="s">
        <v>34</v>
      </c>
      <c r="L18" t="s">
        <v>35</v>
      </c>
      <c r="M18" t="s">
        <v>29</v>
      </c>
      <c r="N18" t="s">
        <v>30</v>
      </c>
      <c r="O18">
        <v>37219</v>
      </c>
      <c r="P18" t="s">
        <v>4248</v>
      </c>
      <c r="Q18" s="2">
        <v>0.52</v>
      </c>
      <c r="R18" s="2">
        <v>163</v>
      </c>
      <c r="S18" s="2">
        <v>150</v>
      </c>
      <c r="T18" t="s">
        <v>4247</v>
      </c>
      <c r="U18" s="6">
        <v>15894</v>
      </c>
      <c r="V18" s="2">
        <v>47037017300</v>
      </c>
      <c r="W18" s="2" t="s">
        <v>68</v>
      </c>
      <c r="X18" s="1">
        <v>45658</v>
      </c>
      <c r="Y18" s="2">
        <v>978000</v>
      </c>
      <c r="Z18" s="2">
        <v>0</v>
      </c>
      <c r="AA18" s="2">
        <v>978000</v>
      </c>
    </row>
    <row r="19" spans="1:27" x14ac:dyDescent="0.3">
      <c r="A19" s="3">
        <v>16</v>
      </c>
      <c r="B19" s="2" t="str">
        <f>"11901038700"</f>
        <v>11901038700</v>
      </c>
      <c r="C19" s="2" t="s">
        <v>4249</v>
      </c>
      <c r="D19" t="s">
        <v>29</v>
      </c>
      <c r="E19" s="2" t="s">
        <v>30</v>
      </c>
      <c r="F19" s="2">
        <v>37210</v>
      </c>
      <c r="G19" s="2" t="s">
        <v>253</v>
      </c>
      <c r="H19" t="s">
        <v>4239</v>
      </c>
      <c r="I19" s="6">
        <v>15894</v>
      </c>
      <c r="J19" s="2" t="s">
        <v>4247</v>
      </c>
      <c r="K19" s="2" t="s">
        <v>34</v>
      </c>
      <c r="L19" t="s">
        <v>35</v>
      </c>
      <c r="M19" t="s">
        <v>29</v>
      </c>
      <c r="N19" t="s">
        <v>30</v>
      </c>
      <c r="O19">
        <v>37219</v>
      </c>
      <c r="P19" t="s">
        <v>4250</v>
      </c>
      <c r="Q19" s="2">
        <v>0.36</v>
      </c>
      <c r="R19" s="2">
        <v>113</v>
      </c>
      <c r="S19" s="2">
        <v>150</v>
      </c>
      <c r="T19" t="s">
        <v>4247</v>
      </c>
      <c r="U19" s="6">
        <v>15894</v>
      </c>
      <c r="V19" s="2">
        <v>47037017300</v>
      </c>
      <c r="W19" s="2" t="s">
        <v>68</v>
      </c>
      <c r="X19" s="1">
        <v>45658</v>
      </c>
      <c r="Y19" s="2">
        <v>187500</v>
      </c>
      <c r="Z19" s="2">
        <v>0</v>
      </c>
      <c r="AA19" s="2">
        <v>187500</v>
      </c>
    </row>
    <row r="20" spans="1:27" x14ac:dyDescent="0.3">
      <c r="A20" s="3">
        <v>16</v>
      </c>
      <c r="B20" s="2" t="str">
        <f>"10508024701"</f>
        <v>10508024701</v>
      </c>
      <c r="C20" s="2" t="s">
        <v>4251</v>
      </c>
      <c r="D20" t="s">
        <v>29</v>
      </c>
      <c r="E20" s="2" t="s">
        <v>30</v>
      </c>
      <c r="F20" s="2">
        <v>37210</v>
      </c>
      <c r="G20" s="2" t="s">
        <v>41</v>
      </c>
      <c r="H20" t="s">
        <v>176</v>
      </c>
      <c r="I20" s="6">
        <v>35118</v>
      </c>
      <c r="J20" s="2" t="s">
        <v>4252</v>
      </c>
      <c r="K20" s="2">
        <v>5600</v>
      </c>
      <c r="L20" t="s">
        <v>178</v>
      </c>
      <c r="M20" t="s">
        <v>29</v>
      </c>
      <c r="N20" t="s">
        <v>30</v>
      </c>
      <c r="O20">
        <v>37246</v>
      </c>
      <c r="P20" t="s">
        <v>4253</v>
      </c>
      <c r="Q20" s="2">
        <v>0.61</v>
      </c>
      <c r="R20" s="2">
        <v>0</v>
      </c>
      <c r="S20" s="2">
        <v>306</v>
      </c>
      <c r="T20" t="s">
        <v>4254</v>
      </c>
      <c r="U20" s="6">
        <v>25651</v>
      </c>
      <c r="V20" s="2">
        <v>47037017200</v>
      </c>
      <c r="W20" s="2" t="s">
        <v>68</v>
      </c>
      <c r="X20" s="1">
        <v>45658</v>
      </c>
      <c r="Y20" s="2">
        <v>332200</v>
      </c>
      <c r="Z20" s="2">
        <v>0</v>
      </c>
      <c r="AA20" s="2">
        <v>332200</v>
      </c>
    </row>
    <row r="21" spans="1:27" x14ac:dyDescent="0.3">
      <c r="A21" s="3">
        <v>16</v>
      </c>
      <c r="B21" s="2" t="str">
        <f>"10615004300"</f>
        <v>10615004300</v>
      </c>
      <c r="C21" s="2" t="s">
        <v>4255</v>
      </c>
      <c r="D21" t="s">
        <v>29</v>
      </c>
      <c r="E21" s="2" t="s">
        <v>30</v>
      </c>
      <c r="F21" s="2">
        <v>37217</v>
      </c>
      <c r="G21" s="2" t="s">
        <v>152</v>
      </c>
      <c r="H21" t="s">
        <v>176</v>
      </c>
      <c r="I21" s="6">
        <v>21816</v>
      </c>
      <c r="J21" s="2" t="s">
        <v>4256</v>
      </c>
      <c r="K21" s="2" t="s">
        <v>34</v>
      </c>
      <c r="L21" t="s">
        <v>178</v>
      </c>
      <c r="M21" t="s">
        <v>29</v>
      </c>
      <c r="N21" t="s">
        <v>30</v>
      </c>
      <c r="O21">
        <v>37246</v>
      </c>
      <c r="P21" t="s">
        <v>4257</v>
      </c>
      <c r="Q21" s="2">
        <v>1.01</v>
      </c>
      <c r="R21" s="2">
        <v>136</v>
      </c>
      <c r="S21" s="2">
        <v>293</v>
      </c>
      <c r="T21" t="s">
        <v>4256</v>
      </c>
      <c r="U21" s="6">
        <v>21816</v>
      </c>
      <c r="V21" s="2">
        <v>47037015802</v>
      </c>
      <c r="W21" s="2" t="s">
        <v>68</v>
      </c>
      <c r="X21" s="1">
        <v>45658</v>
      </c>
      <c r="Y21" s="2">
        <v>104200</v>
      </c>
      <c r="Z21" s="2">
        <v>0</v>
      </c>
      <c r="AA21" s="2">
        <v>104200</v>
      </c>
    </row>
    <row r="22" spans="1:27" x14ac:dyDescent="0.3">
      <c r="A22" s="3">
        <v>16</v>
      </c>
      <c r="B22" s="2" t="str">
        <f>"12001003300"</f>
        <v>12001003300</v>
      </c>
      <c r="C22" s="2" t="s">
        <v>4258</v>
      </c>
      <c r="D22" t="s">
        <v>29</v>
      </c>
      <c r="E22" s="2" t="s">
        <v>30</v>
      </c>
      <c r="F22" s="2">
        <v>37217</v>
      </c>
      <c r="G22" s="2" t="s">
        <v>64</v>
      </c>
      <c r="H22" t="s">
        <v>176</v>
      </c>
      <c r="I22" s="6">
        <v>26891</v>
      </c>
      <c r="J22" s="2" t="s">
        <v>4259</v>
      </c>
      <c r="K22" s="2" t="s">
        <v>34</v>
      </c>
      <c r="L22" t="s">
        <v>178</v>
      </c>
      <c r="M22" t="s">
        <v>29</v>
      </c>
      <c r="N22" t="s">
        <v>30</v>
      </c>
      <c r="O22">
        <v>37246</v>
      </c>
      <c r="P22" t="s">
        <v>4260</v>
      </c>
      <c r="Q22" s="2">
        <v>0.33</v>
      </c>
      <c r="R22" s="2">
        <v>120</v>
      </c>
      <c r="S22" s="2">
        <v>25</v>
      </c>
      <c r="T22" t="s">
        <v>4259</v>
      </c>
      <c r="U22" s="6">
        <v>26891</v>
      </c>
      <c r="V22" s="2">
        <v>47037015802</v>
      </c>
      <c r="W22" s="2" t="s">
        <v>68</v>
      </c>
      <c r="X22" s="1">
        <v>45658</v>
      </c>
      <c r="Y22" s="2">
        <v>9000</v>
      </c>
      <c r="Z22" s="2">
        <v>0</v>
      </c>
      <c r="AA22" s="2">
        <v>9000</v>
      </c>
    </row>
    <row r="23" spans="1:27" x14ac:dyDescent="0.3">
      <c r="A23" s="3">
        <v>16</v>
      </c>
      <c r="B23" s="2" t="str">
        <f>"12001003200"</f>
        <v>12001003200</v>
      </c>
      <c r="C23" s="2" t="s">
        <v>4261</v>
      </c>
      <c r="D23" t="s">
        <v>29</v>
      </c>
      <c r="E23" s="2" t="s">
        <v>30</v>
      </c>
      <c r="F23" s="2">
        <v>37217</v>
      </c>
      <c r="G23" s="2" t="s">
        <v>152</v>
      </c>
      <c r="H23" t="s">
        <v>176</v>
      </c>
      <c r="I23" s="6">
        <v>26891</v>
      </c>
      <c r="J23" s="2" t="s">
        <v>4259</v>
      </c>
      <c r="K23" s="2" t="s">
        <v>34</v>
      </c>
      <c r="L23" t="s">
        <v>178</v>
      </c>
      <c r="M23" t="s">
        <v>29</v>
      </c>
      <c r="N23" t="s">
        <v>30</v>
      </c>
      <c r="O23">
        <v>37246</v>
      </c>
      <c r="P23" t="s">
        <v>4260</v>
      </c>
      <c r="Q23" s="2">
        <v>0.51</v>
      </c>
      <c r="R23" s="2">
        <v>109</v>
      </c>
      <c r="S23" s="2">
        <v>212</v>
      </c>
      <c r="T23" t="s">
        <v>4259</v>
      </c>
      <c r="U23" s="6">
        <v>26891</v>
      </c>
      <c r="V23" s="2">
        <v>47037015802</v>
      </c>
      <c r="W23" s="2" t="s">
        <v>68</v>
      </c>
      <c r="X23" s="1">
        <v>45658</v>
      </c>
      <c r="Y23" s="2">
        <v>95000</v>
      </c>
      <c r="Z23" s="2">
        <v>0</v>
      </c>
      <c r="AA23" s="2">
        <v>95000</v>
      </c>
    </row>
    <row r="24" spans="1:27" x14ac:dyDescent="0.3">
      <c r="A24" s="3">
        <v>16</v>
      </c>
      <c r="B24" s="2" t="str">
        <f>"11911000800"</f>
        <v>11911000800</v>
      </c>
      <c r="C24" s="2" t="s">
        <v>4262</v>
      </c>
      <c r="D24" t="s">
        <v>29</v>
      </c>
      <c r="E24" s="2" t="s">
        <v>30</v>
      </c>
      <c r="F24" s="2">
        <v>37210</v>
      </c>
      <c r="G24" s="2" t="s">
        <v>152</v>
      </c>
      <c r="H24" t="s">
        <v>176</v>
      </c>
      <c r="I24" s="6">
        <v>19771</v>
      </c>
      <c r="J24" s="2" t="s">
        <v>4263</v>
      </c>
      <c r="K24" s="2" t="s">
        <v>34</v>
      </c>
      <c r="L24" t="s">
        <v>178</v>
      </c>
      <c r="M24" t="s">
        <v>29</v>
      </c>
      <c r="N24" t="s">
        <v>30</v>
      </c>
      <c r="O24">
        <v>37246</v>
      </c>
      <c r="P24" t="s">
        <v>4264</v>
      </c>
      <c r="Q24" s="2">
        <v>0.18</v>
      </c>
      <c r="R24" s="2">
        <v>126</v>
      </c>
      <c r="S24" s="2">
        <v>65</v>
      </c>
      <c r="T24" t="s">
        <v>4263</v>
      </c>
      <c r="U24" s="6">
        <v>19771</v>
      </c>
      <c r="V24" s="2">
        <v>47037017401</v>
      </c>
      <c r="W24" s="2" t="s">
        <v>68</v>
      </c>
      <c r="X24" s="1">
        <v>45658</v>
      </c>
      <c r="Y24" s="2">
        <v>1500</v>
      </c>
      <c r="Z24" s="2">
        <v>0</v>
      </c>
      <c r="AA24" s="2">
        <v>1500</v>
      </c>
    </row>
    <row r="25" spans="1:27" x14ac:dyDescent="0.3">
      <c r="A25" s="3">
        <v>16</v>
      </c>
      <c r="B25" s="2" t="str">
        <f>"11912009901"</f>
        <v>11912009901</v>
      </c>
      <c r="C25" s="2" t="s">
        <v>4265</v>
      </c>
      <c r="D25" t="s">
        <v>29</v>
      </c>
      <c r="E25" s="2" t="s">
        <v>30</v>
      </c>
      <c r="F25" s="2">
        <v>37211</v>
      </c>
      <c r="G25" s="2" t="s">
        <v>152</v>
      </c>
      <c r="H25" t="s">
        <v>176</v>
      </c>
      <c r="I25" s="6">
        <v>18924</v>
      </c>
      <c r="J25" s="2" t="s">
        <v>4266</v>
      </c>
      <c r="K25" s="2" t="s">
        <v>34</v>
      </c>
      <c r="L25" t="s">
        <v>178</v>
      </c>
      <c r="M25" t="s">
        <v>29</v>
      </c>
      <c r="N25" t="s">
        <v>30</v>
      </c>
      <c r="O25">
        <v>37246</v>
      </c>
      <c r="P25" t="s">
        <v>4267</v>
      </c>
      <c r="Q25" s="2">
        <v>0.23</v>
      </c>
      <c r="R25" s="2">
        <v>0</v>
      </c>
      <c r="S25" s="2">
        <v>0</v>
      </c>
      <c r="T25" t="s">
        <v>4266</v>
      </c>
      <c r="U25" s="6">
        <v>18924</v>
      </c>
      <c r="V25" s="2">
        <v>47037015700</v>
      </c>
      <c r="W25" s="2" t="s">
        <v>68</v>
      </c>
      <c r="X25" s="1">
        <v>45658</v>
      </c>
      <c r="Y25" s="2">
        <v>57500</v>
      </c>
      <c r="Z25" s="2">
        <v>0</v>
      </c>
      <c r="AA25" s="2">
        <v>57500</v>
      </c>
    </row>
    <row r="26" spans="1:27" x14ac:dyDescent="0.3">
      <c r="A26" s="3">
        <v>16</v>
      </c>
      <c r="B26" s="2" t="str">
        <f>"13305006300"</f>
        <v>13305006300</v>
      </c>
      <c r="C26" s="2" t="s">
        <v>4268</v>
      </c>
      <c r="D26" t="s">
        <v>29</v>
      </c>
      <c r="E26" s="2" t="s">
        <v>30</v>
      </c>
      <c r="F26" s="2">
        <v>37211</v>
      </c>
      <c r="G26" s="2" t="s">
        <v>152</v>
      </c>
      <c r="H26" t="s">
        <v>176</v>
      </c>
      <c r="I26" s="6">
        <v>24222</v>
      </c>
      <c r="J26" s="2" t="s">
        <v>4269</v>
      </c>
      <c r="K26" s="2" t="s">
        <v>34</v>
      </c>
      <c r="L26" t="s">
        <v>934</v>
      </c>
      <c r="M26" t="s">
        <v>29</v>
      </c>
      <c r="N26" t="s">
        <v>30</v>
      </c>
      <c r="O26">
        <v>37246</v>
      </c>
      <c r="P26" t="s">
        <v>4270</v>
      </c>
      <c r="Q26" s="2">
        <v>2.73</v>
      </c>
      <c r="R26" s="2">
        <v>250</v>
      </c>
      <c r="S26" s="2">
        <v>481</v>
      </c>
      <c r="T26" t="s">
        <v>4269</v>
      </c>
      <c r="U26" s="6">
        <v>24222</v>
      </c>
      <c r="V26" s="2">
        <v>47037017500</v>
      </c>
      <c r="W26" s="2" t="s">
        <v>68</v>
      </c>
      <c r="X26" s="1">
        <v>45658</v>
      </c>
      <c r="Y26" s="2">
        <v>2189600</v>
      </c>
      <c r="Z26" s="2">
        <v>0</v>
      </c>
      <c r="AA26" s="2">
        <v>2189600</v>
      </c>
    </row>
    <row r="27" spans="1:27" x14ac:dyDescent="0.3">
      <c r="A27" s="3">
        <v>16</v>
      </c>
      <c r="B27" s="2" t="str">
        <f>"12001003100"</f>
        <v>12001003100</v>
      </c>
      <c r="C27" s="2" t="s">
        <v>4271</v>
      </c>
      <c r="D27" t="s">
        <v>29</v>
      </c>
      <c r="E27" s="2" t="s">
        <v>30</v>
      </c>
      <c r="F27" s="2">
        <v>37217</v>
      </c>
      <c r="G27" s="2" t="s">
        <v>152</v>
      </c>
      <c r="H27" t="s">
        <v>176</v>
      </c>
      <c r="I27" s="6">
        <v>26891</v>
      </c>
      <c r="J27" s="2" t="s">
        <v>4259</v>
      </c>
      <c r="K27" s="2" t="s">
        <v>34</v>
      </c>
      <c r="L27" t="s">
        <v>178</v>
      </c>
      <c r="M27" t="s">
        <v>29</v>
      </c>
      <c r="N27" t="s">
        <v>30</v>
      </c>
      <c r="O27">
        <v>37246</v>
      </c>
      <c r="P27" t="s">
        <v>4272</v>
      </c>
      <c r="Q27" s="2">
        <v>1.37</v>
      </c>
      <c r="R27" s="2">
        <v>130</v>
      </c>
      <c r="S27" s="2">
        <v>200</v>
      </c>
      <c r="T27" t="s">
        <v>4259</v>
      </c>
      <c r="U27" s="6">
        <v>26891</v>
      </c>
      <c r="V27" s="2">
        <v>47037015802</v>
      </c>
      <c r="W27" s="2" t="s">
        <v>68</v>
      </c>
      <c r="X27" s="1">
        <v>45658</v>
      </c>
      <c r="Y27" s="2">
        <v>139500</v>
      </c>
      <c r="Z27" s="2">
        <v>0</v>
      </c>
      <c r="AA27" s="2">
        <v>139500</v>
      </c>
    </row>
    <row r="28" spans="1:27" x14ac:dyDescent="0.3">
      <c r="A28" s="3">
        <v>16</v>
      </c>
      <c r="B28" s="2" t="str">
        <f>"13300014200"</f>
        <v>13300014200</v>
      </c>
      <c r="C28" s="2" t="s">
        <v>4273</v>
      </c>
      <c r="D28" t="s">
        <v>29</v>
      </c>
      <c r="E28" s="2" t="s">
        <v>30</v>
      </c>
      <c r="F28" s="2">
        <v>37211</v>
      </c>
      <c r="G28" s="2" t="s">
        <v>64</v>
      </c>
      <c r="H28" t="s">
        <v>176</v>
      </c>
      <c r="I28" s="6">
        <v>19572</v>
      </c>
      <c r="J28" s="2" t="s">
        <v>4274</v>
      </c>
      <c r="K28" s="2" t="s">
        <v>34</v>
      </c>
      <c r="L28" t="s">
        <v>178</v>
      </c>
      <c r="M28" t="s">
        <v>29</v>
      </c>
      <c r="N28" t="s">
        <v>30</v>
      </c>
      <c r="O28">
        <v>37246</v>
      </c>
      <c r="P28" t="s">
        <v>4275</v>
      </c>
      <c r="Q28" s="2">
        <v>0.52</v>
      </c>
      <c r="R28" s="2">
        <v>0</v>
      </c>
      <c r="S28" s="2">
        <v>200</v>
      </c>
      <c r="T28" t="s">
        <v>4276</v>
      </c>
      <c r="U28" s="6">
        <v>19547</v>
      </c>
      <c r="V28" s="2">
        <v>47037017402</v>
      </c>
      <c r="W28" s="2" t="s">
        <v>68</v>
      </c>
      <c r="X28" s="1">
        <v>45658</v>
      </c>
      <c r="Y28" s="2">
        <v>4800</v>
      </c>
      <c r="Z28" s="2">
        <v>0</v>
      </c>
      <c r="AA28" s="2">
        <v>4800</v>
      </c>
    </row>
    <row r="29" spans="1:27" x14ac:dyDescent="0.3">
      <c r="A29" s="3">
        <v>16</v>
      </c>
      <c r="B29" s="2" t="str">
        <f>"11909014400"</f>
        <v>11909014400</v>
      </c>
      <c r="C29" s="2" t="s">
        <v>4277</v>
      </c>
      <c r="D29" t="s">
        <v>29</v>
      </c>
      <c r="E29" s="2" t="s">
        <v>30</v>
      </c>
      <c r="F29" s="2">
        <v>37211</v>
      </c>
      <c r="G29" s="2" t="s">
        <v>200</v>
      </c>
      <c r="H29" t="s">
        <v>4278</v>
      </c>
      <c r="I29" s="6">
        <v>12908</v>
      </c>
      <c r="J29" s="2" t="s">
        <v>4279</v>
      </c>
      <c r="K29" s="2" t="s">
        <v>34</v>
      </c>
      <c r="L29" t="s">
        <v>35</v>
      </c>
      <c r="M29" t="s">
        <v>29</v>
      </c>
      <c r="N29" t="s">
        <v>30</v>
      </c>
      <c r="O29">
        <v>37219</v>
      </c>
      <c r="P29" t="s">
        <v>4280</v>
      </c>
      <c r="Q29" s="2">
        <v>8.67</v>
      </c>
      <c r="R29" s="2">
        <v>0</v>
      </c>
      <c r="S29" s="2">
        <v>0</v>
      </c>
      <c r="T29" t="s">
        <v>278</v>
      </c>
      <c r="U29" s="6">
        <v>36579</v>
      </c>
      <c r="V29" s="2">
        <v>47037017300</v>
      </c>
      <c r="W29" s="2" t="s">
        <v>68</v>
      </c>
      <c r="X29" s="1">
        <v>45658</v>
      </c>
      <c r="Y29" s="2">
        <v>13595900</v>
      </c>
      <c r="Z29" s="2">
        <v>0</v>
      </c>
      <c r="AA29" s="2">
        <v>13595900</v>
      </c>
    </row>
    <row r="30" spans="1:27" x14ac:dyDescent="0.3">
      <c r="A30" s="3">
        <v>16</v>
      </c>
      <c r="B30" s="2" t="str">
        <f>"11912013800"</f>
        <v>11912013800</v>
      </c>
      <c r="C30" s="2" t="s">
        <v>4281</v>
      </c>
      <c r="D30" t="s">
        <v>29</v>
      </c>
      <c r="E30" s="2" t="s">
        <v>30</v>
      </c>
      <c r="F30" s="2">
        <v>37211</v>
      </c>
      <c r="G30" s="2" t="s">
        <v>64</v>
      </c>
      <c r="H30" t="s">
        <v>4282</v>
      </c>
      <c r="I30" s="6">
        <v>29550</v>
      </c>
      <c r="J30" s="2" t="s">
        <v>4283</v>
      </c>
      <c r="K30" s="2" t="s">
        <v>34</v>
      </c>
      <c r="L30" t="s">
        <v>35</v>
      </c>
      <c r="M30" t="s">
        <v>29</v>
      </c>
      <c r="N30" t="s">
        <v>30</v>
      </c>
      <c r="O30">
        <v>37219</v>
      </c>
      <c r="P30" t="s">
        <v>4284</v>
      </c>
      <c r="Q30" s="2">
        <v>23.8</v>
      </c>
      <c r="R30" s="2">
        <v>0</v>
      </c>
      <c r="S30" s="2">
        <v>0</v>
      </c>
      <c r="T30" t="s">
        <v>4285</v>
      </c>
      <c r="U30" s="6">
        <v>25611</v>
      </c>
      <c r="V30" s="2">
        <v>47037015802</v>
      </c>
      <c r="W30" s="2" t="s">
        <v>68</v>
      </c>
      <c r="X30" s="1">
        <v>45658</v>
      </c>
      <c r="Y30" s="2">
        <v>131500</v>
      </c>
      <c r="Z30" s="2">
        <v>0</v>
      </c>
      <c r="AA30" s="2">
        <v>131500</v>
      </c>
    </row>
    <row r="31" spans="1:27" x14ac:dyDescent="0.3">
      <c r="A31" s="3">
        <v>16</v>
      </c>
      <c r="B31" s="2" t="str">
        <f>"11902002600"</f>
        <v>11902002600</v>
      </c>
      <c r="C31" s="2" t="s">
        <v>4286</v>
      </c>
      <c r="D31" t="s">
        <v>29</v>
      </c>
      <c r="E31" s="2" t="s">
        <v>30</v>
      </c>
      <c r="F31" s="2">
        <v>37210</v>
      </c>
      <c r="G31" s="2" t="s">
        <v>64</v>
      </c>
      <c r="H31" t="s">
        <v>211</v>
      </c>
      <c r="I31" s="6">
        <v>28460</v>
      </c>
      <c r="J31" s="2" t="s">
        <v>4287</v>
      </c>
      <c r="K31" s="2">
        <v>286</v>
      </c>
      <c r="L31" t="s">
        <v>35</v>
      </c>
      <c r="M31" t="s">
        <v>29</v>
      </c>
      <c r="N31" t="s">
        <v>30</v>
      </c>
      <c r="O31">
        <v>37219</v>
      </c>
      <c r="P31" t="s">
        <v>4288</v>
      </c>
      <c r="Q31" s="2">
        <v>0.02</v>
      </c>
      <c r="R31" s="2">
        <v>65</v>
      </c>
      <c r="S31" s="2">
        <v>19</v>
      </c>
      <c r="T31" t="s">
        <v>278</v>
      </c>
      <c r="U31" s="6">
        <v>33605</v>
      </c>
      <c r="V31" s="2">
        <v>47037015900</v>
      </c>
      <c r="W31" s="2" t="s">
        <v>68</v>
      </c>
      <c r="X31" s="1">
        <v>45658</v>
      </c>
      <c r="Y31" s="2">
        <v>500</v>
      </c>
      <c r="Z31" s="2">
        <v>0</v>
      </c>
      <c r="AA31" s="2">
        <v>500</v>
      </c>
    </row>
    <row r="32" spans="1:27" x14ac:dyDescent="0.3">
      <c r="A32" s="3">
        <v>16</v>
      </c>
      <c r="B32" s="2" t="str">
        <f>"11903008300"</f>
        <v>11903008300</v>
      </c>
      <c r="C32" s="2" t="s">
        <v>4289</v>
      </c>
      <c r="D32" t="s">
        <v>29</v>
      </c>
      <c r="E32" s="2" t="s">
        <v>30</v>
      </c>
      <c r="F32" s="2">
        <v>37211</v>
      </c>
      <c r="G32" s="2" t="s">
        <v>64</v>
      </c>
      <c r="H32" t="s">
        <v>211</v>
      </c>
      <c r="I32" s="6">
        <v>27984</v>
      </c>
      <c r="J32" s="2" t="s">
        <v>4290</v>
      </c>
      <c r="K32" s="2">
        <v>308</v>
      </c>
      <c r="L32" t="s">
        <v>35</v>
      </c>
      <c r="M32" t="s">
        <v>29</v>
      </c>
      <c r="N32" t="s">
        <v>30</v>
      </c>
      <c r="O32">
        <v>37219</v>
      </c>
      <c r="P32" t="s">
        <v>4291</v>
      </c>
      <c r="Q32" s="2">
        <v>0.01</v>
      </c>
      <c r="R32" s="2">
        <v>50</v>
      </c>
      <c r="S32" s="2">
        <v>979</v>
      </c>
      <c r="T32" t="s">
        <v>4292</v>
      </c>
      <c r="U32" s="6">
        <v>20601</v>
      </c>
      <c r="V32" s="2">
        <v>47037015802</v>
      </c>
      <c r="W32" s="2" t="s">
        <v>68</v>
      </c>
      <c r="X32" s="1">
        <v>45658</v>
      </c>
      <c r="Y32" s="2">
        <v>900</v>
      </c>
      <c r="Z32" s="2">
        <v>0</v>
      </c>
      <c r="AA32" s="2">
        <v>900</v>
      </c>
    </row>
    <row r="33" spans="1:27" x14ac:dyDescent="0.3">
      <c r="A33" s="3">
        <v>16</v>
      </c>
      <c r="B33" s="2" t="str">
        <f>"11902002500"</f>
        <v>11902002500</v>
      </c>
      <c r="C33" s="2" t="s">
        <v>4293</v>
      </c>
      <c r="D33" t="s">
        <v>29</v>
      </c>
      <c r="E33" s="2" t="s">
        <v>30</v>
      </c>
      <c r="F33" s="2">
        <v>37210</v>
      </c>
      <c r="G33" s="2" t="s">
        <v>64</v>
      </c>
      <c r="H33" t="s">
        <v>211</v>
      </c>
      <c r="I33" s="6">
        <v>28593</v>
      </c>
      <c r="J33" s="2" t="s">
        <v>4294</v>
      </c>
      <c r="K33" s="2">
        <v>359</v>
      </c>
      <c r="L33" t="s">
        <v>35</v>
      </c>
      <c r="M33" t="s">
        <v>29</v>
      </c>
      <c r="N33" t="s">
        <v>30</v>
      </c>
      <c r="O33">
        <v>37219</v>
      </c>
      <c r="P33" t="s">
        <v>4295</v>
      </c>
      <c r="Q33" s="2">
        <v>0.05</v>
      </c>
      <c r="R33" s="2">
        <v>70</v>
      </c>
      <c r="S33" s="2">
        <v>40</v>
      </c>
      <c r="T33" t="s">
        <v>278</v>
      </c>
      <c r="U33" s="6">
        <v>33605</v>
      </c>
      <c r="V33" s="2">
        <v>47037015900</v>
      </c>
      <c r="W33" s="2" t="s">
        <v>68</v>
      </c>
      <c r="X33" s="1">
        <v>45658</v>
      </c>
      <c r="Y33" s="2">
        <v>500</v>
      </c>
      <c r="Z33" s="2">
        <v>0</v>
      </c>
      <c r="AA33" s="2">
        <v>500</v>
      </c>
    </row>
    <row r="34" spans="1:27" x14ac:dyDescent="0.3">
      <c r="A34" s="3">
        <v>16</v>
      </c>
      <c r="B34" s="2" t="str">
        <f>"11903009200"</f>
        <v>11903009200</v>
      </c>
      <c r="C34" s="2" t="s">
        <v>4296</v>
      </c>
      <c r="D34" t="s">
        <v>29</v>
      </c>
      <c r="E34" s="2" t="s">
        <v>30</v>
      </c>
      <c r="F34" s="2">
        <v>37211</v>
      </c>
      <c r="G34" s="2" t="s">
        <v>64</v>
      </c>
      <c r="H34" t="s">
        <v>211</v>
      </c>
      <c r="I34" s="6">
        <v>38156</v>
      </c>
      <c r="J34" s="2" t="s">
        <v>4297</v>
      </c>
      <c r="K34" s="2">
        <v>130500</v>
      </c>
      <c r="L34" t="s">
        <v>35</v>
      </c>
      <c r="M34" t="s">
        <v>29</v>
      </c>
      <c r="N34" t="s">
        <v>30</v>
      </c>
      <c r="O34">
        <v>37219</v>
      </c>
      <c r="P34" t="s">
        <v>4298</v>
      </c>
      <c r="Q34" s="2">
        <v>1.34</v>
      </c>
      <c r="R34" s="2">
        <v>121</v>
      </c>
      <c r="S34" s="2">
        <v>376</v>
      </c>
      <c r="T34" t="s">
        <v>4299</v>
      </c>
      <c r="U34" s="6">
        <v>24229</v>
      </c>
      <c r="V34" s="2">
        <v>47037015802</v>
      </c>
      <c r="W34" s="2" t="s">
        <v>68</v>
      </c>
      <c r="X34" s="1">
        <v>45658</v>
      </c>
      <c r="Y34" s="2">
        <v>72000</v>
      </c>
      <c r="Z34" s="2">
        <v>0</v>
      </c>
      <c r="AA34" s="2">
        <v>72000</v>
      </c>
    </row>
    <row r="35" spans="1:27" x14ac:dyDescent="0.3">
      <c r="A35" s="3">
        <v>16</v>
      </c>
      <c r="B35" s="2" t="str">
        <f>"11902002700"</f>
        <v>11902002700</v>
      </c>
      <c r="C35" s="2" t="s">
        <v>4300</v>
      </c>
      <c r="D35" t="s">
        <v>29</v>
      </c>
      <c r="E35" s="2" t="s">
        <v>30</v>
      </c>
      <c r="F35" s="2">
        <v>37210</v>
      </c>
      <c r="G35" s="2" t="s">
        <v>64</v>
      </c>
      <c r="H35" t="s">
        <v>211</v>
      </c>
      <c r="I35" s="6">
        <v>28460</v>
      </c>
      <c r="J35" s="2" t="s">
        <v>4301</v>
      </c>
      <c r="K35" s="2">
        <v>286</v>
      </c>
      <c r="L35" t="s">
        <v>35</v>
      </c>
      <c r="M35" t="s">
        <v>29</v>
      </c>
      <c r="N35" t="s">
        <v>30</v>
      </c>
      <c r="O35">
        <v>37219</v>
      </c>
      <c r="P35" t="s">
        <v>4302</v>
      </c>
      <c r="Q35" s="2">
        <v>0.01</v>
      </c>
      <c r="R35" s="2">
        <v>50</v>
      </c>
      <c r="S35" s="2">
        <v>19</v>
      </c>
      <c r="T35" t="s">
        <v>4303</v>
      </c>
      <c r="U35" s="6">
        <v>20661</v>
      </c>
      <c r="V35" s="2">
        <v>47037015900</v>
      </c>
      <c r="W35" s="2" t="s">
        <v>68</v>
      </c>
      <c r="X35" s="1">
        <v>45658</v>
      </c>
      <c r="Y35" s="2">
        <v>500</v>
      </c>
      <c r="Z35" s="2">
        <v>0</v>
      </c>
      <c r="AA35" s="2">
        <v>500</v>
      </c>
    </row>
    <row r="36" spans="1:27" x14ac:dyDescent="0.3">
      <c r="A36" s="3">
        <v>16</v>
      </c>
      <c r="B36" s="2" t="str">
        <f>"11903009400"</f>
        <v>11903009400</v>
      </c>
      <c r="C36" s="2" t="s">
        <v>4304</v>
      </c>
      <c r="D36" t="s">
        <v>29</v>
      </c>
      <c r="E36" s="2" t="s">
        <v>30</v>
      </c>
      <c r="F36" s="2">
        <v>37211</v>
      </c>
      <c r="G36" s="2" t="s">
        <v>64</v>
      </c>
      <c r="H36" t="s">
        <v>211</v>
      </c>
      <c r="I36" s="6">
        <v>38225</v>
      </c>
      <c r="J36" s="2" t="s">
        <v>4305</v>
      </c>
      <c r="K36" s="2">
        <v>135500</v>
      </c>
      <c r="L36" t="s">
        <v>35</v>
      </c>
      <c r="M36" t="s">
        <v>29</v>
      </c>
      <c r="N36" t="s">
        <v>30</v>
      </c>
      <c r="O36">
        <v>37219</v>
      </c>
      <c r="P36" t="s">
        <v>4306</v>
      </c>
      <c r="Q36" s="2">
        <v>1.27</v>
      </c>
      <c r="R36" s="2">
        <v>116</v>
      </c>
      <c r="S36" s="2">
        <v>377</v>
      </c>
      <c r="T36" t="s">
        <v>4299</v>
      </c>
      <c r="U36" s="6">
        <v>24229</v>
      </c>
      <c r="V36" s="2">
        <v>47037015802</v>
      </c>
      <c r="W36" s="2" t="s">
        <v>68</v>
      </c>
      <c r="X36" s="1">
        <v>45658</v>
      </c>
      <c r="Y36" s="2">
        <v>67400</v>
      </c>
      <c r="Z36" s="2">
        <v>0</v>
      </c>
      <c r="AA36" s="2">
        <v>67400</v>
      </c>
    </row>
    <row r="37" spans="1:27" x14ac:dyDescent="0.3">
      <c r="A37" s="3">
        <v>16</v>
      </c>
      <c r="B37" s="2" t="str">
        <f>"11903009300"</f>
        <v>11903009300</v>
      </c>
      <c r="C37" s="2" t="s">
        <v>4307</v>
      </c>
      <c r="D37" t="s">
        <v>29</v>
      </c>
      <c r="E37" s="2" t="s">
        <v>30</v>
      </c>
      <c r="F37" s="2">
        <v>37211</v>
      </c>
      <c r="G37" s="2" t="s">
        <v>64</v>
      </c>
      <c r="H37" t="s">
        <v>211</v>
      </c>
      <c r="I37" s="6">
        <v>38160</v>
      </c>
      <c r="J37" s="2" t="s">
        <v>4308</v>
      </c>
      <c r="K37" s="2">
        <v>135000</v>
      </c>
      <c r="L37" t="s">
        <v>35</v>
      </c>
      <c r="M37" t="s">
        <v>29</v>
      </c>
      <c r="N37" t="s">
        <v>30</v>
      </c>
      <c r="O37">
        <v>37219</v>
      </c>
      <c r="P37" t="s">
        <v>4309</v>
      </c>
      <c r="Q37" s="2">
        <v>1.3</v>
      </c>
      <c r="R37" s="2">
        <v>119</v>
      </c>
      <c r="S37" s="2">
        <v>377</v>
      </c>
      <c r="T37" t="s">
        <v>4310</v>
      </c>
      <c r="U37" s="6">
        <v>23414</v>
      </c>
      <c r="V37" s="2">
        <v>47037015802</v>
      </c>
      <c r="W37" s="2" t="s">
        <v>68</v>
      </c>
      <c r="X37" s="1">
        <v>45658</v>
      </c>
      <c r="Y37" s="2">
        <v>69400</v>
      </c>
      <c r="Z37" s="2">
        <v>0</v>
      </c>
      <c r="AA37" s="2">
        <v>69400</v>
      </c>
    </row>
    <row r="38" spans="1:27" x14ac:dyDescent="0.3">
      <c r="A38" s="3">
        <v>16</v>
      </c>
      <c r="B38" s="2" t="str">
        <f>"11903009100"</f>
        <v>11903009100</v>
      </c>
      <c r="C38" s="2" t="s">
        <v>4311</v>
      </c>
      <c r="D38" t="s">
        <v>29</v>
      </c>
      <c r="E38" s="2" t="s">
        <v>30</v>
      </c>
      <c r="F38" s="2">
        <v>37211</v>
      </c>
      <c r="G38" s="2" t="s">
        <v>64</v>
      </c>
      <c r="H38" t="s">
        <v>211</v>
      </c>
      <c r="I38" s="6">
        <v>38156</v>
      </c>
      <c r="J38" s="2" t="s">
        <v>4312</v>
      </c>
      <c r="K38" s="2">
        <v>144500</v>
      </c>
      <c r="L38" t="s">
        <v>35</v>
      </c>
      <c r="M38" t="s">
        <v>29</v>
      </c>
      <c r="N38" t="s">
        <v>30</v>
      </c>
      <c r="O38">
        <v>37219</v>
      </c>
      <c r="P38" t="s">
        <v>4313</v>
      </c>
      <c r="Q38" s="2">
        <v>1.37</v>
      </c>
      <c r="R38" s="2">
        <v>113</v>
      </c>
      <c r="S38" s="2">
        <v>429</v>
      </c>
      <c r="T38" t="s">
        <v>4299</v>
      </c>
      <c r="U38" s="6">
        <v>24229</v>
      </c>
      <c r="V38" s="2">
        <v>47037015802</v>
      </c>
      <c r="W38" s="2" t="s">
        <v>68</v>
      </c>
      <c r="X38" s="1">
        <v>45658</v>
      </c>
      <c r="Y38" s="2">
        <v>74000</v>
      </c>
      <c r="Z38" s="2">
        <v>0</v>
      </c>
      <c r="AA38" s="2">
        <v>74000</v>
      </c>
    </row>
    <row r="39" spans="1:27" x14ac:dyDescent="0.3">
      <c r="A39" s="3">
        <v>16</v>
      </c>
      <c r="B39" s="2" t="str">
        <f>"11903009000"</f>
        <v>11903009000</v>
      </c>
      <c r="C39" s="2" t="s">
        <v>4314</v>
      </c>
      <c r="D39" t="s">
        <v>29</v>
      </c>
      <c r="E39" s="2" t="s">
        <v>30</v>
      </c>
      <c r="F39" s="2">
        <v>37211</v>
      </c>
      <c r="G39" s="2" t="s">
        <v>64</v>
      </c>
      <c r="H39" t="s">
        <v>211</v>
      </c>
      <c r="I39" s="6">
        <v>38156</v>
      </c>
      <c r="J39" s="2" t="s">
        <v>4315</v>
      </c>
      <c r="K39" s="2">
        <v>124000</v>
      </c>
      <c r="L39" t="s">
        <v>35</v>
      </c>
      <c r="M39" t="s">
        <v>29</v>
      </c>
      <c r="N39" t="s">
        <v>30</v>
      </c>
      <c r="O39">
        <v>37219</v>
      </c>
      <c r="P39" t="s">
        <v>4316</v>
      </c>
      <c r="Q39" s="2">
        <v>1.1499999999999999</v>
      </c>
      <c r="R39" s="2">
        <v>86</v>
      </c>
      <c r="S39" s="2">
        <v>463</v>
      </c>
      <c r="T39" t="s">
        <v>4317</v>
      </c>
      <c r="U39" s="6">
        <v>26938</v>
      </c>
      <c r="V39" s="2">
        <v>47037015802</v>
      </c>
      <c r="W39" s="2" t="s">
        <v>68</v>
      </c>
      <c r="X39" s="1">
        <v>45658</v>
      </c>
      <c r="Y39" s="2">
        <v>59400</v>
      </c>
      <c r="Z39" s="2">
        <v>0</v>
      </c>
      <c r="AA39" s="2">
        <v>59400</v>
      </c>
    </row>
    <row r="40" spans="1:27" x14ac:dyDescent="0.3">
      <c r="A40" s="3">
        <v>16</v>
      </c>
      <c r="B40" s="2" t="str">
        <f>"11903008900"</f>
        <v>11903008900</v>
      </c>
      <c r="C40" s="2" t="s">
        <v>4318</v>
      </c>
      <c r="D40" t="s">
        <v>29</v>
      </c>
      <c r="E40" s="2" t="s">
        <v>30</v>
      </c>
      <c r="F40" s="2">
        <v>37211</v>
      </c>
      <c r="G40" s="2" t="s">
        <v>64</v>
      </c>
      <c r="H40" t="s">
        <v>211</v>
      </c>
      <c r="I40" s="6">
        <v>39988</v>
      </c>
      <c r="J40" s="2" t="s">
        <v>4319</v>
      </c>
      <c r="K40" s="2">
        <v>0</v>
      </c>
      <c r="L40" t="s">
        <v>35</v>
      </c>
      <c r="M40" t="s">
        <v>29</v>
      </c>
      <c r="N40" t="s">
        <v>30</v>
      </c>
      <c r="O40">
        <v>37219</v>
      </c>
      <c r="P40" t="s">
        <v>4320</v>
      </c>
      <c r="Q40" s="2">
        <v>1.1100000000000001</v>
      </c>
      <c r="R40" s="2">
        <v>83</v>
      </c>
      <c r="S40" s="2">
        <v>465</v>
      </c>
      <c r="T40" t="s">
        <v>4321</v>
      </c>
      <c r="U40" s="6">
        <v>22011</v>
      </c>
      <c r="V40" s="2">
        <v>47037015802</v>
      </c>
      <c r="W40" s="2" t="s">
        <v>68</v>
      </c>
      <c r="X40" s="1">
        <v>45658</v>
      </c>
      <c r="Y40" s="2">
        <v>56800</v>
      </c>
      <c r="Z40" s="2">
        <v>0</v>
      </c>
      <c r="AA40" s="2">
        <v>56800</v>
      </c>
    </row>
    <row r="41" spans="1:27" x14ac:dyDescent="0.3">
      <c r="A41" s="3">
        <v>16</v>
      </c>
      <c r="B41" s="2" t="str">
        <f>"11903008800"</f>
        <v>11903008800</v>
      </c>
      <c r="C41" s="2" t="s">
        <v>4322</v>
      </c>
      <c r="D41" t="s">
        <v>29</v>
      </c>
      <c r="E41" s="2" t="s">
        <v>30</v>
      </c>
      <c r="F41" s="2">
        <v>37211</v>
      </c>
      <c r="G41" s="2" t="s">
        <v>64</v>
      </c>
      <c r="H41" t="s">
        <v>211</v>
      </c>
      <c r="I41" s="6">
        <v>40962</v>
      </c>
      <c r="J41" s="2" t="s">
        <v>4323</v>
      </c>
      <c r="K41" s="2">
        <v>0</v>
      </c>
      <c r="L41" t="s">
        <v>35</v>
      </c>
      <c r="M41" t="s">
        <v>29</v>
      </c>
      <c r="N41" t="s">
        <v>30</v>
      </c>
      <c r="O41">
        <v>37219</v>
      </c>
      <c r="P41" t="s">
        <v>4324</v>
      </c>
      <c r="Q41" s="2">
        <v>1.22</v>
      </c>
      <c r="R41" s="2">
        <v>88</v>
      </c>
      <c r="S41" s="2">
        <v>465</v>
      </c>
      <c r="T41" t="s">
        <v>4325</v>
      </c>
      <c r="U41" s="6">
        <v>26445</v>
      </c>
      <c r="V41" s="2">
        <v>47037015802</v>
      </c>
      <c r="W41" s="2" t="s">
        <v>68</v>
      </c>
      <c r="X41" s="1">
        <v>45658</v>
      </c>
      <c r="Y41" s="2">
        <v>64100</v>
      </c>
      <c r="Z41" s="2">
        <v>0</v>
      </c>
      <c r="AA41" s="2">
        <v>64100</v>
      </c>
    </row>
    <row r="42" spans="1:27" x14ac:dyDescent="0.3">
      <c r="A42" s="3">
        <v>16</v>
      </c>
      <c r="B42" s="2" t="str">
        <f>"11903008700"</f>
        <v>11903008700</v>
      </c>
      <c r="C42" s="2" t="s">
        <v>4326</v>
      </c>
      <c r="D42" t="s">
        <v>29</v>
      </c>
      <c r="E42" s="2" t="s">
        <v>30</v>
      </c>
      <c r="F42" s="2">
        <v>37211</v>
      </c>
      <c r="G42" s="2" t="s">
        <v>64</v>
      </c>
      <c r="H42" t="s">
        <v>211</v>
      </c>
      <c r="I42" s="6">
        <v>38159</v>
      </c>
      <c r="J42" s="2" t="s">
        <v>4327</v>
      </c>
      <c r="K42" s="2">
        <v>137000</v>
      </c>
      <c r="L42" t="s">
        <v>35</v>
      </c>
      <c r="M42" t="s">
        <v>29</v>
      </c>
      <c r="N42" t="s">
        <v>30</v>
      </c>
      <c r="O42">
        <v>37219</v>
      </c>
      <c r="P42" t="s">
        <v>4328</v>
      </c>
      <c r="Q42" s="2">
        <v>1.1100000000000001</v>
      </c>
      <c r="R42" s="2">
        <v>88</v>
      </c>
      <c r="S42" s="2">
        <v>439</v>
      </c>
      <c r="T42" t="s">
        <v>4329</v>
      </c>
      <c r="U42" s="6">
        <v>26197</v>
      </c>
      <c r="V42" s="2">
        <v>47037015802</v>
      </c>
      <c r="W42" s="2" t="s">
        <v>68</v>
      </c>
      <c r="X42" s="1">
        <v>45658</v>
      </c>
      <c r="Y42" s="2">
        <v>56800</v>
      </c>
      <c r="Z42" s="2">
        <v>0</v>
      </c>
      <c r="AA42" s="2">
        <v>56800</v>
      </c>
    </row>
    <row r="43" spans="1:27" x14ac:dyDescent="0.3">
      <c r="A43" s="3">
        <v>16</v>
      </c>
      <c r="B43" s="2" t="str">
        <f>"11903008500"</f>
        <v>11903008500</v>
      </c>
      <c r="C43" s="2" t="s">
        <v>4289</v>
      </c>
      <c r="D43" t="s">
        <v>29</v>
      </c>
      <c r="E43" s="2" t="s">
        <v>30</v>
      </c>
      <c r="F43" s="2">
        <v>37217</v>
      </c>
      <c r="G43" s="2" t="s">
        <v>64</v>
      </c>
      <c r="H43" t="s">
        <v>211</v>
      </c>
      <c r="I43" s="6">
        <v>27415</v>
      </c>
      <c r="J43" s="2" t="s">
        <v>4330</v>
      </c>
      <c r="K43" s="2">
        <v>167</v>
      </c>
      <c r="L43" t="s">
        <v>35</v>
      </c>
      <c r="M43" t="s">
        <v>29</v>
      </c>
      <c r="N43" t="s">
        <v>30</v>
      </c>
      <c r="O43">
        <v>37219</v>
      </c>
      <c r="P43" t="s">
        <v>4331</v>
      </c>
      <c r="Q43" s="2">
        <v>0.1</v>
      </c>
      <c r="R43" s="2">
        <v>131</v>
      </c>
      <c r="S43" s="2">
        <v>40</v>
      </c>
      <c r="T43" t="s">
        <v>4332</v>
      </c>
      <c r="U43" s="6">
        <v>20845</v>
      </c>
      <c r="V43" s="2">
        <v>47037015802</v>
      </c>
      <c r="W43" s="2" t="s">
        <v>68</v>
      </c>
      <c r="X43" s="1">
        <v>45658</v>
      </c>
      <c r="Y43" s="2">
        <v>900</v>
      </c>
      <c r="Z43" s="2">
        <v>0</v>
      </c>
      <c r="AA43" s="2">
        <v>900</v>
      </c>
    </row>
    <row r="44" spans="1:27" x14ac:dyDescent="0.3">
      <c r="A44" s="3">
        <v>16</v>
      </c>
      <c r="B44" s="2" t="str">
        <f>"11903008400"</f>
        <v>11903008400</v>
      </c>
      <c r="C44" s="2" t="s">
        <v>4289</v>
      </c>
      <c r="D44" t="s">
        <v>29</v>
      </c>
      <c r="E44" s="2" t="s">
        <v>30</v>
      </c>
      <c r="F44" s="2">
        <v>37211</v>
      </c>
      <c r="G44" s="2" t="s">
        <v>64</v>
      </c>
      <c r="H44" t="s">
        <v>211</v>
      </c>
      <c r="I44" s="6">
        <v>27662</v>
      </c>
      <c r="J44" s="2" t="s">
        <v>4333</v>
      </c>
      <c r="K44" s="2">
        <v>148</v>
      </c>
      <c r="L44" t="s">
        <v>35</v>
      </c>
      <c r="M44" t="s">
        <v>29</v>
      </c>
      <c r="N44" t="s">
        <v>30</v>
      </c>
      <c r="O44">
        <v>37219</v>
      </c>
      <c r="P44" t="s">
        <v>4334</v>
      </c>
      <c r="Q44" s="2">
        <v>0.05</v>
      </c>
      <c r="R44" s="2">
        <v>150</v>
      </c>
      <c r="S44" s="2">
        <v>34</v>
      </c>
      <c r="T44" t="s">
        <v>4335</v>
      </c>
      <c r="U44" s="6">
        <v>20601</v>
      </c>
      <c r="V44" s="2">
        <v>47037015802</v>
      </c>
      <c r="W44" s="2" t="s">
        <v>68</v>
      </c>
      <c r="X44" s="1">
        <v>45658</v>
      </c>
      <c r="Y44" s="2">
        <v>900</v>
      </c>
      <c r="Z44" s="2">
        <v>0</v>
      </c>
      <c r="AA44" s="2">
        <v>900</v>
      </c>
    </row>
    <row r="45" spans="1:27" x14ac:dyDescent="0.3">
      <c r="A45" s="3">
        <v>16</v>
      </c>
      <c r="B45" s="2" t="str">
        <f>"11903008600"</f>
        <v>11903008600</v>
      </c>
      <c r="C45" s="2" t="s">
        <v>4336</v>
      </c>
      <c r="D45" t="s">
        <v>29</v>
      </c>
      <c r="E45" s="2" t="s">
        <v>30</v>
      </c>
      <c r="F45" s="2">
        <v>37211</v>
      </c>
      <c r="G45" s="2" t="s">
        <v>64</v>
      </c>
      <c r="H45" t="s">
        <v>211</v>
      </c>
      <c r="I45" s="6">
        <v>40969</v>
      </c>
      <c r="J45" s="2" t="s">
        <v>4337</v>
      </c>
      <c r="K45" s="2">
        <v>0</v>
      </c>
      <c r="L45" t="s">
        <v>35</v>
      </c>
      <c r="M45" t="s">
        <v>29</v>
      </c>
      <c r="N45" t="s">
        <v>30</v>
      </c>
      <c r="O45">
        <v>37219</v>
      </c>
      <c r="P45" t="s">
        <v>4338</v>
      </c>
      <c r="Q45" s="2">
        <v>1.19</v>
      </c>
      <c r="R45" s="2">
        <v>95</v>
      </c>
      <c r="S45" s="2">
        <v>408</v>
      </c>
      <c r="T45" t="s">
        <v>4339</v>
      </c>
      <c r="U45" s="6">
        <v>25127</v>
      </c>
      <c r="V45" s="2">
        <v>47037015802</v>
      </c>
      <c r="W45" s="2" t="s">
        <v>68</v>
      </c>
      <c r="X45" s="1">
        <v>45658</v>
      </c>
      <c r="Y45" s="2">
        <v>62100</v>
      </c>
      <c r="Z45" s="2">
        <v>0</v>
      </c>
      <c r="AA45" s="2">
        <v>62100</v>
      </c>
    </row>
    <row r="46" spans="1:27" x14ac:dyDescent="0.3">
      <c r="A46" s="3">
        <v>16</v>
      </c>
      <c r="B46" s="2" t="str">
        <f>"11903008200"</f>
        <v>11903008200</v>
      </c>
      <c r="C46" s="2" t="s">
        <v>4340</v>
      </c>
      <c r="D46" t="s">
        <v>29</v>
      </c>
      <c r="E46" s="2" t="s">
        <v>30</v>
      </c>
      <c r="F46" s="2">
        <v>37210</v>
      </c>
      <c r="G46" s="2" t="s">
        <v>64</v>
      </c>
      <c r="H46" t="s">
        <v>211</v>
      </c>
      <c r="I46" s="6">
        <v>27079</v>
      </c>
      <c r="J46" s="2" t="s">
        <v>4341</v>
      </c>
      <c r="K46" s="2">
        <v>151</v>
      </c>
      <c r="L46" t="s">
        <v>35</v>
      </c>
      <c r="M46" t="s">
        <v>29</v>
      </c>
      <c r="N46" t="s">
        <v>30</v>
      </c>
      <c r="O46">
        <v>37219</v>
      </c>
      <c r="P46" t="s">
        <v>4342</v>
      </c>
      <c r="Q46" s="2">
        <v>0.01</v>
      </c>
      <c r="R46" s="2">
        <v>24</v>
      </c>
      <c r="S46" s="2">
        <v>8</v>
      </c>
      <c r="T46" t="s">
        <v>4343</v>
      </c>
      <c r="U46" s="6">
        <v>20608</v>
      </c>
      <c r="V46" s="2">
        <v>47037015900</v>
      </c>
      <c r="W46" s="2" t="s">
        <v>68</v>
      </c>
      <c r="X46" s="1">
        <v>45658</v>
      </c>
      <c r="Y46" s="2">
        <v>100</v>
      </c>
      <c r="Z46" s="2">
        <v>0</v>
      </c>
      <c r="AA46" s="2">
        <v>100</v>
      </c>
    </row>
    <row r="47" spans="1:27" x14ac:dyDescent="0.3">
      <c r="A47" s="3">
        <v>16</v>
      </c>
      <c r="B47" s="2" t="str">
        <f>"11907004100"</f>
        <v>11907004100</v>
      </c>
      <c r="C47" s="2" t="s">
        <v>4344</v>
      </c>
      <c r="D47" t="s">
        <v>29</v>
      </c>
      <c r="E47" s="2" t="s">
        <v>30</v>
      </c>
      <c r="F47" s="2">
        <v>37211</v>
      </c>
      <c r="G47" s="2" t="s">
        <v>2543</v>
      </c>
      <c r="H47" t="s">
        <v>211</v>
      </c>
      <c r="I47" s="6">
        <v>39699</v>
      </c>
      <c r="J47" s="2" t="s">
        <v>4345</v>
      </c>
      <c r="K47" s="2">
        <v>0</v>
      </c>
      <c r="L47" t="s">
        <v>35</v>
      </c>
      <c r="M47" t="s">
        <v>29</v>
      </c>
      <c r="N47" t="s">
        <v>30</v>
      </c>
      <c r="O47">
        <v>37219</v>
      </c>
      <c r="P47" t="s">
        <v>4346</v>
      </c>
      <c r="Q47" s="2">
        <v>1.7</v>
      </c>
      <c r="R47" s="2">
        <v>125</v>
      </c>
      <c r="S47" s="2">
        <v>420</v>
      </c>
      <c r="T47" t="s">
        <v>4347</v>
      </c>
      <c r="U47" s="6">
        <v>33148</v>
      </c>
      <c r="V47" s="2">
        <v>47037015802</v>
      </c>
      <c r="W47" s="2" t="s">
        <v>68</v>
      </c>
      <c r="X47" s="1">
        <v>45658</v>
      </c>
      <c r="Y47" s="2">
        <v>95900</v>
      </c>
      <c r="Z47" s="2">
        <v>0</v>
      </c>
      <c r="AA47" s="2">
        <v>95900</v>
      </c>
    </row>
    <row r="48" spans="1:27" x14ac:dyDescent="0.3">
      <c r="A48" s="3">
        <v>16</v>
      </c>
      <c r="B48" s="2" t="str">
        <f>"11907004000"</f>
        <v>11907004000</v>
      </c>
      <c r="C48" s="2" t="s">
        <v>4348</v>
      </c>
      <c r="D48" t="s">
        <v>29</v>
      </c>
      <c r="E48" s="2" t="s">
        <v>30</v>
      </c>
      <c r="F48" s="2">
        <v>37211</v>
      </c>
      <c r="G48" s="2" t="s">
        <v>64</v>
      </c>
      <c r="H48" t="s">
        <v>211</v>
      </c>
      <c r="I48" s="6">
        <v>38156</v>
      </c>
      <c r="J48" s="2" t="s">
        <v>4349</v>
      </c>
      <c r="K48" s="2">
        <v>171000</v>
      </c>
      <c r="L48" t="s">
        <v>35</v>
      </c>
      <c r="M48" t="s">
        <v>29</v>
      </c>
      <c r="N48" t="s">
        <v>30</v>
      </c>
      <c r="O48">
        <v>37219</v>
      </c>
      <c r="P48" t="s">
        <v>4350</v>
      </c>
      <c r="Q48" s="2">
        <v>1.31</v>
      </c>
      <c r="R48" s="2">
        <v>124</v>
      </c>
      <c r="S48" s="2">
        <v>429</v>
      </c>
      <c r="T48" t="s">
        <v>4347</v>
      </c>
      <c r="U48" s="6">
        <v>33148</v>
      </c>
      <c r="V48" s="2">
        <v>47037015802</v>
      </c>
      <c r="W48" s="2" t="s">
        <v>68</v>
      </c>
      <c r="X48" s="1">
        <v>45658</v>
      </c>
      <c r="Y48" s="2">
        <v>70000</v>
      </c>
      <c r="Z48" s="2">
        <v>0</v>
      </c>
      <c r="AA48" s="2">
        <v>70000</v>
      </c>
    </row>
    <row r="49" spans="1:27" x14ac:dyDescent="0.3">
      <c r="A49" s="3">
        <v>16</v>
      </c>
      <c r="B49" s="2" t="str">
        <f>"11907003900"</f>
        <v>11907003900</v>
      </c>
      <c r="C49" s="2" t="s">
        <v>4351</v>
      </c>
      <c r="D49" t="s">
        <v>29</v>
      </c>
      <c r="E49" s="2" t="s">
        <v>30</v>
      </c>
      <c r="F49" s="2">
        <v>37211</v>
      </c>
      <c r="G49" s="2" t="s">
        <v>64</v>
      </c>
      <c r="H49" t="s">
        <v>211</v>
      </c>
      <c r="I49" s="6">
        <v>39990</v>
      </c>
      <c r="J49" s="2" t="s">
        <v>4352</v>
      </c>
      <c r="K49" s="2">
        <v>0</v>
      </c>
      <c r="L49" t="s">
        <v>35</v>
      </c>
      <c r="M49" t="s">
        <v>29</v>
      </c>
      <c r="N49" t="s">
        <v>30</v>
      </c>
      <c r="O49">
        <v>37219</v>
      </c>
      <c r="P49" t="s">
        <v>4353</v>
      </c>
      <c r="Q49" s="2">
        <v>1.27</v>
      </c>
      <c r="R49" s="2">
        <v>98</v>
      </c>
      <c r="S49" s="2">
        <v>446</v>
      </c>
      <c r="T49" t="s">
        <v>4354</v>
      </c>
      <c r="U49" s="6">
        <v>22505</v>
      </c>
      <c r="V49" s="2">
        <v>47037015802</v>
      </c>
      <c r="W49" s="2" t="s">
        <v>68</v>
      </c>
      <c r="X49" s="1">
        <v>45658</v>
      </c>
      <c r="Y49" s="2">
        <v>67400</v>
      </c>
      <c r="Z49" s="2">
        <v>0</v>
      </c>
      <c r="AA49" s="2">
        <v>67400</v>
      </c>
    </row>
    <row r="50" spans="1:27" x14ac:dyDescent="0.3">
      <c r="A50" s="3">
        <v>16</v>
      </c>
      <c r="B50" s="2" t="str">
        <f>"11907003800"</f>
        <v>11907003800</v>
      </c>
      <c r="C50" s="2" t="s">
        <v>4355</v>
      </c>
      <c r="D50" t="s">
        <v>29</v>
      </c>
      <c r="E50" s="2" t="s">
        <v>30</v>
      </c>
      <c r="F50" s="2">
        <v>37211</v>
      </c>
      <c r="G50" s="2" t="s">
        <v>64</v>
      </c>
      <c r="H50" t="s">
        <v>211</v>
      </c>
      <c r="I50" s="6">
        <v>38211</v>
      </c>
      <c r="J50" s="2" t="s">
        <v>4356</v>
      </c>
      <c r="K50" s="2">
        <v>140000</v>
      </c>
      <c r="L50" t="s">
        <v>35</v>
      </c>
      <c r="M50" t="s">
        <v>29</v>
      </c>
      <c r="N50" t="s">
        <v>30</v>
      </c>
      <c r="O50">
        <v>37219</v>
      </c>
      <c r="P50" t="s">
        <v>4357</v>
      </c>
      <c r="Q50" s="2">
        <v>0.88</v>
      </c>
      <c r="R50" s="2">
        <v>82</v>
      </c>
      <c r="S50" s="2">
        <v>385</v>
      </c>
      <c r="T50" t="s">
        <v>4358</v>
      </c>
      <c r="U50" s="6">
        <v>21712</v>
      </c>
      <c r="V50" s="2">
        <v>47037015802</v>
      </c>
      <c r="W50" s="2" t="s">
        <v>68</v>
      </c>
      <c r="X50" s="1">
        <v>45658</v>
      </c>
      <c r="Y50" s="2">
        <v>49500</v>
      </c>
      <c r="Z50" s="2">
        <v>0</v>
      </c>
      <c r="AA50" s="2">
        <v>49500</v>
      </c>
    </row>
    <row r="51" spans="1:27" x14ac:dyDescent="0.3">
      <c r="A51" s="3">
        <v>16</v>
      </c>
      <c r="B51" s="2" t="str">
        <f>"11907003700"</f>
        <v>11907003700</v>
      </c>
      <c r="C51" s="2" t="s">
        <v>4359</v>
      </c>
      <c r="D51" t="s">
        <v>29</v>
      </c>
      <c r="E51" s="2" t="s">
        <v>30</v>
      </c>
      <c r="F51" s="2">
        <v>37211</v>
      </c>
      <c r="G51" s="2" t="s">
        <v>64</v>
      </c>
      <c r="H51" t="s">
        <v>211</v>
      </c>
      <c r="I51" s="6">
        <v>40127</v>
      </c>
      <c r="J51" s="2" t="s">
        <v>4360</v>
      </c>
      <c r="K51" s="2">
        <v>177000</v>
      </c>
      <c r="L51" t="s">
        <v>35</v>
      </c>
      <c r="M51" t="s">
        <v>29</v>
      </c>
      <c r="N51" t="s">
        <v>30</v>
      </c>
      <c r="O51">
        <v>37219</v>
      </c>
      <c r="P51" t="s">
        <v>4361</v>
      </c>
      <c r="Q51" s="2">
        <v>0.96</v>
      </c>
      <c r="R51" s="2">
        <v>80</v>
      </c>
      <c r="S51" s="2">
        <v>425</v>
      </c>
      <c r="T51" t="s">
        <v>4362</v>
      </c>
      <c r="U51" s="6">
        <v>26333</v>
      </c>
      <c r="V51" s="2">
        <v>47037015802</v>
      </c>
      <c r="W51" s="2" t="s">
        <v>68</v>
      </c>
      <c r="X51" s="1">
        <v>45658</v>
      </c>
      <c r="Y51" s="2">
        <v>49500</v>
      </c>
      <c r="Z51" s="2">
        <v>0</v>
      </c>
      <c r="AA51" s="2">
        <v>49500</v>
      </c>
    </row>
    <row r="52" spans="1:27" x14ac:dyDescent="0.3">
      <c r="A52" s="3">
        <v>16</v>
      </c>
      <c r="B52" s="2" t="str">
        <f>"11907003600"</f>
        <v>11907003600</v>
      </c>
      <c r="C52" s="2" t="s">
        <v>4363</v>
      </c>
      <c r="D52" t="s">
        <v>29</v>
      </c>
      <c r="E52" s="2" t="s">
        <v>30</v>
      </c>
      <c r="F52" s="2">
        <v>37211</v>
      </c>
      <c r="G52" s="2" t="s">
        <v>64</v>
      </c>
      <c r="H52" t="s">
        <v>211</v>
      </c>
      <c r="I52" s="6">
        <v>38470</v>
      </c>
      <c r="J52" s="2" t="s">
        <v>4364</v>
      </c>
      <c r="K52" s="2">
        <v>126000</v>
      </c>
      <c r="L52" t="s">
        <v>35</v>
      </c>
      <c r="M52" t="s">
        <v>29</v>
      </c>
      <c r="N52" t="s">
        <v>30</v>
      </c>
      <c r="O52">
        <v>37219</v>
      </c>
      <c r="P52" t="s">
        <v>4365</v>
      </c>
      <c r="Q52" s="2">
        <v>1.05</v>
      </c>
      <c r="R52" s="2">
        <v>79</v>
      </c>
      <c r="S52" s="2">
        <v>467</v>
      </c>
      <c r="T52" t="s">
        <v>4366</v>
      </c>
      <c r="U52" s="6">
        <v>27305</v>
      </c>
      <c r="V52" s="2">
        <v>47037015802</v>
      </c>
      <c r="W52" s="2" t="s">
        <v>68</v>
      </c>
      <c r="X52" s="1">
        <v>45658</v>
      </c>
      <c r="Y52" s="2">
        <v>52800</v>
      </c>
      <c r="Z52" s="2">
        <v>0</v>
      </c>
      <c r="AA52" s="2">
        <v>52800</v>
      </c>
    </row>
    <row r="53" spans="1:27" x14ac:dyDescent="0.3">
      <c r="A53" s="3">
        <v>16</v>
      </c>
      <c r="B53" s="2" t="str">
        <f>"11907004200"</f>
        <v>11907004200</v>
      </c>
      <c r="C53" s="2" t="s">
        <v>4195</v>
      </c>
      <c r="D53" t="s">
        <v>29</v>
      </c>
      <c r="E53" s="2" t="s">
        <v>30</v>
      </c>
      <c r="F53" s="2">
        <v>37211</v>
      </c>
      <c r="G53" s="2" t="s">
        <v>64</v>
      </c>
      <c r="H53" t="s">
        <v>211</v>
      </c>
      <c r="I53" s="6">
        <v>29195</v>
      </c>
      <c r="J53" s="2" t="s">
        <v>4367</v>
      </c>
      <c r="K53" s="2">
        <v>126</v>
      </c>
      <c r="L53" t="s">
        <v>35</v>
      </c>
      <c r="M53" t="s">
        <v>29</v>
      </c>
      <c r="N53" t="s">
        <v>30</v>
      </c>
      <c r="O53">
        <v>37219</v>
      </c>
      <c r="P53" t="s">
        <v>4368</v>
      </c>
      <c r="Q53" s="2">
        <v>0.01</v>
      </c>
      <c r="R53" s="2">
        <v>19</v>
      </c>
      <c r="S53" s="2">
        <v>72</v>
      </c>
      <c r="T53" t="s">
        <v>4369</v>
      </c>
      <c r="U53" s="6">
        <v>20601</v>
      </c>
      <c r="V53" s="2">
        <v>47037015802</v>
      </c>
      <c r="W53" s="2" t="s">
        <v>68</v>
      </c>
      <c r="X53" s="1">
        <v>45658</v>
      </c>
      <c r="Y53" s="2">
        <v>900</v>
      </c>
      <c r="Z53" s="2">
        <v>0</v>
      </c>
      <c r="AA53" s="2">
        <v>900</v>
      </c>
    </row>
    <row r="54" spans="1:27" x14ac:dyDescent="0.3">
      <c r="A54" s="3">
        <v>16</v>
      </c>
      <c r="B54" s="2" t="str">
        <f>"11907003500"</f>
        <v>11907003500</v>
      </c>
      <c r="C54" s="2" t="s">
        <v>4370</v>
      </c>
      <c r="D54" t="s">
        <v>29</v>
      </c>
      <c r="E54" s="2" t="s">
        <v>30</v>
      </c>
      <c r="F54" s="2">
        <v>37211</v>
      </c>
      <c r="G54" s="2" t="s">
        <v>64</v>
      </c>
      <c r="H54" t="s">
        <v>211</v>
      </c>
      <c r="I54" s="6">
        <v>38156</v>
      </c>
      <c r="J54" s="2" t="s">
        <v>4371</v>
      </c>
      <c r="K54" s="2">
        <v>118000</v>
      </c>
      <c r="L54" t="s">
        <v>35</v>
      </c>
      <c r="M54" t="s">
        <v>29</v>
      </c>
      <c r="N54" t="s">
        <v>30</v>
      </c>
      <c r="O54">
        <v>37219</v>
      </c>
      <c r="P54" t="s">
        <v>4372</v>
      </c>
      <c r="Q54" s="2">
        <v>1.44</v>
      </c>
      <c r="R54" s="2">
        <v>88</v>
      </c>
      <c r="S54" s="2">
        <v>467</v>
      </c>
      <c r="T54" t="s">
        <v>4373</v>
      </c>
      <c r="U54" s="6">
        <v>21318</v>
      </c>
      <c r="V54" s="2">
        <v>47037015802</v>
      </c>
      <c r="W54" s="2" t="s">
        <v>68</v>
      </c>
      <c r="X54" s="1">
        <v>45658</v>
      </c>
      <c r="Y54" s="2">
        <v>78600</v>
      </c>
      <c r="Z54" s="2">
        <v>0</v>
      </c>
      <c r="AA54" s="2">
        <v>78600</v>
      </c>
    </row>
    <row r="55" spans="1:27" x14ac:dyDescent="0.3">
      <c r="A55" s="3">
        <v>16</v>
      </c>
      <c r="B55" s="2" t="str">
        <f>"11907003400"</f>
        <v>11907003400</v>
      </c>
      <c r="C55" s="2" t="s">
        <v>4374</v>
      </c>
      <c r="D55" t="s">
        <v>29</v>
      </c>
      <c r="E55" s="2" t="s">
        <v>30</v>
      </c>
      <c r="F55" s="2">
        <v>37211</v>
      </c>
      <c r="G55" s="2" t="s">
        <v>64</v>
      </c>
      <c r="H55" t="s">
        <v>211</v>
      </c>
      <c r="I55" s="6">
        <v>38156</v>
      </c>
      <c r="J55" s="2" t="s">
        <v>4375</v>
      </c>
      <c r="K55" s="2">
        <v>136000</v>
      </c>
      <c r="L55" t="s">
        <v>35</v>
      </c>
      <c r="M55" t="s">
        <v>29</v>
      </c>
      <c r="N55" t="s">
        <v>30</v>
      </c>
      <c r="O55">
        <v>37219</v>
      </c>
      <c r="P55" t="s">
        <v>4376</v>
      </c>
      <c r="Q55" s="2">
        <v>1.41</v>
      </c>
      <c r="R55" s="2">
        <v>91</v>
      </c>
      <c r="S55" s="2">
        <v>448</v>
      </c>
      <c r="T55" t="s">
        <v>4377</v>
      </c>
      <c r="U55" s="6">
        <v>21303</v>
      </c>
      <c r="V55" s="2">
        <v>47037015802</v>
      </c>
      <c r="W55" s="2" t="s">
        <v>68</v>
      </c>
      <c r="X55" s="1">
        <v>45658</v>
      </c>
      <c r="Y55" s="2">
        <v>76700</v>
      </c>
      <c r="Z55" s="2">
        <v>0</v>
      </c>
      <c r="AA55" s="2">
        <v>76700</v>
      </c>
    </row>
    <row r="56" spans="1:27" x14ac:dyDescent="0.3">
      <c r="A56" s="3">
        <v>16</v>
      </c>
      <c r="B56" s="2" t="str">
        <f>"12000008900"</f>
        <v>12000008900</v>
      </c>
      <c r="C56" s="2" t="s">
        <v>4378</v>
      </c>
      <c r="D56" t="s">
        <v>29</v>
      </c>
      <c r="E56" s="2" t="s">
        <v>30</v>
      </c>
      <c r="F56" s="2">
        <v>37211</v>
      </c>
      <c r="G56" s="2" t="s">
        <v>64</v>
      </c>
      <c r="H56" t="s">
        <v>4379</v>
      </c>
      <c r="I56" s="6">
        <v>29550</v>
      </c>
      <c r="J56" s="2" t="s">
        <v>4283</v>
      </c>
      <c r="K56" s="2" t="s">
        <v>34</v>
      </c>
      <c r="L56" t="s">
        <v>35</v>
      </c>
      <c r="M56" t="s">
        <v>29</v>
      </c>
      <c r="N56" t="s">
        <v>30</v>
      </c>
      <c r="O56">
        <v>37219</v>
      </c>
      <c r="P56" t="s">
        <v>4380</v>
      </c>
      <c r="Q56" s="2">
        <v>5</v>
      </c>
      <c r="R56" s="2">
        <v>0</v>
      </c>
      <c r="S56" s="2">
        <v>0</v>
      </c>
      <c r="T56" t="s">
        <v>4285</v>
      </c>
      <c r="U56" s="6">
        <v>25611</v>
      </c>
      <c r="V56" s="2">
        <v>47037015700</v>
      </c>
      <c r="W56" s="2" t="s">
        <v>68</v>
      </c>
      <c r="X56" s="1">
        <v>45658</v>
      </c>
      <c r="Y56" s="2">
        <v>55000</v>
      </c>
      <c r="Z56" s="2">
        <v>0</v>
      </c>
      <c r="AA56" s="2">
        <v>55000</v>
      </c>
    </row>
    <row r="57" spans="1:27" x14ac:dyDescent="0.3">
      <c r="A57" s="3">
        <v>16</v>
      </c>
      <c r="B57" s="2" t="str">
        <f>"11906001000"</f>
        <v>11906001000</v>
      </c>
      <c r="C57" s="2" t="s">
        <v>4381</v>
      </c>
      <c r="D57" t="s">
        <v>29</v>
      </c>
      <c r="E57" s="2" t="s">
        <v>30</v>
      </c>
      <c r="F57" s="2">
        <v>37210</v>
      </c>
      <c r="G57" s="2" t="s">
        <v>64</v>
      </c>
      <c r="H57" t="s">
        <v>1332</v>
      </c>
      <c r="I57" s="6">
        <v>16424</v>
      </c>
      <c r="J57" s="2" t="s">
        <v>4382</v>
      </c>
      <c r="K57" s="2" t="s">
        <v>34</v>
      </c>
      <c r="L57" t="s">
        <v>35</v>
      </c>
      <c r="M57" t="s">
        <v>29</v>
      </c>
      <c r="N57" t="s">
        <v>30</v>
      </c>
      <c r="O57">
        <v>37219</v>
      </c>
      <c r="P57" t="s">
        <v>4383</v>
      </c>
      <c r="Q57" s="2">
        <v>0.09</v>
      </c>
      <c r="R57" s="2">
        <v>25</v>
      </c>
      <c r="S57" s="2">
        <v>158</v>
      </c>
      <c r="T57" t="s">
        <v>4382</v>
      </c>
      <c r="U57" s="6">
        <v>16424</v>
      </c>
      <c r="V57" s="2">
        <v>47037017300</v>
      </c>
      <c r="W57" s="2" t="s">
        <v>68</v>
      </c>
      <c r="X57" s="1">
        <v>45658</v>
      </c>
      <c r="Y57" s="2">
        <v>2500</v>
      </c>
      <c r="Z57" s="2">
        <v>0</v>
      </c>
      <c r="AA57" s="2">
        <v>2500</v>
      </c>
    </row>
    <row r="58" spans="1:27" x14ac:dyDescent="0.3">
      <c r="A58" s="3">
        <v>16</v>
      </c>
      <c r="B58" s="2" t="str">
        <f>"11906001100"</f>
        <v>11906001100</v>
      </c>
      <c r="C58" s="2" t="s">
        <v>4381</v>
      </c>
      <c r="D58" t="s">
        <v>29</v>
      </c>
      <c r="E58" s="2" t="s">
        <v>30</v>
      </c>
      <c r="F58" s="2">
        <v>37210</v>
      </c>
      <c r="G58" s="2" t="s">
        <v>64</v>
      </c>
      <c r="H58" t="s">
        <v>1332</v>
      </c>
      <c r="I58" s="6">
        <v>16424</v>
      </c>
      <c r="J58" s="2" t="s">
        <v>4382</v>
      </c>
      <c r="K58" s="2" t="s">
        <v>34</v>
      </c>
      <c r="L58" t="s">
        <v>35</v>
      </c>
      <c r="M58" t="s">
        <v>29</v>
      </c>
      <c r="N58" t="s">
        <v>30</v>
      </c>
      <c r="O58">
        <v>37219</v>
      </c>
      <c r="P58" t="s">
        <v>4384</v>
      </c>
      <c r="Q58" s="2">
        <v>0.09</v>
      </c>
      <c r="R58" s="2">
        <v>25</v>
      </c>
      <c r="S58" s="2">
        <v>150</v>
      </c>
      <c r="T58" t="s">
        <v>4382</v>
      </c>
      <c r="U58" s="6">
        <v>16424</v>
      </c>
      <c r="V58" s="2">
        <v>47037017300</v>
      </c>
      <c r="W58" s="2" t="s">
        <v>68</v>
      </c>
      <c r="X58" s="1">
        <v>45658</v>
      </c>
      <c r="Y58" s="2">
        <v>2500</v>
      </c>
      <c r="Z58" s="2">
        <v>0</v>
      </c>
      <c r="AA58" s="2">
        <v>2500</v>
      </c>
    </row>
    <row r="59" spans="1:27" x14ac:dyDescent="0.3">
      <c r="A59" s="3">
        <v>16</v>
      </c>
      <c r="B59" s="2" t="str">
        <f>"11916001200"</f>
        <v>11916001200</v>
      </c>
      <c r="C59" s="2" t="s">
        <v>4385</v>
      </c>
      <c r="D59" t="s">
        <v>29</v>
      </c>
      <c r="E59" s="2" t="s">
        <v>30</v>
      </c>
      <c r="F59" s="2">
        <v>37211</v>
      </c>
      <c r="G59" s="2" t="s">
        <v>64</v>
      </c>
      <c r="H59" t="s">
        <v>1332</v>
      </c>
      <c r="I59" s="6">
        <v>32463</v>
      </c>
      <c r="J59" s="2" t="s">
        <v>4386</v>
      </c>
      <c r="K59" s="2">
        <v>2500</v>
      </c>
      <c r="L59" t="s">
        <v>35</v>
      </c>
      <c r="M59" t="s">
        <v>29</v>
      </c>
      <c r="N59" t="s">
        <v>30</v>
      </c>
      <c r="O59">
        <v>37219</v>
      </c>
      <c r="P59" t="s">
        <v>4387</v>
      </c>
      <c r="Q59" s="2">
        <v>0.44</v>
      </c>
      <c r="R59" s="2">
        <v>290</v>
      </c>
      <c r="S59" s="2">
        <v>238</v>
      </c>
      <c r="T59" t="s">
        <v>4388</v>
      </c>
      <c r="U59" s="6">
        <v>15377</v>
      </c>
      <c r="V59" s="2">
        <v>47037015700</v>
      </c>
      <c r="W59" s="2" t="s">
        <v>68</v>
      </c>
      <c r="X59" s="1">
        <v>45658</v>
      </c>
      <c r="Y59" s="2">
        <v>1000</v>
      </c>
      <c r="Z59" s="2">
        <v>0</v>
      </c>
      <c r="AA59" s="2">
        <v>1000</v>
      </c>
    </row>
    <row r="60" spans="1:27" x14ac:dyDescent="0.3">
      <c r="A60" s="3">
        <v>16</v>
      </c>
      <c r="B60" s="2" t="str">
        <f>"11916001700"</f>
        <v>11916001700</v>
      </c>
      <c r="C60" s="2" t="s">
        <v>4389</v>
      </c>
      <c r="D60" t="s">
        <v>29</v>
      </c>
      <c r="E60" s="2" t="s">
        <v>30</v>
      </c>
      <c r="F60" s="2">
        <v>37211</v>
      </c>
      <c r="G60" s="2" t="s">
        <v>152</v>
      </c>
      <c r="H60" t="s">
        <v>4390</v>
      </c>
      <c r="I60" s="6">
        <v>22790</v>
      </c>
      <c r="J60" s="2" t="s">
        <v>4391</v>
      </c>
      <c r="K60" s="2" t="s">
        <v>34</v>
      </c>
      <c r="L60" t="s">
        <v>35</v>
      </c>
      <c r="M60" t="s">
        <v>29</v>
      </c>
      <c r="N60" t="s">
        <v>30</v>
      </c>
      <c r="O60">
        <v>37219</v>
      </c>
      <c r="P60" t="s">
        <v>4392</v>
      </c>
      <c r="Q60" s="2">
        <v>12.91</v>
      </c>
      <c r="R60" s="2">
        <v>0</v>
      </c>
      <c r="S60" s="2">
        <v>0</v>
      </c>
      <c r="T60" t="s">
        <v>4393</v>
      </c>
      <c r="U60" s="6">
        <v>37330</v>
      </c>
      <c r="V60" s="2">
        <v>47037015700</v>
      </c>
      <c r="W60" s="2" t="s">
        <v>68</v>
      </c>
      <c r="X60" s="1">
        <v>45658</v>
      </c>
      <c r="Y60" s="2">
        <v>3066100</v>
      </c>
      <c r="Z60" s="2">
        <v>0</v>
      </c>
      <c r="AA60" s="2">
        <v>3066100</v>
      </c>
    </row>
    <row r="61" spans="1:27" x14ac:dyDescent="0.3">
      <c r="A61" s="3">
        <v>16</v>
      </c>
      <c r="B61" s="2" t="str">
        <f>"13303005400"</f>
        <v>13303005400</v>
      </c>
      <c r="C61" s="2" t="s">
        <v>4394</v>
      </c>
      <c r="D61" t="s">
        <v>29</v>
      </c>
      <c r="E61" s="2" t="s">
        <v>30</v>
      </c>
      <c r="F61" s="2">
        <v>37211</v>
      </c>
      <c r="G61" s="2" t="s">
        <v>253</v>
      </c>
      <c r="H61" t="s">
        <v>4395</v>
      </c>
      <c r="I61" s="6">
        <v>27395</v>
      </c>
      <c r="J61" s="2" t="s">
        <v>4396</v>
      </c>
      <c r="K61" s="2" t="s">
        <v>34</v>
      </c>
      <c r="L61" t="s">
        <v>35</v>
      </c>
      <c r="M61" t="s">
        <v>29</v>
      </c>
      <c r="N61" t="s">
        <v>30</v>
      </c>
      <c r="O61">
        <v>37219</v>
      </c>
      <c r="P61" t="s">
        <v>4397</v>
      </c>
      <c r="Q61" s="2">
        <v>33.71</v>
      </c>
      <c r="R61" s="2">
        <v>0</v>
      </c>
      <c r="S61" s="2">
        <v>0</v>
      </c>
      <c r="T61" t="s">
        <v>278</v>
      </c>
      <c r="U61" s="6">
        <v>36581</v>
      </c>
      <c r="V61" s="2">
        <v>47037017402</v>
      </c>
      <c r="W61" s="2" t="s">
        <v>68</v>
      </c>
      <c r="X61" s="1">
        <v>45658</v>
      </c>
      <c r="Y61" s="2">
        <v>2553300</v>
      </c>
      <c r="Z61" s="2">
        <v>0</v>
      </c>
      <c r="AA61" s="2">
        <v>2553300</v>
      </c>
    </row>
    <row r="62" spans="1:27" x14ac:dyDescent="0.3">
      <c r="A62" s="3">
        <v>16</v>
      </c>
      <c r="B62" s="2" t="str">
        <f>"13303006500"</f>
        <v>13303006500</v>
      </c>
      <c r="C62" s="2" t="s">
        <v>4398</v>
      </c>
      <c r="D62" t="s">
        <v>29</v>
      </c>
      <c r="E62" s="2" t="s">
        <v>30</v>
      </c>
      <c r="F62" s="2">
        <v>37211</v>
      </c>
      <c r="G62" s="2" t="s">
        <v>253</v>
      </c>
      <c r="H62" t="s">
        <v>4395</v>
      </c>
      <c r="I62" s="6">
        <v>25517</v>
      </c>
      <c r="J62" s="2" t="s">
        <v>4399</v>
      </c>
      <c r="K62" s="2" t="s">
        <v>34</v>
      </c>
      <c r="L62" t="s">
        <v>35</v>
      </c>
      <c r="M62" t="s">
        <v>29</v>
      </c>
      <c r="N62" t="s">
        <v>30</v>
      </c>
      <c r="O62">
        <v>37219</v>
      </c>
      <c r="P62" t="s">
        <v>4400</v>
      </c>
      <c r="Q62" s="2">
        <v>11.74</v>
      </c>
      <c r="R62" s="2">
        <v>0</v>
      </c>
      <c r="S62" s="2">
        <v>0</v>
      </c>
      <c r="T62" t="s">
        <v>198</v>
      </c>
      <c r="U62" s="6">
        <v>27760</v>
      </c>
      <c r="V62" s="2">
        <v>47037017402</v>
      </c>
      <c r="W62" s="2" t="s">
        <v>68</v>
      </c>
      <c r="X62" s="1">
        <v>45658</v>
      </c>
      <c r="Y62" s="2">
        <v>905500</v>
      </c>
      <c r="Z62" s="2">
        <v>0</v>
      </c>
      <c r="AA62" s="2">
        <v>905500</v>
      </c>
    </row>
    <row r="63" spans="1:27" x14ac:dyDescent="0.3">
      <c r="A63" s="3">
        <v>16</v>
      </c>
      <c r="B63" s="2" t="str">
        <f>"11913009900"</f>
        <v>11913009900</v>
      </c>
      <c r="C63" s="2" t="s">
        <v>4401</v>
      </c>
      <c r="D63" t="s">
        <v>29</v>
      </c>
      <c r="E63" s="2" t="s">
        <v>30</v>
      </c>
      <c r="F63" s="2">
        <v>37211</v>
      </c>
      <c r="G63" s="2" t="s">
        <v>200</v>
      </c>
      <c r="H63" t="s">
        <v>4402</v>
      </c>
      <c r="I63" s="6">
        <v>19576</v>
      </c>
      <c r="J63" s="2" t="s">
        <v>4403</v>
      </c>
      <c r="K63" s="2" t="s">
        <v>34</v>
      </c>
      <c r="L63" t="s">
        <v>35</v>
      </c>
      <c r="M63" t="s">
        <v>29</v>
      </c>
      <c r="N63" t="s">
        <v>30</v>
      </c>
      <c r="O63">
        <v>37219</v>
      </c>
      <c r="P63" t="s">
        <v>4404</v>
      </c>
      <c r="Q63" s="2">
        <v>0.45</v>
      </c>
      <c r="R63" s="2">
        <v>122</v>
      </c>
      <c r="S63" s="2">
        <v>160</v>
      </c>
      <c r="T63" t="s">
        <v>4403</v>
      </c>
      <c r="U63" s="6">
        <v>19576</v>
      </c>
      <c r="V63" s="2">
        <v>47037017500</v>
      </c>
      <c r="W63" s="2" t="s">
        <v>68</v>
      </c>
      <c r="X63" s="1">
        <v>45658</v>
      </c>
      <c r="Y63" s="2">
        <v>390400</v>
      </c>
      <c r="Z63" s="2">
        <v>0</v>
      </c>
      <c r="AA63" s="2">
        <v>390400</v>
      </c>
    </row>
    <row r="64" spans="1:27" x14ac:dyDescent="0.3">
      <c r="A64" s="3">
        <v>16</v>
      </c>
      <c r="B64" s="2" t="str">
        <f>"11913009800"</f>
        <v>11913009800</v>
      </c>
      <c r="C64" s="2" t="s">
        <v>4405</v>
      </c>
      <c r="D64" t="s">
        <v>29</v>
      </c>
      <c r="E64" s="2" t="s">
        <v>30</v>
      </c>
      <c r="F64" s="2">
        <v>37211</v>
      </c>
      <c r="G64" s="2" t="s">
        <v>200</v>
      </c>
      <c r="H64" t="s">
        <v>4402</v>
      </c>
      <c r="I64" s="6">
        <v>19284</v>
      </c>
      <c r="J64" s="2" t="s">
        <v>4406</v>
      </c>
      <c r="K64" s="2" t="s">
        <v>34</v>
      </c>
      <c r="L64" t="s">
        <v>35</v>
      </c>
      <c r="M64" t="s">
        <v>29</v>
      </c>
      <c r="N64" t="s">
        <v>30</v>
      </c>
      <c r="O64">
        <v>37219</v>
      </c>
      <c r="P64" t="s">
        <v>4407</v>
      </c>
      <c r="Q64" s="2">
        <v>0.28999999999999998</v>
      </c>
      <c r="R64" s="2">
        <v>38</v>
      </c>
      <c r="S64" s="2">
        <v>130</v>
      </c>
      <c r="T64" t="s">
        <v>4406</v>
      </c>
      <c r="U64" s="6">
        <v>19284</v>
      </c>
      <c r="V64" s="2">
        <v>47037017500</v>
      </c>
      <c r="W64" s="2" t="s">
        <v>68</v>
      </c>
      <c r="X64" s="1">
        <v>45658</v>
      </c>
      <c r="Y64" s="2">
        <v>252600</v>
      </c>
      <c r="Z64" s="2">
        <v>0</v>
      </c>
      <c r="AA64" s="2">
        <v>252600</v>
      </c>
    </row>
    <row r="65" spans="1:27" x14ac:dyDescent="0.3">
      <c r="A65" s="3">
        <v>16</v>
      </c>
      <c r="B65" s="2" t="str">
        <f>"11906020600"</f>
        <v>11906020600</v>
      </c>
      <c r="C65" s="2" t="s">
        <v>4408</v>
      </c>
      <c r="D65" t="s">
        <v>29</v>
      </c>
      <c r="E65" s="2" t="s">
        <v>30</v>
      </c>
      <c r="F65" s="2">
        <v>37210</v>
      </c>
      <c r="G65" s="2" t="s">
        <v>41</v>
      </c>
      <c r="H65" t="s">
        <v>4409</v>
      </c>
      <c r="I65" s="6">
        <v>17866</v>
      </c>
      <c r="J65" s="2" t="s">
        <v>4410</v>
      </c>
      <c r="K65" s="2" t="s">
        <v>34</v>
      </c>
      <c r="L65" t="s">
        <v>35</v>
      </c>
      <c r="M65" t="s">
        <v>29</v>
      </c>
      <c r="N65" t="s">
        <v>30</v>
      </c>
      <c r="O65">
        <v>37219</v>
      </c>
      <c r="P65" t="s">
        <v>4411</v>
      </c>
      <c r="Q65" s="2">
        <v>9.89</v>
      </c>
      <c r="R65" s="2">
        <v>0</v>
      </c>
      <c r="S65" s="2">
        <v>0</v>
      </c>
      <c r="T65" t="s">
        <v>278</v>
      </c>
      <c r="U65" s="6">
        <v>36588</v>
      </c>
      <c r="V65" s="2">
        <v>47037017300</v>
      </c>
      <c r="W65" s="2" t="s">
        <v>68</v>
      </c>
      <c r="X65" s="1">
        <v>45658</v>
      </c>
      <c r="Y65" s="2">
        <v>1060100</v>
      </c>
      <c r="Z65" s="2">
        <v>0</v>
      </c>
      <c r="AA65" s="2">
        <v>1060100</v>
      </c>
    </row>
    <row r="66" spans="1:27" x14ac:dyDescent="0.3">
      <c r="A66" s="3">
        <v>16</v>
      </c>
      <c r="B66" s="2" t="str">
        <f>"13302030500"</f>
        <v>13302030500</v>
      </c>
      <c r="C66" s="2" t="s">
        <v>4412</v>
      </c>
      <c r="D66" t="s">
        <v>29</v>
      </c>
      <c r="E66" s="2" t="s">
        <v>30</v>
      </c>
      <c r="F66" s="2">
        <v>37211</v>
      </c>
      <c r="G66" s="2" t="s">
        <v>253</v>
      </c>
      <c r="H66" t="s">
        <v>4413</v>
      </c>
      <c r="I66" s="6">
        <v>27395</v>
      </c>
      <c r="J66" s="2" t="s">
        <v>4414</v>
      </c>
      <c r="K66" s="2" t="s">
        <v>34</v>
      </c>
      <c r="L66" t="s">
        <v>35</v>
      </c>
      <c r="M66" t="s">
        <v>29</v>
      </c>
      <c r="N66" t="s">
        <v>30</v>
      </c>
      <c r="O66">
        <v>37219</v>
      </c>
      <c r="P66" t="s">
        <v>4415</v>
      </c>
      <c r="Q66" s="2">
        <v>18.52</v>
      </c>
      <c r="R66" s="2">
        <v>0</v>
      </c>
      <c r="S66" s="2">
        <v>0</v>
      </c>
      <c r="T66" t="s">
        <v>4416</v>
      </c>
      <c r="U66" s="6">
        <v>24442</v>
      </c>
      <c r="V66" s="2">
        <v>47037017402</v>
      </c>
      <c r="W66" s="2" t="s">
        <v>68</v>
      </c>
      <c r="X66" s="1">
        <v>45658</v>
      </c>
      <c r="Y66" s="2">
        <v>1599400</v>
      </c>
      <c r="Z66" s="2">
        <v>0</v>
      </c>
      <c r="AA66" s="2">
        <v>1599400</v>
      </c>
    </row>
    <row r="67" spans="1:27" x14ac:dyDescent="0.3">
      <c r="A67" s="3">
        <v>16</v>
      </c>
      <c r="B67" s="2" t="str">
        <f>"10512005000"</f>
        <v>10512005000</v>
      </c>
      <c r="C67" s="2" t="s">
        <v>4417</v>
      </c>
      <c r="D67" t="s">
        <v>29</v>
      </c>
      <c r="E67" s="2" t="s">
        <v>30</v>
      </c>
      <c r="F67" s="2">
        <v>37210</v>
      </c>
      <c r="G67" s="2" t="s">
        <v>1343</v>
      </c>
      <c r="H67" t="s">
        <v>4418</v>
      </c>
      <c r="I67" s="6">
        <v>27570</v>
      </c>
      <c r="J67" s="2" t="s">
        <v>4419</v>
      </c>
      <c r="K67" s="2" t="s">
        <v>34</v>
      </c>
      <c r="L67" t="s">
        <v>35</v>
      </c>
      <c r="M67" t="s">
        <v>29</v>
      </c>
      <c r="N67" t="s">
        <v>30</v>
      </c>
      <c r="O67">
        <v>37219</v>
      </c>
      <c r="P67" t="s">
        <v>4420</v>
      </c>
      <c r="Q67" s="2">
        <v>11.28</v>
      </c>
      <c r="R67" s="2">
        <v>0</v>
      </c>
      <c r="S67" s="2">
        <v>0</v>
      </c>
      <c r="T67" t="s">
        <v>278</v>
      </c>
      <c r="U67" s="6">
        <v>36588</v>
      </c>
      <c r="V67" s="2">
        <v>47037017200</v>
      </c>
      <c r="W67" s="2" t="s">
        <v>68</v>
      </c>
      <c r="X67" s="1">
        <v>45658</v>
      </c>
      <c r="Y67" s="2">
        <v>8191700</v>
      </c>
      <c r="Z67" s="2">
        <v>3228500</v>
      </c>
      <c r="AA67" s="2">
        <v>4963200</v>
      </c>
    </row>
    <row r="68" spans="1:27" x14ac:dyDescent="0.3">
      <c r="A68" s="3">
        <v>16</v>
      </c>
      <c r="B68" s="2" t="str">
        <f>"11904004100"</f>
        <v>11904004100</v>
      </c>
      <c r="C68" s="2" t="s">
        <v>4421</v>
      </c>
      <c r="D68" t="s">
        <v>29</v>
      </c>
      <c r="E68" s="2" t="s">
        <v>30</v>
      </c>
      <c r="F68" s="2">
        <v>37211</v>
      </c>
      <c r="G68" s="2" t="s">
        <v>194</v>
      </c>
      <c r="H68" t="s">
        <v>280</v>
      </c>
      <c r="I68" s="6">
        <v>44988</v>
      </c>
      <c r="J68" s="2" t="s">
        <v>4422</v>
      </c>
      <c r="K68" s="2" t="s">
        <v>34</v>
      </c>
      <c r="L68" t="s">
        <v>315</v>
      </c>
      <c r="M68" t="s">
        <v>29</v>
      </c>
      <c r="N68" t="s">
        <v>30</v>
      </c>
      <c r="O68">
        <v>37208</v>
      </c>
      <c r="P68" t="s">
        <v>4423</v>
      </c>
      <c r="Q68" s="2">
        <v>0.51</v>
      </c>
      <c r="R68" s="2">
        <v>166</v>
      </c>
      <c r="S68" s="2">
        <v>204</v>
      </c>
      <c r="T68" t="s">
        <v>4424</v>
      </c>
      <c r="U68" s="6">
        <v>19884</v>
      </c>
      <c r="V68" s="2">
        <v>47037015802</v>
      </c>
      <c r="W68" s="2" t="s">
        <v>68</v>
      </c>
      <c r="X68" s="1">
        <v>45658</v>
      </c>
      <c r="Y68" s="2">
        <v>76500</v>
      </c>
      <c r="Z68" s="2">
        <v>0</v>
      </c>
      <c r="AA68" s="2">
        <v>76500</v>
      </c>
    </row>
    <row r="69" spans="1:27" x14ac:dyDescent="0.3">
      <c r="A69" s="3">
        <v>16</v>
      </c>
      <c r="B69" s="2" t="str">
        <f>"11904003600"</f>
        <v>11904003600</v>
      </c>
      <c r="C69" s="2" t="s">
        <v>4425</v>
      </c>
      <c r="D69" t="s">
        <v>29</v>
      </c>
      <c r="E69" s="2" t="s">
        <v>30</v>
      </c>
      <c r="F69" s="2">
        <v>37211</v>
      </c>
      <c r="G69" s="2" t="s">
        <v>64</v>
      </c>
      <c r="H69" t="s">
        <v>280</v>
      </c>
      <c r="I69" s="6">
        <v>43893</v>
      </c>
      <c r="J69" s="2" t="s">
        <v>4426</v>
      </c>
      <c r="K69" s="2" t="s">
        <v>34</v>
      </c>
      <c r="L69" t="s">
        <v>315</v>
      </c>
      <c r="M69" t="s">
        <v>29</v>
      </c>
      <c r="N69" t="s">
        <v>30</v>
      </c>
      <c r="O69">
        <v>37208</v>
      </c>
      <c r="P69" t="s">
        <v>4427</v>
      </c>
      <c r="Q69" s="2">
        <v>0.54</v>
      </c>
      <c r="R69" s="2">
        <v>98</v>
      </c>
      <c r="S69" s="2">
        <v>260</v>
      </c>
      <c r="T69" t="s">
        <v>4428</v>
      </c>
      <c r="U69" s="6">
        <v>26214</v>
      </c>
      <c r="V69" s="2">
        <v>47037015802</v>
      </c>
      <c r="W69" s="2" t="s">
        <v>68</v>
      </c>
      <c r="X69" s="1">
        <v>45658</v>
      </c>
      <c r="Y69" s="2">
        <v>76500</v>
      </c>
      <c r="Z69" s="2">
        <v>0</v>
      </c>
      <c r="AA69" s="2">
        <v>76500</v>
      </c>
    </row>
    <row r="70" spans="1:27" x14ac:dyDescent="0.3">
      <c r="A70" s="3">
        <v>16</v>
      </c>
      <c r="B70" s="2" t="str">
        <f>"13301014600"</f>
        <v>13301014600</v>
      </c>
      <c r="C70" s="2" t="s">
        <v>4429</v>
      </c>
      <c r="D70" t="s">
        <v>29</v>
      </c>
      <c r="E70" s="2" t="s">
        <v>30</v>
      </c>
      <c r="F70" s="2">
        <v>37211</v>
      </c>
      <c r="G70" s="2" t="s">
        <v>152</v>
      </c>
      <c r="H70" t="s">
        <v>280</v>
      </c>
      <c r="I70" s="6">
        <v>37679</v>
      </c>
      <c r="J70" s="2" t="s">
        <v>4430</v>
      </c>
      <c r="K70" s="2" t="s">
        <v>34</v>
      </c>
      <c r="L70" t="s">
        <v>35</v>
      </c>
      <c r="M70" t="s">
        <v>29</v>
      </c>
      <c r="N70" t="s">
        <v>30</v>
      </c>
      <c r="O70">
        <v>37219</v>
      </c>
      <c r="P70" t="s">
        <v>4431</v>
      </c>
      <c r="Q70" s="2">
        <v>2.13</v>
      </c>
      <c r="R70" s="2">
        <v>0</v>
      </c>
      <c r="S70" s="2">
        <v>0</v>
      </c>
      <c r="T70" t="s">
        <v>4432</v>
      </c>
      <c r="U70" s="6">
        <v>22734</v>
      </c>
      <c r="V70" s="2">
        <v>47037017500</v>
      </c>
      <c r="W70" s="2" t="s">
        <v>68</v>
      </c>
      <c r="X70" s="1">
        <v>45658</v>
      </c>
      <c r="Y70" s="2">
        <v>394000</v>
      </c>
      <c r="Z70" s="2">
        <v>0</v>
      </c>
      <c r="AA70" s="2">
        <v>394000</v>
      </c>
    </row>
    <row r="71" spans="1:27" x14ac:dyDescent="0.3">
      <c r="A71" s="3">
        <v>16</v>
      </c>
      <c r="B71" s="2" t="str">
        <f>"11901050300"</f>
        <v>11901050300</v>
      </c>
      <c r="C71" s="2" t="s">
        <v>4433</v>
      </c>
      <c r="D71" t="s">
        <v>29</v>
      </c>
      <c r="E71" s="2" t="s">
        <v>30</v>
      </c>
      <c r="F71" s="2">
        <v>37210</v>
      </c>
      <c r="G71" s="2" t="s">
        <v>64</v>
      </c>
      <c r="H71" t="s">
        <v>4434</v>
      </c>
      <c r="I71" s="6">
        <v>44358</v>
      </c>
      <c r="J71" s="2" t="s">
        <v>4435</v>
      </c>
      <c r="K71" s="2">
        <v>0</v>
      </c>
      <c r="L71" t="s">
        <v>85</v>
      </c>
      <c r="M71" t="s">
        <v>29</v>
      </c>
      <c r="N71" t="s">
        <v>30</v>
      </c>
      <c r="O71">
        <v>37219</v>
      </c>
      <c r="P71" t="s">
        <v>4436</v>
      </c>
      <c r="Q71" s="2">
        <v>0.14000000000000001</v>
      </c>
      <c r="R71" s="2">
        <v>50</v>
      </c>
      <c r="S71" s="2">
        <v>134</v>
      </c>
      <c r="T71" t="s">
        <v>4435</v>
      </c>
      <c r="U71" s="6">
        <v>44358</v>
      </c>
      <c r="V71" s="2">
        <v>47037017200</v>
      </c>
      <c r="W71" s="2" t="s">
        <v>837</v>
      </c>
      <c r="X71" s="1">
        <v>45658</v>
      </c>
      <c r="Y71" s="2">
        <v>108000</v>
      </c>
      <c r="Z71" s="2">
        <v>0</v>
      </c>
      <c r="AA71" s="2">
        <v>108000</v>
      </c>
    </row>
    <row r="72" spans="1:27" x14ac:dyDescent="0.3">
      <c r="A72" s="3">
        <v>16</v>
      </c>
      <c r="B72" s="2" t="str">
        <f>"133040A02300CO"</f>
        <v>133040A02300CO</v>
      </c>
      <c r="C72" s="2" t="s">
        <v>4437</v>
      </c>
      <c r="D72" t="s">
        <v>29</v>
      </c>
      <c r="E72" s="2" t="s">
        <v>30</v>
      </c>
      <c r="F72" s="2">
        <v>37211</v>
      </c>
      <c r="G72" s="2" t="s">
        <v>64</v>
      </c>
      <c r="H72" t="s">
        <v>4438</v>
      </c>
      <c r="I72" s="6">
        <v>44994</v>
      </c>
      <c r="J72" s="2" t="s">
        <v>4439</v>
      </c>
      <c r="K72" s="2">
        <v>0</v>
      </c>
      <c r="L72" t="s">
        <v>85</v>
      </c>
      <c r="M72" t="s">
        <v>29</v>
      </c>
      <c r="N72" t="s">
        <v>30</v>
      </c>
      <c r="O72">
        <v>37201</v>
      </c>
      <c r="P72" t="s">
        <v>4440</v>
      </c>
      <c r="Q72" s="2">
        <v>0.01</v>
      </c>
      <c r="R72" s="2">
        <v>8</v>
      </c>
      <c r="S72" s="2">
        <v>60</v>
      </c>
      <c r="T72" t="s">
        <v>4441</v>
      </c>
      <c r="U72" s="6">
        <v>37596</v>
      </c>
      <c r="V72" s="2">
        <v>47037017402</v>
      </c>
      <c r="W72" s="2" t="s">
        <v>68</v>
      </c>
      <c r="X72" s="1">
        <v>45658</v>
      </c>
      <c r="Y72" s="2">
        <v>200</v>
      </c>
      <c r="Z72" s="2">
        <v>0</v>
      </c>
      <c r="AA72" s="2">
        <v>200</v>
      </c>
    </row>
    <row r="73" spans="1:27" x14ac:dyDescent="0.3">
      <c r="A73" s="3">
        <v>16</v>
      </c>
      <c r="B73" s="2" t="str">
        <f>"11904001300"</f>
        <v>11904001300</v>
      </c>
      <c r="C73" s="2" t="s">
        <v>4442</v>
      </c>
      <c r="D73" t="s">
        <v>29</v>
      </c>
      <c r="E73" s="2" t="s">
        <v>30</v>
      </c>
      <c r="F73" s="2">
        <v>37211</v>
      </c>
      <c r="G73" s="2" t="s">
        <v>194</v>
      </c>
      <c r="H73" t="s">
        <v>379</v>
      </c>
      <c r="I73" s="6">
        <v>45336</v>
      </c>
      <c r="J73" s="2" t="s">
        <v>4443</v>
      </c>
      <c r="K73" s="2" t="s">
        <v>34</v>
      </c>
      <c r="L73" t="s">
        <v>1104</v>
      </c>
      <c r="M73" t="s">
        <v>29</v>
      </c>
      <c r="N73" t="s">
        <v>30</v>
      </c>
      <c r="O73">
        <v>37208</v>
      </c>
      <c r="P73" t="s">
        <v>4444</v>
      </c>
      <c r="Q73" s="2">
        <v>0.5</v>
      </c>
      <c r="R73" s="2">
        <v>90</v>
      </c>
      <c r="S73" s="2">
        <v>248</v>
      </c>
      <c r="T73" t="s">
        <v>4445</v>
      </c>
      <c r="U73" s="6">
        <v>19276</v>
      </c>
      <c r="V73" s="2">
        <v>47037015802</v>
      </c>
      <c r="W73" s="2" t="s">
        <v>68</v>
      </c>
      <c r="X73" s="1">
        <v>45658</v>
      </c>
      <c r="Y73" s="2">
        <v>76500</v>
      </c>
      <c r="Z73" s="2">
        <v>0</v>
      </c>
      <c r="AA73" s="2">
        <v>76500</v>
      </c>
    </row>
    <row r="74" spans="1:27" x14ac:dyDescent="0.3">
      <c r="A74" s="3">
        <v>16</v>
      </c>
      <c r="B74" s="2" t="str">
        <f>"11904001200"</f>
        <v>11904001200</v>
      </c>
      <c r="C74" s="2" t="s">
        <v>4446</v>
      </c>
      <c r="D74" t="s">
        <v>29</v>
      </c>
      <c r="E74" s="2" t="s">
        <v>30</v>
      </c>
      <c r="F74" s="2">
        <v>37211</v>
      </c>
      <c r="G74" s="2" t="s">
        <v>64</v>
      </c>
      <c r="H74" t="s">
        <v>379</v>
      </c>
      <c r="I74" s="6">
        <v>43872</v>
      </c>
      <c r="J74" s="2" t="s">
        <v>4447</v>
      </c>
      <c r="K74" s="2" t="s">
        <v>34</v>
      </c>
      <c r="L74" t="s">
        <v>315</v>
      </c>
      <c r="M74" t="s">
        <v>29</v>
      </c>
      <c r="N74" t="s">
        <v>30</v>
      </c>
      <c r="O74">
        <v>37208</v>
      </c>
      <c r="P74" t="s">
        <v>4448</v>
      </c>
      <c r="Q74" s="2">
        <v>0.52</v>
      </c>
      <c r="R74" s="2">
        <v>98</v>
      </c>
      <c r="S74" s="2">
        <v>246</v>
      </c>
      <c r="T74" t="s">
        <v>4449</v>
      </c>
      <c r="U74" s="6">
        <v>19282</v>
      </c>
      <c r="V74" s="2">
        <v>47037015802</v>
      </c>
      <c r="W74" s="2" t="s">
        <v>68</v>
      </c>
      <c r="X74" s="1">
        <v>45658</v>
      </c>
      <c r="Y74" s="2">
        <v>76500</v>
      </c>
      <c r="Z74" s="2">
        <v>0</v>
      </c>
      <c r="AA74" s="2">
        <v>76500</v>
      </c>
    </row>
    <row r="75" spans="1:27" x14ac:dyDescent="0.3">
      <c r="A75" s="3">
        <v>16</v>
      </c>
      <c r="B75" s="2" t="str">
        <f>"11904001000"</f>
        <v>11904001000</v>
      </c>
      <c r="C75" s="2" t="s">
        <v>4450</v>
      </c>
      <c r="D75" t="s">
        <v>29</v>
      </c>
      <c r="E75" s="2" t="s">
        <v>30</v>
      </c>
      <c r="F75" s="2">
        <v>37211</v>
      </c>
      <c r="G75" s="2" t="s">
        <v>194</v>
      </c>
      <c r="H75" t="s">
        <v>379</v>
      </c>
      <c r="I75" s="6">
        <v>45455</v>
      </c>
      <c r="J75" s="2" t="s">
        <v>4451</v>
      </c>
      <c r="K75" s="2">
        <v>0</v>
      </c>
      <c r="L75" t="s">
        <v>85</v>
      </c>
      <c r="M75" t="s">
        <v>29</v>
      </c>
      <c r="N75" t="s">
        <v>30</v>
      </c>
      <c r="O75">
        <v>37219</v>
      </c>
      <c r="P75" t="s">
        <v>4452</v>
      </c>
      <c r="Q75" s="2">
        <v>0.87</v>
      </c>
      <c r="R75" s="2">
        <v>103</v>
      </c>
      <c r="S75" s="2">
        <v>304</v>
      </c>
      <c r="T75" t="s">
        <v>4453</v>
      </c>
      <c r="U75" s="6">
        <v>20351</v>
      </c>
      <c r="V75" s="2">
        <v>47037015802</v>
      </c>
      <c r="W75" s="2" t="s">
        <v>68</v>
      </c>
      <c r="X75" s="1">
        <v>45658</v>
      </c>
      <c r="Y75" s="2">
        <v>399100</v>
      </c>
      <c r="Z75" s="2">
        <v>306500</v>
      </c>
      <c r="AA75" s="2">
        <v>92600</v>
      </c>
    </row>
    <row r="76" spans="1:27" x14ac:dyDescent="0.3">
      <c r="A76" s="3">
        <v>16</v>
      </c>
      <c r="B76" s="2" t="str">
        <f>"11904001100"</f>
        <v>11904001100</v>
      </c>
      <c r="C76" s="2" t="s">
        <v>4454</v>
      </c>
      <c r="D76" t="s">
        <v>29</v>
      </c>
      <c r="E76" s="2" t="s">
        <v>30</v>
      </c>
      <c r="F76" s="2">
        <v>37211</v>
      </c>
      <c r="G76" s="2" t="s">
        <v>64</v>
      </c>
      <c r="H76" t="s">
        <v>379</v>
      </c>
      <c r="I76" s="6">
        <v>44503</v>
      </c>
      <c r="J76" s="2" t="s">
        <v>4455</v>
      </c>
      <c r="K76" s="2" t="s">
        <v>34</v>
      </c>
      <c r="L76" t="s">
        <v>315</v>
      </c>
      <c r="M76" t="s">
        <v>29</v>
      </c>
      <c r="N76" t="s">
        <v>30</v>
      </c>
      <c r="O76">
        <v>37208</v>
      </c>
      <c r="P76" t="s">
        <v>4456</v>
      </c>
      <c r="Q76" s="2">
        <v>0.67</v>
      </c>
      <c r="R76" s="2">
        <v>102</v>
      </c>
      <c r="S76" s="2">
        <v>300</v>
      </c>
      <c r="T76" t="s">
        <v>4457</v>
      </c>
      <c r="U76" s="6">
        <v>19926</v>
      </c>
      <c r="V76" s="2">
        <v>47037015802</v>
      </c>
      <c r="W76" s="2" t="s">
        <v>68</v>
      </c>
      <c r="X76" s="1">
        <v>45658</v>
      </c>
      <c r="Y76" s="2">
        <v>76500</v>
      </c>
      <c r="Z76" s="2">
        <v>0</v>
      </c>
      <c r="AA76" s="2">
        <v>76500</v>
      </c>
    </row>
    <row r="77" spans="1:27" x14ac:dyDescent="0.3">
      <c r="A77" s="3">
        <v>16</v>
      </c>
      <c r="B77" s="2" t="str">
        <f>"11904003700"</f>
        <v>11904003700</v>
      </c>
      <c r="C77" s="2" t="s">
        <v>4458</v>
      </c>
      <c r="D77" t="s">
        <v>29</v>
      </c>
      <c r="E77" s="2" t="s">
        <v>30</v>
      </c>
      <c r="F77" s="2">
        <v>37211</v>
      </c>
      <c r="G77" s="2" t="s">
        <v>194</v>
      </c>
      <c r="H77" t="s">
        <v>379</v>
      </c>
      <c r="I77" s="6">
        <v>44967</v>
      </c>
      <c r="J77" s="2" t="s">
        <v>4459</v>
      </c>
      <c r="K77" s="2" t="s">
        <v>34</v>
      </c>
      <c r="L77" t="s">
        <v>315</v>
      </c>
      <c r="M77" t="s">
        <v>29</v>
      </c>
      <c r="N77" t="s">
        <v>30</v>
      </c>
      <c r="O77">
        <v>37208</v>
      </c>
      <c r="P77" t="s">
        <v>4460</v>
      </c>
      <c r="Q77" s="2">
        <v>0.47</v>
      </c>
      <c r="R77" s="2">
        <v>95</v>
      </c>
      <c r="S77" s="2">
        <v>227</v>
      </c>
      <c r="T77" t="s">
        <v>4461</v>
      </c>
      <c r="U77" s="6">
        <v>25381</v>
      </c>
      <c r="V77" s="2">
        <v>47037015802</v>
      </c>
      <c r="W77" s="2" t="s">
        <v>68</v>
      </c>
      <c r="X77" s="1">
        <v>45658</v>
      </c>
      <c r="Y77" s="2">
        <v>76500</v>
      </c>
      <c r="Z77" s="2">
        <v>0</v>
      </c>
      <c r="AA77" s="2">
        <v>76500</v>
      </c>
    </row>
    <row r="78" spans="1:27" x14ac:dyDescent="0.3">
      <c r="A78" s="3">
        <v>16</v>
      </c>
      <c r="B78" s="2" t="str">
        <f>"11903009500"</f>
        <v>11903009500</v>
      </c>
      <c r="C78" s="2" t="s">
        <v>4462</v>
      </c>
      <c r="D78" t="s">
        <v>29</v>
      </c>
      <c r="E78" s="2" t="s">
        <v>30</v>
      </c>
      <c r="F78" s="2">
        <v>37211</v>
      </c>
      <c r="G78" s="2" t="s">
        <v>194</v>
      </c>
      <c r="H78" t="s">
        <v>379</v>
      </c>
      <c r="I78" s="6">
        <v>44972</v>
      </c>
      <c r="J78" s="2" t="s">
        <v>4463</v>
      </c>
      <c r="K78" s="2">
        <v>0</v>
      </c>
      <c r="L78" t="s">
        <v>315</v>
      </c>
      <c r="M78" t="s">
        <v>29</v>
      </c>
      <c r="N78" t="s">
        <v>30</v>
      </c>
      <c r="O78">
        <v>37208</v>
      </c>
      <c r="P78" t="s">
        <v>4464</v>
      </c>
      <c r="Q78" s="2">
        <v>0.97</v>
      </c>
      <c r="R78" s="2">
        <v>126</v>
      </c>
      <c r="S78" s="2">
        <v>290</v>
      </c>
      <c r="T78" t="s">
        <v>4465</v>
      </c>
      <c r="U78" s="6">
        <v>23224</v>
      </c>
      <c r="V78" s="2">
        <v>47037015802</v>
      </c>
      <c r="W78" s="2" t="s">
        <v>68</v>
      </c>
      <c r="X78" s="1">
        <v>45658</v>
      </c>
      <c r="Y78" s="2">
        <v>79200</v>
      </c>
      <c r="Z78" s="2">
        <v>0</v>
      </c>
      <c r="AA78" s="2">
        <v>79200</v>
      </c>
    </row>
    <row r="79" spans="1:27" x14ac:dyDescent="0.3">
      <c r="A79" s="3">
        <v>16</v>
      </c>
      <c r="B79" s="2" t="str">
        <f>"11907003100"</f>
        <v>11907003100</v>
      </c>
      <c r="C79" s="2" t="s">
        <v>4466</v>
      </c>
      <c r="D79" t="s">
        <v>29</v>
      </c>
      <c r="E79" s="2" t="s">
        <v>30</v>
      </c>
      <c r="F79" s="2">
        <v>37211</v>
      </c>
      <c r="G79" s="2" t="s">
        <v>194</v>
      </c>
      <c r="H79" t="s">
        <v>379</v>
      </c>
      <c r="I79" s="6">
        <v>44435</v>
      </c>
      <c r="J79" s="2" t="s">
        <v>4467</v>
      </c>
      <c r="K79" s="2" t="s">
        <v>34</v>
      </c>
      <c r="L79" t="s">
        <v>315</v>
      </c>
      <c r="M79" t="s">
        <v>29</v>
      </c>
      <c r="N79" t="s">
        <v>30</v>
      </c>
      <c r="O79">
        <v>37208</v>
      </c>
      <c r="P79" t="s">
        <v>4468</v>
      </c>
      <c r="Q79" s="2">
        <v>0.83</v>
      </c>
      <c r="R79" s="2">
        <v>126</v>
      </c>
      <c r="S79" s="2">
        <v>305</v>
      </c>
      <c r="T79" t="s">
        <v>4469</v>
      </c>
      <c r="U79" s="6">
        <v>21409</v>
      </c>
      <c r="V79" s="2">
        <v>47037015802</v>
      </c>
      <c r="W79" s="2" t="s">
        <v>68</v>
      </c>
      <c r="X79" s="1">
        <v>45658</v>
      </c>
      <c r="Y79" s="2">
        <v>84200</v>
      </c>
      <c r="Z79" s="2">
        <v>0</v>
      </c>
      <c r="AA79" s="2">
        <v>84200</v>
      </c>
    </row>
    <row r="80" spans="1:27" x14ac:dyDescent="0.3">
      <c r="A80" s="3">
        <v>16</v>
      </c>
      <c r="B80" s="2" t="str">
        <f>"11908003800"</f>
        <v>11908003800</v>
      </c>
      <c r="C80" s="2" t="s">
        <v>4470</v>
      </c>
      <c r="D80" t="s">
        <v>29</v>
      </c>
      <c r="E80" s="2" t="s">
        <v>30</v>
      </c>
      <c r="F80" s="2">
        <v>37211</v>
      </c>
      <c r="G80" s="2" t="s">
        <v>194</v>
      </c>
      <c r="H80" t="s">
        <v>379</v>
      </c>
      <c r="I80" s="6">
        <v>44634</v>
      </c>
      <c r="J80" s="2" t="s">
        <v>4471</v>
      </c>
      <c r="K80" s="2" t="s">
        <v>34</v>
      </c>
      <c r="L80" t="s">
        <v>315</v>
      </c>
      <c r="M80" t="s">
        <v>29</v>
      </c>
      <c r="N80" t="s">
        <v>30</v>
      </c>
      <c r="O80">
        <v>37208</v>
      </c>
      <c r="P80" t="s">
        <v>4472</v>
      </c>
      <c r="Q80" s="2">
        <v>0.61</v>
      </c>
      <c r="R80" s="2">
        <v>99</v>
      </c>
      <c r="S80" s="2">
        <v>279</v>
      </c>
      <c r="T80" t="s">
        <v>4473</v>
      </c>
      <c r="U80" s="6">
        <v>21376</v>
      </c>
      <c r="V80" s="2">
        <v>47037015802</v>
      </c>
      <c r="W80" s="2" t="s">
        <v>68</v>
      </c>
      <c r="X80" s="1">
        <v>45658</v>
      </c>
      <c r="Y80" s="2">
        <v>76500</v>
      </c>
      <c r="Z80" s="2">
        <v>0</v>
      </c>
      <c r="AA80" s="2">
        <v>76500</v>
      </c>
    </row>
    <row r="81" spans="1:27" x14ac:dyDescent="0.3">
      <c r="A81" s="3">
        <v>16</v>
      </c>
      <c r="B81" s="2" t="str">
        <f>"11908003900"</f>
        <v>11908003900</v>
      </c>
      <c r="C81" s="2" t="s">
        <v>4474</v>
      </c>
      <c r="D81" t="s">
        <v>29</v>
      </c>
      <c r="E81" s="2" t="s">
        <v>30</v>
      </c>
      <c r="F81" s="2">
        <v>37211</v>
      </c>
      <c r="G81" s="2" t="s">
        <v>194</v>
      </c>
      <c r="H81" t="s">
        <v>379</v>
      </c>
      <c r="I81" s="6">
        <v>44314</v>
      </c>
      <c r="J81" s="2" t="s">
        <v>4475</v>
      </c>
      <c r="K81" s="2" t="s">
        <v>34</v>
      </c>
      <c r="L81" t="s">
        <v>315</v>
      </c>
      <c r="M81" t="s">
        <v>29</v>
      </c>
      <c r="N81" t="s">
        <v>30</v>
      </c>
      <c r="O81">
        <v>37208</v>
      </c>
      <c r="P81" t="s">
        <v>4476</v>
      </c>
      <c r="Q81" s="2">
        <v>0.6</v>
      </c>
      <c r="R81" s="2">
        <v>90</v>
      </c>
      <c r="S81" s="2">
        <v>282</v>
      </c>
      <c r="T81" t="s">
        <v>4477</v>
      </c>
      <c r="U81" s="6">
        <v>21597</v>
      </c>
      <c r="V81" s="2">
        <v>47037015802</v>
      </c>
      <c r="W81" s="2" t="s">
        <v>68</v>
      </c>
      <c r="X81" s="1">
        <v>45658</v>
      </c>
      <c r="Y81" s="2">
        <v>76500</v>
      </c>
      <c r="Z81" s="2">
        <v>0</v>
      </c>
      <c r="AA81" s="2">
        <v>76500</v>
      </c>
    </row>
    <row r="82" spans="1:27" x14ac:dyDescent="0.3">
      <c r="A82" s="3">
        <v>16</v>
      </c>
      <c r="B82" s="2" t="str">
        <f>"11908004000"</f>
        <v>11908004000</v>
      </c>
      <c r="C82" s="2" t="s">
        <v>4478</v>
      </c>
      <c r="D82" t="s">
        <v>29</v>
      </c>
      <c r="E82" s="2" t="s">
        <v>30</v>
      </c>
      <c r="F82" s="2">
        <v>37211</v>
      </c>
      <c r="G82" s="2" t="s">
        <v>64</v>
      </c>
      <c r="H82" t="s">
        <v>379</v>
      </c>
      <c r="I82" s="6">
        <v>43896</v>
      </c>
      <c r="J82" s="2" t="s">
        <v>4479</v>
      </c>
      <c r="K82" s="2" t="s">
        <v>34</v>
      </c>
      <c r="L82" t="s">
        <v>315</v>
      </c>
      <c r="M82" t="s">
        <v>29</v>
      </c>
      <c r="N82" t="s">
        <v>30</v>
      </c>
      <c r="O82">
        <v>37208</v>
      </c>
      <c r="P82" t="s">
        <v>4480</v>
      </c>
      <c r="Q82" s="2">
        <v>0.75</v>
      </c>
      <c r="R82" s="2">
        <v>90</v>
      </c>
      <c r="S82" s="2">
        <v>304</v>
      </c>
      <c r="T82" t="s">
        <v>4481</v>
      </c>
      <c r="U82" s="6">
        <v>21611</v>
      </c>
      <c r="V82" s="2">
        <v>47037015802</v>
      </c>
      <c r="W82" s="2" t="s">
        <v>68</v>
      </c>
      <c r="X82" s="1">
        <v>45658</v>
      </c>
      <c r="Y82" s="2">
        <v>84200</v>
      </c>
      <c r="Z82" s="2">
        <v>0</v>
      </c>
      <c r="AA82" s="2">
        <v>84200</v>
      </c>
    </row>
    <row r="83" spans="1:27" x14ac:dyDescent="0.3">
      <c r="A83" s="3">
        <v>16</v>
      </c>
      <c r="B83" s="2" t="str">
        <f>"11908007800"</f>
        <v>11908007800</v>
      </c>
      <c r="C83" s="2" t="s">
        <v>4482</v>
      </c>
      <c r="D83" t="s">
        <v>29</v>
      </c>
      <c r="E83" s="2" t="s">
        <v>30</v>
      </c>
      <c r="F83" s="2">
        <v>37217</v>
      </c>
      <c r="G83" s="2" t="s">
        <v>194</v>
      </c>
      <c r="H83" t="s">
        <v>379</v>
      </c>
      <c r="I83" s="6">
        <v>44627</v>
      </c>
      <c r="J83" s="2" t="s">
        <v>4483</v>
      </c>
      <c r="K83" s="2" t="s">
        <v>34</v>
      </c>
      <c r="L83" t="s">
        <v>315</v>
      </c>
      <c r="M83" t="s">
        <v>29</v>
      </c>
      <c r="N83" t="s">
        <v>30</v>
      </c>
      <c r="O83">
        <v>37208</v>
      </c>
      <c r="P83" t="s">
        <v>4484</v>
      </c>
      <c r="Q83" s="2">
        <v>0.82</v>
      </c>
      <c r="R83" s="2">
        <v>120</v>
      </c>
      <c r="S83" s="2">
        <v>446</v>
      </c>
      <c r="T83" t="s">
        <v>4485</v>
      </c>
      <c r="U83" s="6">
        <v>20800</v>
      </c>
      <c r="V83" s="2">
        <v>47037015802</v>
      </c>
      <c r="W83" s="2" t="s">
        <v>68</v>
      </c>
      <c r="X83" s="1">
        <v>45658</v>
      </c>
      <c r="Y83" s="2">
        <v>115000</v>
      </c>
      <c r="Z83" s="2">
        <v>0</v>
      </c>
      <c r="AA83" s="2">
        <v>115000</v>
      </c>
    </row>
    <row r="84" spans="1:27" x14ac:dyDescent="0.3">
      <c r="A84" s="3">
        <v>16</v>
      </c>
      <c r="B84" s="2" t="str">
        <f>"11908007900"</f>
        <v>11908007900</v>
      </c>
      <c r="C84" s="2" t="s">
        <v>4486</v>
      </c>
      <c r="D84" t="s">
        <v>29</v>
      </c>
      <c r="E84" s="2" t="s">
        <v>30</v>
      </c>
      <c r="F84" s="2">
        <v>37217</v>
      </c>
      <c r="G84" s="2" t="s">
        <v>194</v>
      </c>
      <c r="H84" t="s">
        <v>379</v>
      </c>
      <c r="I84" s="6">
        <v>44627</v>
      </c>
      <c r="J84" s="2" t="s">
        <v>4487</v>
      </c>
      <c r="K84" s="2" t="s">
        <v>34</v>
      </c>
      <c r="L84" t="s">
        <v>315</v>
      </c>
      <c r="M84" t="s">
        <v>29</v>
      </c>
      <c r="N84" t="s">
        <v>30</v>
      </c>
      <c r="O84">
        <v>37208</v>
      </c>
      <c r="P84" t="s">
        <v>4488</v>
      </c>
      <c r="Q84" s="2">
        <v>1.08</v>
      </c>
      <c r="R84" s="2">
        <v>150</v>
      </c>
      <c r="S84" s="2">
        <v>431</v>
      </c>
      <c r="T84" t="s">
        <v>4489</v>
      </c>
      <c r="U84" s="6">
        <v>26641</v>
      </c>
      <c r="V84" s="2">
        <v>47037015802</v>
      </c>
      <c r="W84" s="2" t="s">
        <v>68</v>
      </c>
      <c r="X84" s="1">
        <v>45658</v>
      </c>
      <c r="Y84" s="2">
        <v>120300</v>
      </c>
      <c r="Z84" s="2">
        <v>0</v>
      </c>
      <c r="AA84" s="2">
        <v>120300</v>
      </c>
    </row>
    <row r="85" spans="1:27" x14ac:dyDescent="0.3">
      <c r="A85" s="3">
        <v>16</v>
      </c>
      <c r="B85" s="2" t="str">
        <f>"11908008000"</f>
        <v>11908008000</v>
      </c>
      <c r="C85" s="2" t="s">
        <v>4490</v>
      </c>
      <c r="D85" t="s">
        <v>29</v>
      </c>
      <c r="E85" s="2" t="s">
        <v>30</v>
      </c>
      <c r="F85" s="2">
        <v>37217</v>
      </c>
      <c r="G85" s="2" t="s">
        <v>194</v>
      </c>
      <c r="H85" t="s">
        <v>379</v>
      </c>
      <c r="I85" s="6">
        <v>45091</v>
      </c>
      <c r="J85" s="2" t="s">
        <v>4491</v>
      </c>
      <c r="K85" s="2" t="s">
        <v>34</v>
      </c>
      <c r="L85" t="s">
        <v>315</v>
      </c>
      <c r="M85" t="s">
        <v>29</v>
      </c>
      <c r="N85" t="s">
        <v>30</v>
      </c>
      <c r="O85">
        <v>37208</v>
      </c>
      <c r="P85" t="s">
        <v>4492</v>
      </c>
      <c r="Q85" s="2">
        <v>0.88</v>
      </c>
      <c r="R85" s="2">
        <v>120</v>
      </c>
      <c r="S85" s="2">
        <v>349</v>
      </c>
      <c r="T85" t="s">
        <v>4493</v>
      </c>
      <c r="U85" s="6">
        <v>26927</v>
      </c>
      <c r="V85" s="2">
        <v>47037015802</v>
      </c>
      <c r="W85" s="2" t="s">
        <v>68</v>
      </c>
      <c r="X85" s="1">
        <v>45658</v>
      </c>
      <c r="Y85" s="2">
        <v>115000</v>
      </c>
      <c r="Z85" s="2">
        <v>0</v>
      </c>
      <c r="AA85" s="2">
        <v>115000</v>
      </c>
    </row>
    <row r="86" spans="1:27" x14ac:dyDescent="0.3">
      <c r="A86" s="3">
        <v>16</v>
      </c>
      <c r="B86" s="2" t="str">
        <f>"11908008100"</f>
        <v>11908008100</v>
      </c>
      <c r="C86" s="2" t="s">
        <v>4494</v>
      </c>
      <c r="D86" t="s">
        <v>29</v>
      </c>
      <c r="E86" s="2" t="s">
        <v>30</v>
      </c>
      <c r="F86" s="2">
        <v>37217</v>
      </c>
      <c r="G86" s="2" t="s">
        <v>64</v>
      </c>
      <c r="H86" t="s">
        <v>379</v>
      </c>
      <c r="I86" s="6">
        <v>43992</v>
      </c>
      <c r="J86" s="2" t="s">
        <v>4495</v>
      </c>
      <c r="K86" s="2" t="s">
        <v>34</v>
      </c>
      <c r="L86" t="s">
        <v>315</v>
      </c>
      <c r="M86" t="s">
        <v>29</v>
      </c>
      <c r="N86" t="s">
        <v>30</v>
      </c>
      <c r="O86">
        <v>37208</v>
      </c>
      <c r="P86" t="s">
        <v>4496</v>
      </c>
      <c r="Q86" s="2">
        <v>0.99</v>
      </c>
      <c r="R86" s="2">
        <v>199</v>
      </c>
      <c r="S86" s="2">
        <v>349</v>
      </c>
      <c r="T86" t="s">
        <v>4497</v>
      </c>
      <c r="U86" s="6">
        <v>26372</v>
      </c>
      <c r="V86" s="2">
        <v>47037015802</v>
      </c>
      <c r="W86" s="2" t="s">
        <v>68</v>
      </c>
      <c r="X86" s="1">
        <v>45658</v>
      </c>
      <c r="Y86" s="2">
        <v>115000</v>
      </c>
      <c r="Z86" s="2">
        <v>0</v>
      </c>
      <c r="AA86" s="2">
        <v>115000</v>
      </c>
    </row>
    <row r="87" spans="1:27" x14ac:dyDescent="0.3">
      <c r="A87" s="3">
        <v>16</v>
      </c>
      <c r="B87" s="2" t="str">
        <f>"10600017400"</f>
        <v>10600017400</v>
      </c>
      <c r="C87" s="2" t="s">
        <v>4498</v>
      </c>
      <c r="D87" t="s">
        <v>29</v>
      </c>
      <c r="E87" s="2" t="s">
        <v>30</v>
      </c>
      <c r="F87" s="2">
        <v>37210</v>
      </c>
      <c r="G87" s="2" t="s">
        <v>64</v>
      </c>
      <c r="H87" t="s">
        <v>4499</v>
      </c>
      <c r="I87" s="6">
        <v>41694</v>
      </c>
      <c r="J87" s="2" t="s">
        <v>4500</v>
      </c>
      <c r="K87" s="2">
        <v>0</v>
      </c>
      <c r="L87" t="s">
        <v>4501</v>
      </c>
      <c r="M87" t="s">
        <v>29</v>
      </c>
      <c r="N87" t="s">
        <v>30</v>
      </c>
      <c r="O87">
        <v>37204</v>
      </c>
      <c r="P87" t="s">
        <v>4502</v>
      </c>
      <c r="Q87" s="2">
        <v>18.940000000000001</v>
      </c>
      <c r="R87" s="2">
        <v>802</v>
      </c>
      <c r="S87" s="2">
        <v>0</v>
      </c>
      <c r="T87" t="s">
        <v>4215</v>
      </c>
      <c r="U87" s="6">
        <v>41627</v>
      </c>
      <c r="V87" s="2">
        <v>47037015900</v>
      </c>
      <c r="W87" s="2" t="s">
        <v>68</v>
      </c>
      <c r="X87" s="1">
        <v>45658</v>
      </c>
      <c r="Y87" s="2">
        <v>1856900</v>
      </c>
      <c r="Z87" s="2">
        <v>0</v>
      </c>
      <c r="AA87" s="2">
        <v>1856900</v>
      </c>
    </row>
    <row r="88" spans="1:27" x14ac:dyDescent="0.3">
      <c r="A88" s="3">
        <v>16</v>
      </c>
      <c r="B88" s="2" t="str">
        <f>"10512003600"</f>
        <v>10512003600</v>
      </c>
      <c r="C88" s="2" t="s">
        <v>4503</v>
      </c>
      <c r="D88" t="s">
        <v>29</v>
      </c>
      <c r="E88" s="2" t="s">
        <v>30</v>
      </c>
      <c r="F88" s="2">
        <v>37210</v>
      </c>
      <c r="G88" s="2" t="s">
        <v>1471</v>
      </c>
      <c r="H88" t="s">
        <v>4504</v>
      </c>
      <c r="I88" s="6">
        <v>45499</v>
      </c>
      <c r="J88" s="2" t="s">
        <v>4505</v>
      </c>
      <c r="K88" s="2" t="s">
        <v>34</v>
      </c>
      <c r="L88" t="s">
        <v>35</v>
      </c>
      <c r="M88" t="s">
        <v>29</v>
      </c>
      <c r="N88" t="s">
        <v>30</v>
      </c>
      <c r="O88">
        <v>37219</v>
      </c>
      <c r="P88" t="s">
        <v>4506</v>
      </c>
      <c r="Q88" s="2">
        <v>0.25</v>
      </c>
      <c r="R88" s="2">
        <v>70</v>
      </c>
      <c r="S88" s="2">
        <v>160</v>
      </c>
      <c r="T88" t="s">
        <v>4419</v>
      </c>
      <c r="U88" s="6">
        <v>27572</v>
      </c>
      <c r="V88" s="2">
        <v>47037017200</v>
      </c>
      <c r="W88" s="2" t="s">
        <v>68</v>
      </c>
      <c r="X88" s="1">
        <v>45658</v>
      </c>
      <c r="Y88" s="2">
        <v>1504000</v>
      </c>
      <c r="Z88" s="2">
        <v>1231700</v>
      </c>
      <c r="AA88" s="2">
        <v>272300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24F3A-9E67-4CA7-A229-36219D254566}">
  <sheetPr>
    <tabColor rgb="FF002060"/>
  </sheetPr>
  <dimension ref="A1:AA80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17</v>
      </c>
      <c r="B2" s="2" t="str">
        <f>"10504031900"</f>
        <v>10504031900</v>
      </c>
      <c r="C2" s="2" t="s">
        <v>4507</v>
      </c>
      <c r="D2" t="s">
        <v>29</v>
      </c>
      <c r="E2" s="2" t="s">
        <v>30</v>
      </c>
      <c r="F2" s="2">
        <v>37210</v>
      </c>
      <c r="G2" s="2" t="s">
        <v>1485</v>
      </c>
      <c r="H2" t="s">
        <v>32</v>
      </c>
      <c r="I2" s="6">
        <v>38435</v>
      </c>
      <c r="J2" s="2" t="s">
        <v>4508</v>
      </c>
      <c r="K2" s="2">
        <v>522</v>
      </c>
      <c r="L2" t="s">
        <v>35</v>
      </c>
      <c r="M2" t="s">
        <v>29</v>
      </c>
      <c r="N2" t="s">
        <v>30</v>
      </c>
      <c r="O2">
        <v>37219</v>
      </c>
      <c r="P2" t="s">
        <v>4509</v>
      </c>
      <c r="Q2" s="2">
        <v>0.05</v>
      </c>
      <c r="R2" s="2">
        <v>30</v>
      </c>
      <c r="S2" s="2">
        <v>85</v>
      </c>
      <c r="T2" t="s">
        <v>4510</v>
      </c>
      <c r="U2" s="6">
        <v>26078</v>
      </c>
      <c r="V2" s="2">
        <v>47037016000</v>
      </c>
      <c r="W2" s="2" t="s">
        <v>68</v>
      </c>
      <c r="X2" s="1">
        <v>45658</v>
      </c>
      <c r="Y2" s="2">
        <v>6600</v>
      </c>
      <c r="Z2" s="2">
        <v>0</v>
      </c>
      <c r="AA2" s="2">
        <v>6600</v>
      </c>
    </row>
    <row r="3" spans="1:27" x14ac:dyDescent="0.3">
      <c r="A3" s="3">
        <v>17</v>
      </c>
      <c r="B3" s="2" t="str">
        <f>"10516020700"</f>
        <v>10516020700</v>
      </c>
      <c r="C3" s="2" t="s">
        <v>4511</v>
      </c>
      <c r="D3" t="s">
        <v>29</v>
      </c>
      <c r="E3" s="2" t="s">
        <v>30</v>
      </c>
      <c r="F3" s="2">
        <v>37211</v>
      </c>
      <c r="G3" s="2" t="s">
        <v>41</v>
      </c>
      <c r="H3" t="s">
        <v>32</v>
      </c>
      <c r="I3" s="6">
        <v>42156</v>
      </c>
      <c r="J3" s="2" t="s">
        <v>4512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4513</v>
      </c>
      <c r="Q3" s="2">
        <v>0.62</v>
      </c>
      <c r="R3" s="2">
        <v>51</v>
      </c>
      <c r="S3" s="2">
        <v>515</v>
      </c>
      <c r="T3" t="s">
        <v>278</v>
      </c>
      <c r="U3" s="6">
        <v>34336</v>
      </c>
      <c r="V3" s="2">
        <v>47037017200</v>
      </c>
      <c r="W3" s="2" t="s">
        <v>68</v>
      </c>
      <c r="X3" s="1">
        <v>45658</v>
      </c>
      <c r="Y3" s="2">
        <v>1615800</v>
      </c>
      <c r="Z3" s="2">
        <v>0</v>
      </c>
      <c r="AA3" s="2">
        <v>1615800</v>
      </c>
    </row>
    <row r="4" spans="1:27" x14ac:dyDescent="0.3">
      <c r="A4" s="3">
        <v>17</v>
      </c>
      <c r="B4" s="2" t="str">
        <f>"10516020900"</f>
        <v>10516020900</v>
      </c>
      <c r="C4" s="2" t="s">
        <v>4514</v>
      </c>
      <c r="D4" t="s">
        <v>29</v>
      </c>
      <c r="E4" s="2" t="s">
        <v>30</v>
      </c>
      <c r="F4" s="2">
        <v>37211</v>
      </c>
      <c r="G4" s="2" t="s">
        <v>41</v>
      </c>
      <c r="H4" t="s">
        <v>32</v>
      </c>
      <c r="I4" s="6">
        <v>42156</v>
      </c>
      <c r="J4" s="2" t="s">
        <v>4512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4515</v>
      </c>
      <c r="Q4" s="2">
        <v>0.18</v>
      </c>
      <c r="R4" s="2">
        <v>54</v>
      </c>
      <c r="S4" s="2">
        <v>150</v>
      </c>
      <c r="T4" t="s">
        <v>278</v>
      </c>
      <c r="U4" s="6">
        <v>34336</v>
      </c>
      <c r="V4" s="2">
        <v>47037017200</v>
      </c>
      <c r="W4" s="2" t="s">
        <v>68</v>
      </c>
      <c r="X4" s="1">
        <v>45658</v>
      </c>
      <c r="Y4" s="2">
        <v>324000</v>
      </c>
      <c r="Z4" s="2">
        <v>0</v>
      </c>
      <c r="AA4" s="2">
        <v>324000</v>
      </c>
    </row>
    <row r="5" spans="1:27" x14ac:dyDescent="0.3">
      <c r="A5" s="3">
        <v>17</v>
      </c>
      <c r="B5" s="2" t="str">
        <f>"10509028600"</f>
        <v>10509028600</v>
      </c>
      <c r="C5" s="2" t="s">
        <v>4516</v>
      </c>
      <c r="D5" t="s">
        <v>29</v>
      </c>
      <c r="E5" s="2" t="s">
        <v>30</v>
      </c>
      <c r="F5" s="2">
        <v>37203</v>
      </c>
      <c r="G5" s="2" t="s">
        <v>64</v>
      </c>
      <c r="H5" t="s">
        <v>32</v>
      </c>
      <c r="I5" s="6">
        <v>42684</v>
      </c>
      <c r="J5" s="2" t="s">
        <v>4517</v>
      </c>
      <c r="K5" s="2" t="s">
        <v>34</v>
      </c>
      <c r="L5" t="s">
        <v>35</v>
      </c>
      <c r="M5" t="s">
        <v>29</v>
      </c>
      <c r="N5" t="s">
        <v>30</v>
      </c>
      <c r="O5">
        <v>37219</v>
      </c>
      <c r="P5" t="s">
        <v>4518</v>
      </c>
      <c r="Q5" s="2">
        <v>0.24</v>
      </c>
      <c r="R5" s="2">
        <v>384</v>
      </c>
      <c r="S5" s="2">
        <v>70</v>
      </c>
      <c r="T5" t="s">
        <v>4519</v>
      </c>
      <c r="U5" s="6">
        <v>43080</v>
      </c>
      <c r="V5" s="2">
        <v>47037016200</v>
      </c>
      <c r="W5" s="2" t="s">
        <v>68</v>
      </c>
      <c r="X5" s="1">
        <v>45658</v>
      </c>
      <c r="Y5" s="2">
        <v>480000</v>
      </c>
      <c r="Z5" s="2">
        <v>0</v>
      </c>
      <c r="AA5" s="2">
        <v>480000</v>
      </c>
    </row>
    <row r="6" spans="1:27" x14ac:dyDescent="0.3">
      <c r="A6" s="3">
        <v>17</v>
      </c>
      <c r="B6" s="2" t="str">
        <f>"09316001900"</f>
        <v>09316001900</v>
      </c>
      <c r="C6" s="2" t="s">
        <v>4520</v>
      </c>
      <c r="D6" t="s">
        <v>29</v>
      </c>
      <c r="E6" s="2" t="s">
        <v>30</v>
      </c>
      <c r="F6" s="2">
        <v>37210</v>
      </c>
      <c r="G6" s="2" t="s">
        <v>901</v>
      </c>
      <c r="H6" t="s">
        <v>32</v>
      </c>
      <c r="I6" s="6">
        <v>36220</v>
      </c>
      <c r="J6" s="2" t="s">
        <v>4521</v>
      </c>
      <c r="K6" s="2">
        <v>16000</v>
      </c>
      <c r="L6" t="s">
        <v>35</v>
      </c>
      <c r="M6" t="s">
        <v>29</v>
      </c>
      <c r="N6" t="s">
        <v>30</v>
      </c>
      <c r="O6">
        <v>37219</v>
      </c>
      <c r="P6" t="s">
        <v>4522</v>
      </c>
      <c r="Q6" s="2">
        <v>0.72</v>
      </c>
      <c r="R6" s="2">
        <v>210</v>
      </c>
      <c r="S6" s="2">
        <v>150</v>
      </c>
      <c r="T6" t="s">
        <v>278</v>
      </c>
      <c r="U6" s="6">
        <v>35678</v>
      </c>
      <c r="V6" s="2">
        <v>47037014800</v>
      </c>
      <c r="W6" s="2" t="s">
        <v>68</v>
      </c>
      <c r="X6" s="1">
        <v>45658</v>
      </c>
      <c r="Y6" s="2">
        <v>300000</v>
      </c>
      <c r="Z6" s="2">
        <v>0</v>
      </c>
      <c r="AA6" s="2">
        <v>300000</v>
      </c>
    </row>
    <row r="7" spans="1:27" x14ac:dyDescent="0.3">
      <c r="A7" s="3">
        <v>17</v>
      </c>
      <c r="B7" s="2" t="str">
        <f>"10506025600"</f>
        <v>10506025600</v>
      </c>
      <c r="C7" s="2" t="s">
        <v>4523</v>
      </c>
      <c r="D7" t="s">
        <v>29</v>
      </c>
      <c r="E7" s="2" t="s">
        <v>30</v>
      </c>
      <c r="F7" s="2">
        <v>37203</v>
      </c>
      <c r="G7" s="2" t="s">
        <v>1485</v>
      </c>
      <c r="H7" t="s">
        <v>32</v>
      </c>
      <c r="I7" s="6">
        <v>33</v>
      </c>
      <c r="J7" s="2" t="s">
        <v>4524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4525</v>
      </c>
      <c r="Q7" s="2">
        <v>0.3</v>
      </c>
      <c r="R7" s="2">
        <v>100</v>
      </c>
      <c r="S7" s="2">
        <v>150</v>
      </c>
      <c r="T7" t="s">
        <v>4524</v>
      </c>
      <c r="U7" s="6">
        <v>33</v>
      </c>
      <c r="V7" s="2">
        <v>47037016100</v>
      </c>
      <c r="W7" s="2" t="s">
        <v>68</v>
      </c>
      <c r="X7" s="1">
        <v>45658</v>
      </c>
      <c r="Y7" s="2">
        <v>1960200</v>
      </c>
      <c r="Z7" s="2">
        <v>0</v>
      </c>
      <c r="AA7" s="2">
        <v>1960200</v>
      </c>
    </row>
    <row r="8" spans="1:27" x14ac:dyDescent="0.3">
      <c r="A8" s="3">
        <v>17</v>
      </c>
      <c r="B8" s="2" t="str">
        <f>"09316028400"</f>
        <v>09316028400</v>
      </c>
      <c r="C8" s="2" t="s">
        <v>4526</v>
      </c>
      <c r="D8" t="s">
        <v>29</v>
      </c>
      <c r="E8" s="2" t="s">
        <v>30</v>
      </c>
      <c r="F8" s="2">
        <v>37210</v>
      </c>
      <c r="G8" s="2" t="s">
        <v>64</v>
      </c>
      <c r="H8" t="s">
        <v>99</v>
      </c>
      <c r="I8" s="6">
        <v>35977</v>
      </c>
      <c r="J8" s="2" t="s">
        <v>4527</v>
      </c>
      <c r="K8" s="2">
        <v>325</v>
      </c>
      <c r="L8" t="s">
        <v>35</v>
      </c>
      <c r="M8" t="s">
        <v>29</v>
      </c>
      <c r="N8" t="s">
        <v>30</v>
      </c>
      <c r="O8">
        <v>37219</v>
      </c>
      <c r="P8" t="s">
        <v>4528</v>
      </c>
      <c r="Q8" s="2">
        <v>0.02</v>
      </c>
      <c r="R8" s="2">
        <v>50</v>
      </c>
      <c r="S8" s="2">
        <v>50</v>
      </c>
      <c r="T8" t="s">
        <v>4529</v>
      </c>
      <c r="U8" s="6">
        <v>21667</v>
      </c>
      <c r="V8" s="2">
        <v>47037014800</v>
      </c>
      <c r="W8" s="2" t="s">
        <v>68</v>
      </c>
      <c r="X8" s="1">
        <v>45658</v>
      </c>
      <c r="Y8" s="2">
        <v>800</v>
      </c>
      <c r="Z8" s="2">
        <v>0</v>
      </c>
      <c r="AA8" s="2">
        <v>800</v>
      </c>
    </row>
    <row r="9" spans="1:27" x14ac:dyDescent="0.3">
      <c r="A9" s="3">
        <v>17</v>
      </c>
      <c r="B9" s="2" t="str">
        <f>"09316028500"</f>
        <v>09316028500</v>
      </c>
      <c r="C9" s="2" t="s">
        <v>4526</v>
      </c>
      <c r="D9" t="s">
        <v>29</v>
      </c>
      <c r="E9" s="2" t="s">
        <v>30</v>
      </c>
      <c r="F9" s="2">
        <v>37210</v>
      </c>
      <c r="G9" s="2" t="s">
        <v>64</v>
      </c>
      <c r="H9" t="s">
        <v>99</v>
      </c>
      <c r="I9" s="6">
        <v>36508</v>
      </c>
      <c r="J9" s="2" t="s">
        <v>4530</v>
      </c>
      <c r="K9" s="2">
        <v>312</v>
      </c>
      <c r="L9" t="s">
        <v>35</v>
      </c>
      <c r="M9" t="s">
        <v>29</v>
      </c>
      <c r="N9" t="s">
        <v>30</v>
      </c>
      <c r="O9">
        <v>37219</v>
      </c>
      <c r="P9" t="s">
        <v>4531</v>
      </c>
      <c r="Q9" s="2">
        <v>0.04</v>
      </c>
      <c r="R9" s="2">
        <v>45</v>
      </c>
      <c r="S9" s="2">
        <v>49</v>
      </c>
      <c r="T9" t="s">
        <v>4532</v>
      </c>
      <c r="U9" s="6">
        <v>21894</v>
      </c>
      <c r="V9" s="2">
        <v>47037014800</v>
      </c>
      <c r="W9" s="2" t="s">
        <v>68</v>
      </c>
      <c r="X9" s="1">
        <v>45658</v>
      </c>
      <c r="Y9" s="2">
        <v>800</v>
      </c>
      <c r="Z9" s="2">
        <v>0</v>
      </c>
      <c r="AA9" s="2">
        <v>800</v>
      </c>
    </row>
    <row r="10" spans="1:27" x14ac:dyDescent="0.3">
      <c r="A10" s="3">
        <v>17</v>
      </c>
      <c r="B10" s="2" t="str">
        <f>"10504031000"</f>
        <v>10504031000</v>
      </c>
      <c r="C10" s="2" t="s">
        <v>4507</v>
      </c>
      <c r="D10" t="s">
        <v>29</v>
      </c>
      <c r="E10" s="2" t="s">
        <v>30</v>
      </c>
      <c r="F10" s="2">
        <v>37210</v>
      </c>
      <c r="G10" s="2" t="s">
        <v>41</v>
      </c>
      <c r="H10" t="s">
        <v>99</v>
      </c>
      <c r="I10" s="6">
        <v>41444</v>
      </c>
      <c r="J10" s="2" t="s">
        <v>4533</v>
      </c>
      <c r="K10" s="2">
        <v>498</v>
      </c>
      <c r="L10" t="s">
        <v>4534</v>
      </c>
      <c r="M10" t="s">
        <v>29</v>
      </c>
      <c r="N10" t="s">
        <v>30</v>
      </c>
      <c r="O10">
        <v>37219</v>
      </c>
      <c r="P10" t="s">
        <v>4535</v>
      </c>
      <c r="Q10" s="2">
        <v>0.02</v>
      </c>
      <c r="R10" s="2">
        <v>25</v>
      </c>
      <c r="S10" s="2">
        <v>85</v>
      </c>
      <c r="T10" t="s">
        <v>4536</v>
      </c>
      <c r="U10" s="6">
        <v>28004</v>
      </c>
      <c r="V10" s="2">
        <v>47037016000</v>
      </c>
      <c r="W10" s="2" t="s">
        <v>68</v>
      </c>
      <c r="X10" s="1">
        <v>45658</v>
      </c>
      <c r="Y10" s="2">
        <v>5500</v>
      </c>
      <c r="Z10" s="2">
        <v>0</v>
      </c>
      <c r="AA10" s="2">
        <v>5500</v>
      </c>
    </row>
    <row r="11" spans="1:27" x14ac:dyDescent="0.3">
      <c r="A11" s="3">
        <v>17</v>
      </c>
      <c r="B11" s="2" t="str">
        <f>"10504031100"</f>
        <v>10504031100</v>
      </c>
      <c r="C11" s="2" t="s">
        <v>4537</v>
      </c>
      <c r="D11" t="s">
        <v>29</v>
      </c>
      <c r="E11" s="2" t="s">
        <v>30</v>
      </c>
      <c r="F11" s="2">
        <v>37210</v>
      </c>
      <c r="G11" s="2" t="s">
        <v>1485</v>
      </c>
      <c r="H11" t="s">
        <v>99</v>
      </c>
      <c r="I11" s="6">
        <v>41444</v>
      </c>
      <c r="J11" s="2" t="s">
        <v>4538</v>
      </c>
      <c r="K11" s="2">
        <v>498</v>
      </c>
      <c r="L11" t="s">
        <v>35</v>
      </c>
      <c r="M11" t="s">
        <v>29</v>
      </c>
      <c r="N11" t="s">
        <v>30</v>
      </c>
      <c r="O11">
        <v>37219</v>
      </c>
      <c r="P11" t="s">
        <v>4535</v>
      </c>
      <c r="Q11" s="2">
        <v>0.09</v>
      </c>
      <c r="R11" s="2">
        <v>50</v>
      </c>
      <c r="S11" s="2">
        <v>85</v>
      </c>
      <c r="T11" t="s">
        <v>4539</v>
      </c>
      <c r="U11" s="6">
        <v>167</v>
      </c>
      <c r="V11" s="2">
        <v>47037016000</v>
      </c>
      <c r="W11" s="2" t="s">
        <v>68</v>
      </c>
      <c r="X11" s="1">
        <v>45658</v>
      </c>
      <c r="Y11" s="2">
        <v>11100</v>
      </c>
      <c r="Z11" s="2">
        <v>0</v>
      </c>
      <c r="AA11" s="2">
        <v>11100</v>
      </c>
    </row>
    <row r="12" spans="1:27" x14ac:dyDescent="0.3">
      <c r="A12" s="3">
        <v>17</v>
      </c>
      <c r="B12" s="2" t="str">
        <f>"10504027700"</f>
        <v>10504027700</v>
      </c>
      <c r="C12" s="2" t="s">
        <v>4540</v>
      </c>
      <c r="D12" t="s">
        <v>29</v>
      </c>
      <c r="E12" s="2" t="s">
        <v>30</v>
      </c>
      <c r="F12" s="2">
        <v>37210</v>
      </c>
      <c r="G12" s="2" t="s">
        <v>64</v>
      </c>
      <c r="H12" t="s">
        <v>99</v>
      </c>
      <c r="I12" s="6">
        <v>41198</v>
      </c>
      <c r="J12" s="2" t="s">
        <v>4541</v>
      </c>
      <c r="K12" s="2">
        <v>26284</v>
      </c>
      <c r="L12" t="s">
        <v>35</v>
      </c>
      <c r="M12" t="s">
        <v>29</v>
      </c>
      <c r="N12" t="s">
        <v>30</v>
      </c>
      <c r="O12">
        <v>37219</v>
      </c>
      <c r="P12" t="s">
        <v>4542</v>
      </c>
      <c r="Q12" s="2">
        <v>0.48</v>
      </c>
      <c r="R12" s="2">
        <v>105</v>
      </c>
      <c r="S12" s="2">
        <v>200</v>
      </c>
      <c r="T12" t="s">
        <v>4543</v>
      </c>
      <c r="U12" s="6">
        <v>24701</v>
      </c>
      <c r="V12" s="2">
        <v>47037016000</v>
      </c>
      <c r="W12" s="2" t="s">
        <v>68</v>
      </c>
      <c r="X12" s="1">
        <v>45658</v>
      </c>
      <c r="Y12" s="2">
        <v>546000</v>
      </c>
      <c r="Z12" s="2">
        <v>0</v>
      </c>
      <c r="AA12" s="2">
        <v>546000</v>
      </c>
    </row>
    <row r="13" spans="1:27" x14ac:dyDescent="0.3">
      <c r="A13" s="3">
        <v>17</v>
      </c>
      <c r="B13" s="2" t="str">
        <f>"10504031200"</f>
        <v>10504031200</v>
      </c>
      <c r="C13" s="2" t="s">
        <v>4537</v>
      </c>
      <c r="D13" t="s">
        <v>29</v>
      </c>
      <c r="E13" s="2" t="s">
        <v>30</v>
      </c>
      <c r="F13" s="2">
        <v>37210</v>
      </c>
      <c r="G13" s="2" t="s">
        <v>1485</v>
      </c>
      <c r="H13" t="s">
        <v>99</v>
      </c>
      <c r="I13" s="6">
        <v>41444</v>
      </c>
      <c r="J13" s="2" t="s">
        <v>4544</v>
      </c>
      <c r="K13" s="2">
        <v>498</v>
      </c>
      <c r="L13" t="s">
        <v>35</v>
      </c>
      <c r="M13" t="s">
        <v>29</v>
      </c>
      <c r="N13" t="s">
        <v>30</v>
      </c>
      <c r="O13">
        <v>37219</v>
      </c>
      <c r="P13" t="s">
        <v>4535</v>
      </c>
      <c r="Q13" s="2">
        <v>0.05</v>
      </c>
      <c r="R13" s="2">
        <v>25</v>
      </c>
      <c r="S13" s="2">
        <v>85</v>
      </c>
      <c r="T13" t="s">
        <v>4545</v>
      </c>
      <c r="U13" s="6">
        <v>230</v>
      </c>
      <c r="V13" s="2">
        <v>47037016000</v>
      </c>
      <c r="W13" s="2" t="s">
        <v>68</v>
      </c>
      <c r="X13" s="1">
        <v>45658</v>
      </c>
      <c r="Y13" s="2">
        <v>5500</v>
      </c>
      <c r="Z13" s="2">
        <v>0</v>
      </c>
      <c r="AA13" s="2">
        <v>5500</v>
      </c>
    </row>
    <row r="14" spans="1:27" x14ac:dyDescent="0.3">
      <c r="A14" s="3">
        <v>17</v>
      </c>
      <c r="B14" s="2" t="str">
        <f>"10504031300"</f>
        <v>10504031300</v>
      </c>
      <c r="C14" s="2" t="s">
        <v>4537</v>
      </c>
      <c r="D14" t="s">
        <v>29</v>
      </c>
      <c r="E14" s="2" t="s">
        <v>30</v>
      </c>
      <c r="F14" s="2">
        <v>37210</v>
      </c>
      <c r="G14" s="2" t="s">
        <v>1485</v>
      </c>
      <c r="H14" t="s">
        <v>99</v>
      </c>
      <c r="I14" s="6">
        <v>41444</v>
      </c>
      <c r="J14" s="2" t="s">
        <v>4546</v>
      </c>
      <c r="K14" s="2">
        <v>498</v>
      </c>
      <c r="L14" t="s">
        <v>35</v>
      </c>
      <c r="M14" t="s">
        <v>29</v>
      </c>
      <c r="N14" t="s">
        <v>30</v>
      </c>
      <c r="O14">
        <v>37219</v>
      </c>
      <c r="P14" t="s">
        <v>4547</v>
      </c>
      <c r="Q14" s="2">
        <v>0.05</v>
      </c>
      <c r="R14" s="2">
        <v>25</v>
      </c>
      <c r="S14" s="2">
        <v>85</v>
      </c>
      <c r="T14" t="s">
        <v>4548</v>
      </c>
      <c r="U14" s="6">
        <v>127</v>
      </c>
      <c r="V14" s="2">
        <v>47037016000</v>
      </c>
      <c r="W14" s="2" t="s">
        <v>68</v>
      </c>
      <c r="X14" s="1">
        <v>45658</v>
      </c>
      <c r="Y14" s="2">
        <v>5500</v>
      </c>
      <c r="Z14" s="2">
        <v>0</v>
      </c>
      <c r="AA14" s="2">
        <v>5500</v>
      </c>
    </row>
    <row r="15" spans="1:27" x14ac:dyDescent="0.3">
      <c r="A15" s="3">
        <v>17</v>
      </c>
      <c r="B15" s="2" t="str">
        <f>"10504031400"</f>
        <v>10504031400</v>
      </c>
      <c r="C15" s="2" t="s">
        <v>4537</v>
      </c>
      <c r="D15" t="s">
        <v>29</v>
      </c>
      <c r="E15" s="2" t="s">
        <v>30</v>
      </c>
      <c r="F15" s="2">
        <v>37210</v>
      </c>
      <c r="G15" s="2" t="s">
        <v>1485</v>
      </c>
      <c r="H15" t="s">
        <v>99</v>
      </c>
      <c r="I15" s="6">
        <v>41444</v>
      </c>
      <c r="J15" s="2" t="s">
        <v>4549</v>
      </c>
      <c r="K15" s="2">
        <v>498</v>
      </c>
      <c r="L15" t="s">
        <v>35</v>
      </c>
      <c r="M15" t="s">
        <v>29</v>
      </c>
      <c r="N15" t="s">
        <v>30</v>
      </c>
      <c r="O15">
        <v>37219</v>
      </c>
      <c r="P15" t="s">
        <v>4509</v>
      </c>
      <c r="Q15" s="2">
        <v>0.05</v>
      </c>
      <c r="R15" s="2">
        <v>25</v>
      </c>
      <c r="S15" s="2">
        <v>85</v>
      </c>
      <c r="T15" t="s">
        <v>4550</v>
      </c>
      <c r="U15" s="6">
        <v>6013</v>
      </c>
      <c r="V15" s="2">
        <v>47037016000</v>
      </c>
      <c r="W15" s="2" t="s">
        <v>68</v>
      </c>
      <c r="X15" s="1">
        <v>45658</v>
      </c>
      <c r="Y15" s="2">
        <v>5500</v>
      </c>
      <c r="Z15" s="2">
        <v>0</v>
      </c>
      <c r="AA15" s="2">
        <v>5500</v>
      </c>
    </row>
    <row r="16" spans="1:27" x14ac:dyDescent="0.3">
      <c r="A16" s="3">
        <v>17</v>
      </c>
      <c r="B16" s="2" t="str">
        <f>"10504031700"</f>
        <v>10504031700</v>
      </c>
      <c r="C16" s="2" t="s">
        <v>4537</v>
      </c>
      <c r="D16" t="s">
        <v>29</v>
      </c>
      <c r="E16" s="2" t="s">
        <v>30</v>
      </c>
      <c r="F16" s="2">
        <v>37210</v>
      </c>
      <c r="G16" s="2" t="s">
        <v>1485</v>
      </c>
      <c r="H16" t="s">
        <v>99</v>
      </c>
      <c r="I16" s="6">
        <v>41444</v>
      </c>
      <c r="J16" s="2" t="s">
        <v>4551</v>
      </c>
      <c r="K16" s="2">
        <v>498</v>
      </c>
      <c r="L16" t="s">
        <v>35</v>
      </c>
      <c r="M16" t="s">
        <v>29</v>
      </c>
      <c r="N16" t="s">
        <v>30</v>
      </c>
      <c r="O16">
        <v>37219</v>
      </c>
      <c r="P16" t="s">
        <v>4552</v>
      </c>
      <c r="Q16" s="2">
        <v>0.05</v>
      </c>
      <c r="R16" s="2">
        <v>20</v>
      </c>
      <c r="S16" s="2">
        <v>85</v>
      </c>
      <c r="T16" t="s">
        <v>4553</v>
      </c>
      <c r="U16" s="6">
        <v>191</v>
      </c>
      <c r="V16" s="2">
        <v>47037016000</v>
      </c>
      <c r="W16" s="2" t="s">
        <v>68</v>
      </c>
      <c r="X16" s="1">
        <v>45658</v>
      </c>
      <c r="Y16" s="2">
        <v>5000</v>
      </c>
      <c r="Z16" s="2">
        <v>0</v>
      </c>
      <c r="AA16" s="2">
        <v>5000</v>
      </c>
    </row>
    <row r="17" spans="1:27" x14ac:dyDescent="0.3">
      <c r="A17" s="3">
        <v>17</v>
      </c>
      <c r="B17" s="2" t="str">
        <f>"09315037000"</f>
        <v>09315037000</v>
      </c>
      <c r="C17" s="2" t="s">
        <v>4554</v>
      </c>
      <c r="D17" t="s">
        <v>29</v>
      </c>
      <c r="E17" s="2" t="s">
        <v>30</v>
      </c>
      <c r="F17" s="2">
        <v>37210</v>
      </c>
      <c r="G17" s="2" t="s">
        <v>41</v>
      </c>
      <c r="H17" t="s">
        <v>99</v>
      </c>
      <c r="I17" s="6">
        <v>33127</v>
      </c>
      <c r="J17" s="2" t="s">
        <v>4555</v>
      </c>
      <c r="K17" s="2">
        <v>984</v>
      </c>
      <c r="L17" t="s">
        <v>35</v>
      </c>
      <c r="M17" t="s">
        <v>29</v>
      </c>
      <c r="N17" t="s">
        <v>30</v>
      </c>
      <c r="O17">
        <v>37219</v>
      </c>
      <c r="P17" t="s">
        <v>4556</v>
      </c>
      <c r="Q17" s="2">
        <v>0.04</v>
      </c>
      <c r="R17" s="2">
        <v>68</v>
      </c>
      <c r="S17" s="2">
        <v>48</v>
      </c>
      <c r="T17" t="s">
        <v>4557</v>
      </c>
      <c r="U17" s="6">
        <v>34191</v>
      </c>
      <c r="V17" s="2">
        <v>47037016000</v>
      </c>
      <c r="W17" s="2" t="s">
        <v>68</v>
      </c>
      <c r="X17" s="1">
        <v>45658</v>
      </c>
      <c r="Y17" s="2">
        <v>69700</v>
      </c>
      <c r="Z17" s="2">
        <v>0</v>
      </c>
      <c r="AA17" s="2">
        <v>69700</v>
      </c>
    </row>
    <row r="18" spans="1:27" x14ac:dyDescent="0.3">
      <c r="A18" s="3">
        <v>17</v>
      </c>
      <c r="B18" s="2" t="str">
        <f>"10511015101"</f>
        <v>10511015101</v>
      </c>
      <c r="C18" s="2" t="s">
        <v>4558</v>
      </c>
      <c r="D18" t="s">
        <v>29</v>
      </c>
      <c r="E18" s="2" t="s">
        <v>30</v>
      </c>
      <c r="F18" s="2">
        <v>37203</v>
      </c>
      <c r="G18" s="2" t="s">
        <v>64</v>
      </c>
      <c r="H18" t="s">
        <v>99</v>
      </c>
      <c r="I18" s="6">
        <v>28796</v>
      </c>
      <c r="J18" s="2" t="s">
        <v>4559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4560</v>
      </c>
      <c r="Q18" s="2">
        <v>0.02</v>
      </c>
      <c r="R18" s="2">
        <v>5</v>
      </c>
      <c r="S18" s="2">
        <v>150</v>
      </c>
      <c r="T18" t="s">
        <v>4561</v>
      </c>
      <c r="U18" s="6">
        <v>493</v>
      </c>
      <c r="V18" s="2">
        <v>47037016100</v>
      </c>
      <c r="W18" s="2" t="s">
        <v>68</v>
      </c>
      <c r="X18" s="1">
        <v>45658</v>
      </c>
      <c r="Y18" s="2">
        <v>900</v>
      </c>
      <c r="Z18" s="2">
        <v>0</v>
      </c>
      <c r="AA18" s="2">
        <v>900</v>
      </c>
    </row>
    <row r="19" spans="1:27" x14ac:dyDescent="0.3">
      <c r="A19" s="3">
        <v>17</v>
      </c>
      <c r="B19" s="2" t="str">
        <f>"10502019500"</f>
        <v>10502019500</v>
      </c>
      <c r="C19" s="2" t="s">
        <v>4562</v>
      </c>
      <c r="D19" t="s">
        <v>29</v>
      </c>
      <c r="E19" s="2" t="s">
        <v>30</v>
      </c>
      <c r="F19" s="2">
        <v>37203</v>
      </c>
      <c r="G19" s="2" t="s">
        <v>147</v>
      </c>
      <c r="H19" t="s">
        <v>4563</v>
      </c>
      <c r="I19" s="6">
        <v>287</v>
      </c>
      <c r="J19" s="2" t="s">
        <v>4564</v>
      </c>
      <c r="K19" s="2" t="s">
        <v>34</v>
      </c>
      <c r="L19" t="s">
        <v>35</v>
      </c>
      <c r="M19" t="s">
        <v>29</v>
      </c>
      <c r="N19" t="s">
        <v>30</v>
      </c>
      <c r="O19">
        <v>37219</v>
      </c>
      <c r="P19" t="s">
        <v>4565</v>
      </c>
      <c r="Q19" s="2">
        <v>0.33</v>
      </c>
      <c r="R19" s="2">
        <v>106</v>
      </c>
      <c r="S19" s="2">
        <v>150</v>
      </c>
      <c r="T19" t="s">
        <v>4566</v>
      </c>
      <c r="U19" s="6">
        <v>30335</v>
      </c>
      <c r="V19" s="2">
        <v>47037016200</v>
      </c>
      <c r="W19" s="2" t="s">
        <v>68</v>
      </c>
      <c r="X19" s="1">
        <v>45658</v>
      </c>
      <c r="Y19" s="2">
        <v>2731300</v>
      </c>
      <c r="Z19" s="2">
        <v>0</v>
      </c>
      <c r="AA19" s="2">
        <v>2731300</v>
      </c>
    </row>
    <row r="20" spans="1:27" x14ac:dyDescent="0.3">
      <c r="A20" s="3">
        <v>17</v>
      </c>
      <c r="B20" s="2" t="str">
        <f>"10502051100"</f>
        <v>10502051100</v>
      </c>
      <c r="C20" s="2" t="s">
        <v>4567</v>
      </c>
      <c r="D20" t="s">
        <v>29</v>
      </c>
      <c r="E20" s="2" t="s">
        <v>30</v>
      </c>
      <c r="F20" s="2">
        <v>37203</v>
      </c>
      <c r="G20" s="2" t="s">
        <v>2490</v>
      </c>
      <c r="H20" t="s">
        <v>2406</v>
      </c>
      <c r="I20" s="6">
        <v>30812</v>
      </c>
      <c r="J20" s="2" t="s">
        <v>4568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4569</v>
      </c>
      <c r="Q20" s="2">
        <v>0.14000000000000001</v>
      </c>
      <c r="R20" s="2">
        <v>58</v>
      </c>
      <c r="S20" s="2">
        <v>104</v>
      </c>
      <c r="T20" t="s">
        <v>4570</v>
      </c>
      <c r="U20" s="6">
        <v>30750</v>
      </c>
      <c r="V20" s="2">
        <v>47037016200</v>
      </c>
      <c r="W20" s="2" t="s">
        <v>68</v>
      </c>
      <c r="X20" s="1">
        <v>45658</v>
      </c>
      <c r="Y20" s="2">
        <v>626000</v>
      </c>
      <c r="Z20" s="2">
        <v>16200</v>
      </c>
      <c r="AA20" s="2">
        <v>609800</v>
      </c>
    </row>
    <row r="21" spans="1:27" x14ac:dyDescent="0.3">
      <c r="A21" s="3">
        <v>17</v>
      </c>
      <c r="B21" s="2" t="str">
        <f>"10505016300"</f>
        <v>10505016300</v>
      </c>
      <c r="C21" s="2" t="s">
        <v>4571</v>
      </c>
      <c r="D21" t="s">
        <v>29</v>
      </c>
      <c r="E21" s="2" t="s">
        <v>30</v>
      </c>
      <c r="F21" s="2">
        <v>37203</v>
      </c>
      <c r="G21" s="2" t="s">
        <v>200</v>
      </c>
      <c r="H21" t="s">
        <v>4572</v>
      </c>
      <c r="I21" s="6">
        <v>27892</v>
      </c>
      <c r="J21" s="2" t="s">
        <v>4573</v>
      </c>
      <c r="K21" s="2">
        <v>8000</v>
      </c>
      <c r="L21" t="s">
        <v>35</v>
      </c>
      <c r="M21" t="s">
        <v>29</v>
      </c>
      <c r="N21" t="s">
        <v>30</v>
      </c>
      <c r="O21">
        <v>37219</v>
      </c>
      <c r="P21" t="s">
        <v>4574</v>
      </c>
      <c r="Q21" s="2">
        <v>1.1100000000000001</v>
      </c>
      <c r="R21" s="2">
        <v>221</v>
      </c>
      <c r="S21" s="2">
        <v>191</v>
      </c>
      <c r="T21" t="s">
        <v>278</v>
      </c>
      <c r="U21" s="6">
        <v>30082</v>
      </c>
      <c r="V21" s="2">
        <v>47037016300</v>
      </c>
      <c r="W21" s="2" t="s">
        <v>68</v>
      </c>
      <c r="X21" s="1">
        <v>45658</v>
      </c>
      <c r="Y21" s="2">
        <v>716000</v>
      </c>
      <c r="Z21" s="2">
        <v>0</v>
      </c>
      <c r="AA21" s="2">
        <v>716000</v>
      </c>
    </row>
    <row r="22" spans="1:27" x14ac:dyDescent="0.3">
      <c r="A22" s="3">
        <v>17</v>
      </c>
      <c r="B22" s="2" t="str">
        <f>"10512006200"</f>
        <v>10512006200</v>
      </c>
      <c r="C22" s="2" t="s">
        <v>4575</v>
      </c>
      <c r="D22" t="s">
        <v>29</v>
      </c>
      <c r="E22" s="2" t="s">
        <v>30</v>
      </c>
      <c r="F22" s="2">
        <v>37203</v>
      </c>
      <c r="G22" s="2" t="s">
        <v>41</v>
      </c>
      <c r="H22" t="s">
        <v>4576</v>
      </c>
      <c r="I22" s="6">
        <v>4200</v>
      </c>
      <c r="J22" s="2" t="s">
        <v>4577</v>
      </c>
      <c r="K22" s="2" t="s">
        <v>34</v>
      </c>
      <c r="L22" t="s">
        <v>35</v>
      </c>
      <c r="M22" t="s">
        <v>29</v>
      </c>
      <c r="N22" t="s">
        <v>30</v>
      </c>
      <c r="O22">
        <v>37219</v>
      </c>
      <c r="P22" t="s">
        <v>4578</v>
      </c>
      <c r="Q22" s="2">
        <v>0.81</v>
      </c>
      <c r="R22" s="2">
        <v>675</v>
      </c>
      <c r="S22" s="2">
        <v>130</v>
      </c>
      <c r="T22" t="s">
        <v>4577</v>
      </c>
      <c r="U22" s="6">
        <v>4200</v>
      </c>
      <c r="V22" s="2">
        <v>47037016100</v>
      </c>
      <c r="W22" s="2" t="s">
        <v>68</v>
      </c>
      <c r="X22" s="1">
        <v>45658</v>
      </c>
      <c r="Y22" s="2">
        <v>2514000</v>
      </c>
      <c r="Z22" s="2">
        <v>0</v>
      </c>
      <c r="AA22" s="2">
        <v>2514000</v>
      </c>
    </row>
    <row r="23" spans="1:27" x14ac:dyDescent="0.3">
      <c r="A23" s="3">
        <v>17</v>
      </c>
      <c r="B23" s="2" t="str">
        <f>"10511033100"</f>
        <v>10511033100</v>
      </c>
      <c r="C23" s="2" t="s">
        <v>4579</v>
      </c>
      <c r="D23" t="s">
        <v>29</v>
      </c>
      <c r="E23" s="2" t="s">
        <v>30</v>
      </c>
      <c r="F23" s="2">
        <v>37204</v>
      </c>
      <c r="G23" s="2" t="s">
        <v>200</v>
      </c>
      <c r="H23" t="s">
        <v>4580</v>
      </c>
      <c r="I23" s="6">
        <v>4196</v>
      </c>
      <c r="J23" s="2" t="s">
        <v>4577</v>
      </c>
      <c r="K23" s="2">
        <v>0</v>
      </c>
      <c r="L23" t="s">
        <v>85</v>
      </c>
      <c r="M23" t="s">
        <v>29</v>
      </c>
      <c r="N23" t="s">
        <v>30</v>
      </c>
      <c r="O23">
        <v>37219</v>
      </c>
      <c r="P23" t="s">
        <v>4581</v>
      </c>
      <c r="Q23" s="2">
        <v>75.09</v>
      </c>
      <c r="R23" s="2">
        <v>1026</v>
      </c>
      <c r="S23" s="2">
        <v>0</v>
      </c>
      <c r="T23" t="s">
        <v>4582</v>
      </c>
      <c r="U23" s="6">
        <v>44517</v>
      </c>
      <c r="V23" s="2">
        <v>47037016100</v>
      </c>
      <c r="W23" s="2" t="s">
        <v>68</v>
      </c>
      <c r="X23" s="1">
        <v>45658</v>
      </c>
      <c r="Y23" s="2">
        <v>16534500</v>
      </c>
      <c r="Z23" s="2">
        <v>0</v>
      </c>
      <c r="AA23" s="2">
        <v>16534500</v>
      </c>
    </row>
    <row r="24" spans="1:27" x14ac:dyDescent="0.3">
      <c r="A24" s="3">
        <v>17</v>
      </c>
      <c r="B24" s="2" t="str">
        <f>"10511033000"</f>
        <v>10511033000</v>
      </c>
      <c r="C24" s="2" t="s">
        <v>4583</v>
      </c>
      <c r="D24" t="s">
        <v>29</v>
      </c>
      <c r="E24" s="2" t="s">
        <v>30</v>
      </c>
      <c r="F24" s="2">
        <v>37203</v>
      </c>
      <c r="G24" s="2" t="s">
        <v>200</v>
      </c>
      <c r="H24" t="s">
        <v>4580</v>
      </c>
      <c r="I24" s="6">
        <v>4196</v>
      </c>
      <c r="J24" s="2" t="s">
        <v>4577</v>
      </c>
      <c r="K24" s="2">
        <v>0</v>
      </c>
      <c r="L24" t="s">
        <v>85</v>
      </c>
      <c r="M24" t="s">
        <v>29</v>
      </c>
      <c r="N24" t="s">
        <v>30</v>
      </c>
      <c r="O24">
        <v>37219</v>
      </c>
      <c r="P24" t="s">
        <v>4581</v>
      </c>
      <c r="Q24" s="2">
        <v>10.72</v>
      </c>
      <c r="R24" s="2">
        <v>550</v>
      </c>
      <c r="S24" s="2">
        <v>0</v>
      </c>
      <c r="T24" t="s">
        <v>4582</v>
      </c>
      <c r="U24" s="6">
        <v>44517</v>
      </c>
      <c r="V24" s="2">
        <v>47037016100</v>
      </c>
      <c r="W24" s="2" t="s">
        <v>68</v>
      </c>
      <c r="X24" s="1">
        <v>45658</v>
      </c>
      <c r="Y24" s="2">
        <v>26966000</v>
      </c>
      <c r="Z24" s="2">
        <v>0</v>
      </c>
      <c r="AA24" s="2">
        <v>26966000</v>
      </c>
    </row>
    <row r="25" spans="1:27" x14ac:dyDescent="0.3">
      <c r="A25" s="3">
        <v>17</v>
      </c>
      <c r="B25" s="2" t="str">
        <f>"10511030100"</f>
        <v>10511030100</v>
      </c>
      <c r="C25" s="2" t="s">
        <v>4584</v>
      </c>
      <c r="D25" t="s">
        <v>29</v>
      </c>
      <c r="E25" s="2" t="s">
        <v>30</v>
      </c>
      <c r="F25" s="2">
        <v>37203</v>
      </c>
      <c r="G25" s="2" t="s">
        <v>200</v>
      </c>
      <c r="H25" t="s">
        <v>4580</v>
      </c>
      <c r="I25" s="6">
        <v>4196</v>
      </c>
      <c r="J25" s="2" t="s">
        <v>4577</v>
      </c>
      <c r="K25" s="2">
        <v>0</v>
      </c>
      <c r="L25" t="s">
        <v>85</v>
      </c>
      <c r="M25" t="s">
        <v>29</v>
      </c>
      <c r="N25" t="s">
        <v>30</v>
      </c>
      <c r="O25">
        <v>37219</v>
      </c>
      <c r="P25" t="s">
        <v>4581</v>
      </c>
      <c r="Q25" s="2">
        <v>28.42</v>
      </c>
      <c r="R25" s="2">
        <v>1677</v>
      </c>
      <c r="S25" s="2">
        <v>0</v>
      </c>
      <c r="T25" t="s">
        <v>4582</v>
      </c>
      <c r="U25" s="6">
        <v>44517</v>
      </c>
      <c r="V25" s="2">
        <v>47037016100</v>
      </c>
      <c r="W25" s="2" t="s">
        <v>68</v>
      </c>
      <c r="X25" s="1">
        <v>45658</v>
      </c>
      <c r="Y25" s="2">
        <v>3410400</v>
      </c>
      <c r="Z25" s="2">
        <v>0</v>
      </c>
      <c r="AA25" s="2">
        <v>3410400</v>
      </c>
    </row>
    <row r="26" spans="1:27" x14ac:dyDescent="0.3">
      <c r="A26" s="3">
        <v>17</v>
      </c>
      <c r="B26" s="2" t="str">
        <f>"10503000300"</f>
        <v>10503000300</v>
      </c>
      <c r="C26" s="2" t="s">
        <v>4585</v>
      </c>
      <c r="D26" t="s">
        <v>29</v>
      </c>
      <c r="E26" s="2" t="s">
        <v>30</v>
      </c>
      <c r="F26" s="2">
        <v>37210</v>
      </c>
      <c r="G26" s="2" t="s">
        <v>527</v>
      </c>
      <c r="H26" t="s">
        <v>4586</v>
      </c>
      <c r="I26" s="6">
        <v>17861</v>
      </c>
      <c r="J26" s="2" t="s">
        <v>4587</v>
      </c>
      <c r="K26" s="2" t="s">
        <v>34</v>
      </c>
      <c r="L26" t="s">
        <v>35</v>
      </c>
      <c r="M26" t="s">
        <v>29</v>
      </c>
      <c r="N26" t="s">
        <v>30</v>
      </c>
      <c r="O26">
        <v>37219</v>
      </c>
      <c r="P26" t="s">
        <v>4588</v>
      </c>
      <c r="Q26" s="2">
        <v>28.24</v>
      </c>
      <c r="R26" s="2">
        <v>0</v>
      </c>
      <c r="S26" s="2">
        <v>0</v>
      </c>
      <c r="T26" t="s">
        <v>4587</v>
      </c>
      <c r="U26" s="6">
        <v>17861</v>
      </c>
      <c r="V26" s="2">
        <v>47037016000</v>
      </c>
      <c r="W26" s="2" t="s">
        <v>68</v>
      </c>
      <c r="X26" s="1">
        <v>45658</v>
      </c>
      <c r="Y26" s="2">
        <v>4518400</v>
      </c>
      <c r="Z26" s="2">
        <v>0</v>
      </c>
      <c r="AA26" s="2">
        <v>4518400</v>
      </c>
    </row>
    <row r="27" spans="1:27" x14ac:dyDescent="0.3">
      <c r="A27" s="3">
        <v>17</v>
      </c>
      <c r="B27" s="2" t="str">
        <f>"10505017600"</f>
        <v>10505017600</v>
      </c>
      <c r="C27" s="2" t="s">
        <v>4589</v>
      </c>
      <c r="D27" t="s">
        <v>29</v>
      </c>
      <c r="E27" s="2" t="s">
        <v>30</v>
      </c>
      <c r="F27" s="2">
        <v>37203</v>
      </c>
      <c r="G27" s="2" t="s">
        <v>41</v>
      </c>
      <c r="H27" t="s">
        <v>171</v>
      </c>
      <c r="I27" s="6">
        <v>40963</v>
      </c>
      <c r="J27" s="2" t="s">
        <v>4590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4591</v>
      </c>
      <c r="Q27" s="2">
        <v>4.42</v>
      </c>
      <c r="R27" s="2">
        <v>350</v>
      </c>
      <c r="S27" s="2">
        <v>322</v>
      </c>
      <c r="T27" t="s">
        <v>4592</v>
      </c>
      <c r="U27" s="6">
        <v>41682</v>
      </c>
      <c r="V27" s="2">
        <v>47037016300</v>
      </c>
      <c r="W27" s="2" t="s">
        <v>68</v>
      </c>
      <c r="X27" s="1">
        <v>45658</v>
      </c>
      <c r="Y27" s="2">
        <v>30805600</v>
      </c>
      <c r="Z27" s="2">
        <v>0</v>
      </c>
      <c r="AA27" s="2">
        <v>30805600</v>
      </c>
    </row>
    <row r="28" spans="1:27" x14ac:dyDescent="0.3">
      <c r="A28" s="3">
        <v>17</v>
      </c>
      <c r="B28" s="2" t="str">
        <f>"09313006500"</f>
        <v>09313006500</v>
      </c>
      <c r="C28" s="2" t="s">
        <v>4593</v>
      </c>
      <c r="D28" t="s">
        <v>29</v>
      </c>
      <c r="E28" s="2" t="s">
        <v>30</v>
      </c>
      <c r="F28" s="2">
        <v>37203</v>
      </c>
      <c r="G28" s="2" t="s">
        <v>152</v>
      </c>
      <c r="H28" t="s">
        <v>176</v>
      </c>
      <c r="I28" s="6">
        <v>22089</v>
      </c>
      <c r="J28" s="2" t="s">
        <v>4594</v>
      </c>
      <c r="K28" s="2">
        <v>1500</v>
      </c>
      <c r="L28" t="s">
        <v>178</v>
      </c>
      <c r="M28" t="s">
        <v>29</v>
      </c>
      <c r="N28" t="s">
        <v>30</v>
      </c>
      <c r="O28">
        <v>37246</v>
      </c>
      <c r="P28" t="s">
        <v>4595</v>
      </c>
      <c r="Q28" s="2">
        <v>0.13</v>
      </c>
      <c r="R28" s="2">
        <v>48</v>
      </c>
      <c r="S28" s="2">
        <v>130</v>
      </c>
      <c r="T28" t="s">
        <v>4596</v>
      </c>
      <c r="U28" s="6">
        <v>29097</v>
      </c>
      <c r="V28" s="2">
        <v>47037019500</v>
      </c>
      <c r="W28" s="2" t="s">
        <v>68</v>
      </c>
      <c r="X28" s="1">
        <v>45658</v>
      </c>
      <c r="Y28" s="2">
        <v>1053000</v>
      </c>
      <c r="Z28" s="2">
        <v>0</v>
      </c>
      <c r="AA28" s="2">
        <v>1053000</v>
      </c>
    </row>
    <row r="29" spans="1:27" x14ac:dyDescent="0.3">
      <c r="A29" s="3">
        <v>17</v>
      </c>
      <c r="B29" s="2" t="str">
        <f>"10503013900"</f>
        <v>10503013900</v>
      </c>
      <c r="C29" s="2" t="s">
        <v>4597</v>
      </c>
      <c r="D29" t="s">
        <v>29</v>
      </c>
      <c r="E29" s="2" t="s">
        <v>30</v>
      </c>
      <c r="F29" s="2">
        <v>37210</v>
      </c>
      <c r="G29" s="2" t="s">
        <v>152</v>
      </c>
      <c r="H29" t="s">
        <v>176</v>
      </c>
      <c r="I29" s="6">
        <v>19681</v>
      </c>
      <c r="J29" s="2" t="s">
        <v>4598</v>
      </c>
      <c r="K29" s="2" t="s">
        <v>34</v>
      </c>
      <c r="L29" t="s">
        <v>178</v>
      </c>
      <c r="M29" t="s">
        <v>29</v>
      </c>
      <c r="N29" t="s">
        <v>30</v>
      </c>
      <c r="O29">
        <v>37246</v>
      </c>
      <c r="P29" t="s">
        <v>4599</v>
      </c>
      <c r="Q29" s="2">
        <v>0.26</v>
      </c>
      <c r="R29" s="2">
        <v>80</v>
      </c>
      <c r="S29" s="2">
        <v>150</v>
      </c>
      <c r="T29" t="s">
        <v>4598</v>
      </c>
      <c r="U29" s="6">
        <v>19681</v>
      </c>
      <c r="V29" s="2">
        <v>47037016000</v>
      </c>
      <c r="W29" s="2" t="s">
        <v>68</v>
      </c>
      <c r="X29" s="1">
        <v>45658</v>
      </c>
      <c r="Y29" s="2">
        <v>450000</v>
      </c>
      <c r="Z29" s="2">
        <v>0</v>
      </c>
      <c r="AA29" s="2">
        <v>450000</v>
      </c>
    </row>
    <row r="30" spans="1:27" x14ac:dyDescent="0.3">
      <c r="A30" s="3">
        <v>17</v>
      </c>
      <c r="B30" s="2" t="str">
        <f>"10505004100"</f>
        <v>10505004100</v>
      </c>
      <c r="C30" s="2" t="s">
        <v>4600</v>
      </c>
      <c r="D30" t="s">
        <v>29</v>
      </c>
      <c r="E30" s="2" t="s">
        <v>30</v>
      </c>
      <c r="F30" s="2">
        <v>37212</v>
      </c>
      <c r="G30" s="2" t="s">
        <v>152</v>
      </c>
      <c r="H30" t="s">
        <v>176</v>
      </c>
      <c r="I30" s="6">
        <v>14474</v>
      </c>
      <c r="J30" s="2" t="s">
        <v>1270</v>
      </c>
      <c r="K30" s="2" t="s">
        <v>34</v>
      </c>
      <c r="L30" t="s">
        <v>178</v>
      </c>
      <c r="M30" t="s">
        <v>29</v>
      </c>
      <c r="N30" t="s">
        <v>30</v>
      </c>
      <c r="O30">
        <v>37246</v>
      </c>
      <c r="P30" t="s">
        <v>4601</v>
      </c>
      <c r="Q30" s="2">
        <v>0.45</v>
      </c>
      <c r="R30" s="2">
        <v>139</v>
      </c>
      <c r="S30" s="2">
        <v>150</v>
      </c>
      <c r="T30" t="s">
        <v>1267</v>
      </c>
      <c r="U30" s="6">
        <v>14474</v>
      </c>
      <c r="V30" s="2">
        <v>47037016300</v>
      </c>
      <c r="W30" s="2" t="s">
        <v>68</v>
      </c>
      <c r="X30" s="1">
        <v>45658</v>
      </c>
      <c r="Y30" s="2">
        <v>429600</v>
      </c>
      <c r="Z30" s="2">
        <v>0</v>
      </c>
      <c r="AA30" s="2">
        <v>429600</v>
      </c>
    </row>
    <row r="31" spans="1:27" x14ac:dyDescent="0.3">
      <c r="A31" s="3">
        <v>17</v>
      </c>
      <c r="B31" s="2" t="str">
        <f>"10505004000"</f>
        <v>10505004000</v>
      </c>
      <c r="C31" s="2" t="s">
        <v>4602</v>
      </c>
      <c r="D31" t="s">
        <v>29</v>
      </c>
      <c r="E31" s="2" t="s">
        <v>30</v>
      </c>
      <c r="F31" s="2">
        <v>37212</v>
      </c>
      <c r="G31" s="2" t="s">
        <v>152</v>
      </c>
      <c r="H31" t="s">
        <v>176</v>
      </c>
      <c r="I31" s="6">
        <v>22507</v>
      </c>
      <c r="J31" s="2" t="s">
        <v>4603</v>
      </c>
      <c r="K31" s="2" t="s">
        <v>34</v>
      </c>
      <c r="L31" t="s">
        <v>178</v>
      </c>
      <c r="M31" t="s">
        <v>29</v>
      </c>
      <c r="N31" t="s">
        <v>30</v>
      </c>
      <c r="O31">
        <v>37246</v>
      </c>
      <c r="P31" t="s">
        <v>4604</v>
      </c>
      <c r="Q31" s="2">
        <v>0.34</v>
      </c>
      <c r="R31" s="2">
        <v>100</v>
      </c>
      <c r="S31" s="2">
        <v>150</v>
      </c>
      <c r="T31" t="s">
        <v>4603</v>
      </c>
      <c r="U31" s="6">
        <v>22507</v>
      </c>
      <c r="V31" s="2">
        <v>47037016300</v>
      </c>
      <c r="W31" s="2" t="s">
        <v>68</v>
      </c>
      <c r="X31" s="1">
        <v>45658</v>
      </c>
      <c r="Y31" s="2">
        <v>429600</v>
      </c>
      <c r="Z31" s="2">
        <v>0</v>
      </c>
      <c r="AA31" s="2">
        <v>429600</v>
      </c>
    </row>
    <row r="32" spans="1:27" x14ac:dyDescent="0.3">
      <c r="A32" s="3">
        <v>17</v>
      </c>
      <c r="B32" s="2" t="str">
        <f>"10505003900"</f>
        <v>10505003900</v>
      </c>
      <c r="C32" s="2" t="s">
        <v>4605</v>
      </c>
      <c r="D32" t="s">
        <v>29</v>
      </c>
      <c r="E32" s="2" t="s">
        <v>30</v>
      </c>
      <c r="F32" s="2">
        <v>37212</v>
      </c>
      <c r="G32" s="2" t="s">
        <v>152</v>
      </c>
      <c r="H32" t="s">
        <v>176</v>
      </c>
      <c r="I32" s="6">
        <v>22584</v>
      </c>
      <c r="J32" s="2" t="s">
        <v>4606</v>
      </c>
      <c r="K32" s="2" t="s">
        <v>34</v>
      </c>
      <c r="L32" t="s">
        <v>178</v>
      </c>
      <c r="M32" t="s">
        <v>29</v>
      </c>
      <c r="N32" t="s">
        <v>30</v>
      </c>
      <c r="O32">
        <v>37246</v>
      </c>
      <c r="P32" t="s">
        <v>4607</v>
      </c>
      <c r="Q32" s="2">
        <v>0.17</v>
      </c>
      <c r="R32" s="2">
        <v>50</v>
      </c>
      <c r="S32" s="2">
        <v>150</v>
      </c>
      <c r="T32" t="s">
        <v>4606</v>
      </c>
      <c r="U32" s="6">
        <v>22584</v>
      </c>
      <c r="V32" s="2">
        <v>47037016300</v>
      </c>
      <c r="W32" s="2" t="s">
        <v>68</v>
      </c>
      <c r="X32" s="1">
        <v>45658</v>
      </c>
      <c r="Y32" s="2">
        <v>358000</v>
      </c>
      <c r="Z32" s="2">
        <v>0</v>
      </c>
      <c r="AA32" s="2">
        <v>358000</v>
      </c>
    </row>
    <row r="33" spans="1:27" x14ac:dyDescent="0.3">
      <c r="A33" s="3">
        <v>17</v>
      </c>
      <c r="B33" s="2" t="str">
        <f>"10505003800"</f>
        <v>10505003800</v>
      </c>
      <c r="C33" s="2" t="s">
        <v>4608</v>
      </c>
      <c r="D33" t="s">
        <v>29</v>
      </c>
      <c r="E33" s="2" t="s">
        <v>30</v>
      </c>
      <c r="F33" s="2">
        <v>37212</v>
      </c>
      <c r="G33" s="2" t="s">
        <v>152</v>
      </c>
      <c r="H33" t="s">
        <v>176</v>
      </c>
      <c r="I33" s="6">
        <v>22623</v>
      </c>
      <c r="J33" s="2" t="s">
        <v>4609</v>
      </c>
      <c r="K33" s="2" t="s">
        <v>34</v>
      </c>
      <c r="L33" t="s">
        <v>178</v>
      </c>
      <c r="M33" t="s">
        <v>29</v>
      </c>
      <c r="N33" t="s">
        <v>30</v>
      </c>
      <c r="O33">
        <v>37246</v>
      </c>
      <c r="P33" t="s">
        <v>4610</v>
      </c>
      <c r="Q33" s="2">
        <v>0.17</v>
      </c>
      <c r="R33" s="2">
        <v>50</v>
      </c>
      <c r="S33" s="2">
        <v>150</v>
      </c>
      <c r="T33" t="s">
        <v>4609</v>
      </c>
      <c r="U33" s="6">
        <v>22623</v>
      </c>
      <c r="V33" s="2">
        <v>47037016300</v>
      </c>
      <c r="W33" s="2" t="s">
        <v>68</v>
      </c>
      <c r="X33" s="1">
        <v>45658</v>
      </c>
      <c r="Y33" s="2">
        <v>358000</v>
      </c>
      <c r="Z33" s="2">
        <v>0</v>
      </c>
      <c r="AA33" s="2">
        <v>358000</v>
      </c>
    </row>
    <row r="34" spans="1:27" x14ac:dyDescent="0.3">
      <c r="A34" s="3">
        <v>17</v>
      </c>
      <c r="B34" s="2" t="str">
        <f>"10505003700"</f>
        <v>10505003700</v>
      </c>
      <c r="C34" s="2" t="s">
        <v>4611</v>
      </c>
      <c r="D34" t="s">
        <v>29</v>
      </c>
      <c r="E34" s="2" t="s">
        <v>30</v>
      </c>
      <c r="F34" s="2">
        <v>37212</v>
      </c>
      <c r="G34" s="2" t="s">
        <v>152</v>
      </c>
      <c r="H34" t="s">
        <v>176</v>
      </c>
      <c r="I34" s="6">
        <v>22515</v>
      </c>
      <c r="J34" s="2" t="s">
        <v>4612</v>
      </c>
      <c r="K34" s="2" t="s">
        <v>34</v>
      </c>
      <c r="L34" t="s">
        <v>178</v>
      </c>
      <c r="M34" t="s">
        <v>29</v>
      </c>
      <c r="N34" t="s">
        <v>30</v>
      </c>
      <c r="O34">
        <v>37246</v>
      </c>
      <c r="P34" t="s">
        <v>4613</v>
      </c>
      <c r="Q34" s="2">
        <v>0.17</v>
      </c>
      <c r="R34" s="2">
        <v>50</v>
      </c>
      <c r="S34" s="2">
        <v>150</v>
      </c>
      <c r="T34" t="s">
        <v>4612</v>
      </c>
      <c r="U34" s="6">
        <v>22515</v>
      </c>
      <c r="V34" s="2">
        <v>47037016300</v>
      </c>
      <c r="W34" s="2" t="s">
        <v>68</v>
      </c>
      <c r="X34" s="1">
        <v>45658</v>
      </c>
      <c r="Y34" s="2">
        <v>358000</v>
      </c>
      <c r="Z34" s="2">
        <v>0</v>
      </c>
      <c r="AA34" s="2">
        <v>358000</v>
      </c>
    </row>
    <row r="35" spans="1:27" x14ac:dyDescent="0.3">
      <c r="A35" s="3">
        <v>17</v>
      </c>
      <c r="B35" s="2" t="str">
        <f>"10516029100"</f>
        <v>10516029100</v>
      </c>
      <c r="C35" s="2" t="s">
        <v>4614</v>
      </c>
      <c r="D35" t="s">
        <v>29</v>
      </c>
      <c r="E35" s="2" t="s">
        <v>30</v>
      </c>
      <c r="F35" s="2">
        <v>37211</v>
      </c>
      <c r="G35" s="2" t="s">
        <v>152</v>
      </c>
      <c r="H35" t="s">
        <v>176</v>
      </c>
      <c r="I35" s="6">
        <v>31663</v>
      </c>
      <c r="J35" s="2" t="s">
        <v>4615</v>
      </c>
      <c r="K35" s="2">
        <v>80000</v>
      </c>
      <c r="L35" t="s">
        <v>178</v>
      </c>
      <c r="M35" t="s">
        <v>29</v>
      </c>
      <c r="N35" t="s">
        <v>30</v>
      </c>
      <c r="O35">
        <v>37246</v>
      </c>
      <c r="P35" t="s">
        <v>4616</v>
      </c>
      <c r="Q35" s="2">
        <v>2.13</v>
      </c>
      <c r="R35" s="2">
        <v>0</v>
      </c>
      <c r="S35" s="2">
        <v>0</v>
      </c>
      <c r="T35" t="s">
        <v>4617</v>
      </c>
      <c r="U35" s="6">
        <v>31693</v>
      </c>
      <c r="V35" s="2">
        <v>47037017200</v>
      </c>
      <c r="W35" s="2" t="s">
        <v>68</v>
      </c>
      <c r="X35" s="1">
        <v>45658</v>
      </c>
      <c r="Y35" s="2">
        <v>5219000</v>
      </c>
      <c r="Z35" s="2">
        <v>0</v>
      </c>
      <c r="AA35" s="2">
        <v>5219000</v>
      </c>
    </row>
    <row r="36" spans="1:27" x14ac:dyDescent="0.3">
      <c r="A36" s="3">
        <v>17</v>
      </c>
      <c r="B36" s="2" t="str">
        <f>"11804005600"</f>
        <v>11804005600</v>
      </c>
      <c r="C36" s="2" t="s">
        <v>4618</v>
      </c>
      <c r="D36" t="s">
        <v>29</v>
      </c>
      <c r="E36" s="2" t="s">
        <v>30</v>
      </c>
      <c r="F36" s="2">
        <v>37211</v>
      </c>
      <c r="G36" s="2" t="s">
        <v>41</v>
      </c>
      <c r="H36" t="s">
        <v>176</v>
      </c>
      <c r="I36" s="6">
        <v>23146</v>
      </c>
      <c r="J36" s="2" t="s">
        <v>4619</v>
      </c>
      <c r="K36" s="2" t="s">
        <v>34</v>
      </c>
      <c r="L36" t="s">
        <v>178</v>
      </c>
      <c r="M36" t="s">
        <v>29</v>
      </c>
      <c r="N36" t="s">
        <v>30</v>
      </c>
      <c r="O36">
        <v>37246</v>
      </c>
      <c r="P36" t="s">
        <v>4620</v>
      </c>
      <c r="Q36" s="2">
        <v>0.24</v>
      </c>
      <c r="R36" s="2">
        <v>65</v>
      </c>
      <c r="S36" s="2">
        <v>165</v>
      </c>
      <c r="T36" t="s">
        <v>4619</v>
      </c>
      <c r="U36" s="6">
        <v>23146</v>
      </c>
      <c r="V36" s="2">
        <v>47037017200</v>
      </c>
      <c r="W36" s="2" t="s">
        <v>68</v>
      </c>
      <c r="X36" s="1">
        <v>45658</v>
      </c>
      <c r="Y36" s="2">
        <v>697100</v>
      </c>
      <c r="Z36" s="2">
        <v>0</v>
      </c>
      <c r="AA36" s="2">
        <v>697100</v>
      </c>
    </row>
    <row r="37" spans="1:27" x14ac:dyDescent="0.3">
      <c r="A37" s="3">
        <v>17</v>
      </c>
      <c r="B37" s="2" t="str">
        <f>"09315039400"</f>
        <v>09315039400</v>
      </c>
      <c r="C37" s="2" t="s">
        <v>4621</v>
      </c>
      <c r="D37" t="s">
        <v>29</v>
      </c>
      <c r="E37" s="2" t="s">
        <v>30</v>
      </c>
      <c r="F37" s="2">
        <v>37210</v>
      </c>
      <c r="G37" s="2" t="s">
        <v>41</v>
      </c>
      <c r="H37" t="s">
        <v>176</v>
      </c>
      <c r="I37" s="6">
        <v>40365</v>
      </c>
      <c r="J37" s="2" t="s">
        <v>4622</v>
      </c>
      <c r="K37" s="2">
        <v>0</v>
      </c>
      <c r="L37" t="s">
        <v>35</v>
      </c>
      <c r="M37" t="s">
        <v>29</v>
      </c>
      <c r="N37" t="s">
        <v>30</v>
      </c>
      <c r="O37">
        <v>37219</v>
      </c>
      <c r="P37" t="s">
        <v>4623</v>
      </c>
      <c r="Q37" s="2">
        <v>0.04</v>
      </c>
      <c r="R37" s="2">
        <v>38</v>
      </c>
      <c r="S37" s="2">
        <v>43</v>
      </c>
      <c r="T37" t="s">
        <v>4622</v>
      </c>
      <c r="U37" s="6">
        <v>40365</v>
      </c>
      <c r="V37" s="2">
        <v>47037016000</v>
      </c>
      <c r="W37" s="2" t="s">
        <v>68</v>
      </c>
      <c r="X37" s="1">
        <v>45658</v>
      </c>
      <c r="Y37" s="2">
        <v>130700</v>
      </c>
      <c r="Z37" s="2">
        <v>0</v>
      </c>
      <c r="AA37" s="2">
        <v>130700</v>
      </c>
    </row>
    <row r="38" spans="1:27" x14ac:dyDescent="0.3">
      <c r="A38" s="3">
        <v>17</v>
      </c>
      <c r="B38" s="2" t="str">
        <f>"10505003600"</f>
        <v>10505003600</v>
      </c>
      <c r="C38" s="2" t="s">
        <v>4624</v>
      </c>
      <c r="D38" t="s">
        <v>29</v>
      </c>
      <c r="E38" s="2" t="s">
        <v>30</v>
      </c>
      <c r="F38" s="2">
        <v>37212</v>
      </c>
      <c r="G38" s="2" t="s">
        <v>152</v>
      </c>
      <c r="H38" t="s">
        <v>176</v>
      </c>
      <c r="I38" s="6">
        <v>22511</v>
      </c>
      <c r="J38" s="2" t="s">
        <v>4625</v>
      </c>
      <c r="K38" s="2" t="s">
        <v>34</v>
      </c>
      <c r="L38" t="s">
        <v>178</v>
      </c>
      <c r="M38" t="s">
        <v>29</v>
      </c>
      <c r="N38" t="s">
        <v>30</v>
      </c>
      <c r="O38">
        <v>37246</v>
      </c>
      <c r="P38" t="s">
        <v>4626</v>
      </c>
      <c r="Q38" s="2">
        <v>0.18</v>
      </c>
      <c r="R38" s="2">
        <v>42</v>
      </c>
      <c r="S38" s="2">
        <v>150</v>
      </c>
      <c r="T38" t="s">
        <v>4625</v>
      </c>
      <c r="U38" s="6">
        <v>22511</v>
      </c>
      <c r="V38" s="2">
        <v>47037016300</v>
      </c>
      <c r="W38" s="2" t="s">
        <v>68</v>
      </c>
      <c r="X38" s="1">
        <v>45658</v>
      </c>
      <c r="Y38" s="2">
        <v>358000</v>
      </c>
      <c r="Z38" s="2">
        <v>0</v>
      </c>
      <c r="AA38" s="2">
        <v>358000</v>
      </c>
    </row>
    <row r="39" spans="1:27" x14ac:dyDescent="0.3">
      <c r="A39" s="3">
        <v>17</v>
      </c>
      <c r="B39" s="2" t="str">
        <f>"10503022100"</f>
        <v>10503022100</v>
      </c>
      <c r="C39" s="2" t="s">
        <v>4627</v>
      </c>
      <c r="D39" t="s">
        <v>29</v>
      </c>
      <c r="E39" s="2" t="s">
        <v>30</v>
      </c>
      <c r="F39" s="2">
        <v>37210</v>
      </c>
      <c r="G39" s="2" t="s">
        <v>200</v>
      </c>
      <c r="H39" t="s">
        <v>4628</v>
      </c>
      <c r="I39" s="6">
        <v>5758</v>
      </c>
      <c r="J39" s="2" t="s">
        <v>4629</v>
      </c>
      <c r="K39" s="2" t="s">
        <v>34</v>
      </c>
      <c r="L39" t="s">
        <v>35</v>
      </c>
      <c r="M39" t="s">
        <v>29</v>
      </c>
      <c r="N39" t="s">
        <v>30</v>
      </c>
      <c r="O39">
        <v>37219</v>
      </c>
      <c r="P39" t="s">
        <v>4630</v>
      </c>
      <c r="Q39" s="2">
        <v>6.18</v>
      </c>
      <c r="R39" s="2">
        <v>280</v>
      </c>
      <c r="S39" s="2">
        <v>140</v>
      </c>
      <c r="T39" t="s">
        <v>278</v>
      </c>
      <c r="U39" s="6">
        <v>36579</v>
      </c>
      <c r="V39" s="2">
        <v>47037016000</v>
      </c>
      <c r="W39" s="2" t="s">
        <v>68</v>
      </c>
      <c r="X39" s="1">
        <v>45658</v>
      </c>
      <c r="Y39" s="2">
        <v>3012800</v>
      </c>
      <c r="Z39" s="2">
        <v>0</v>
      </c>
      <c r="AA39" s="2">
        <v>3012800</v>
      </c>
    </row>
    <row r="40" spans="1:27" x14ac:dyDescent="0.3">
      <c r="A40" s="3">
        <v>17</v>
      </c>
      <c r="B40" s="2" t="str">
        <f>"10501049100"</f>
        <v>10501049100</v>
      </c>
      <c r="C40" s="2" t="s">
        <v>4631</v>
      </c>
      <c r="D40" t="s">
        <v>29</v>
      </c>
      <c r="E40" s="2" t="s">
        <v>30</v>
      </c>
      <c r="F40" s="2">
        <v>37203</v>
      </c>
      <c r="G40" s="2" t="s">
        <v>200</v>
      </c>
      <c r="H40" t="s">
        <v>4632</v>
      </c>
      <c r="I40" s="6">
        <v>27395</v>
      </c>
      <c r="J40" s="2" t="s">
        <v>4633</v>
      </c>
      <c r="K40" s="2" t="s">
        <v>34</v>
      </c>
      <c r="L40" t="s">
        <v>35</v>
      </c>
      <c r="M40" t="s">
        <v>29</v>
      </c>
      <c r="N40" t="s">
        <v>30</v>
      </c>
      <c r="O40">
        <v>37219</v>
      </c>
      <c r="P40" t="s">
        <v>4634</v>
      </c>
      <c r="Q40" s="2">
        <v>24.9</v>
      </c>
      <c r="R40" s="2">
        <v>0</v>
      </c>
      <c r="S40" s="2">
        <v>0</v>
      </c>
      <c r="T40" t="s">
        <v>278</v>
      </c>
      <c r="U40" s="6">
        <v>36579</v>
      </c>
      <c r="V40" s="2">
        <v>47037016200</v>
      </c>
      <c r="W40" s="2" t="s">
        <v>68</v>
      </c>
      <c r="X40" s="1">
        <v>45658</v>
      </c>
      <c r="Y40" s="2">
        <v>5208000</v>
      </c>
      <c r="Z40" s="2">
        <v>0</v>
      </c>
      <c r="AA40" s="2">
        <v>5208000</v>
      </c>
    </row>
    <row r="41" spans="1:27" x14ac:dyDescent="0.3">
      <c r="A41" s="3">
        <v>17</v>
      </c>
      <c r="B41" s="2" t="str">
        <f>"10502044700"</f>
        <v>10502044700</v>
      </c>
      <c r="C41" s="2" t="s">
        <v>4635</v>
      </c>
      <c r="D41" t="s">
        <v>29</v>
      </c>
      <c r="E41" s="2" t="s">
        <v>30</v>
      </c>
      <c r="F41" s="2">
        <v>37203</v>
      </c>
      <c r="G41" s="2" t="s">
        <v>200</v>
      </c>
      <c r="H41" t="s">
        <v>4636</v>
      </c>
      <c r="I41" s="6">
        <v>26387</v>
      </c>
      <c r="J41" s="2" t="s">
        <v>4637</v>
      </c>
      <c r="K41" s="2" t="s">
        <v>34</v>
      </c>
      <c r="L41" t="s">
        <v>35</v>
      </c>
      <c r="M41" t="s">
        <v>29</v>
      </c>
      <c r="N41" t="s">
        <v>30</v>
      </c>
      <c r="O41">
        <v>37219</v>
      </c>
      <c r="P41" t="s">
        <v>4638</v>
      </c>
      <c r="Q41" s="2">
        <v>3.17</v>
      </c>
      <c r="R41" s="2">
        <v>627</v>
      </c>
      <c r="S41" s="2">
        <v>150</v>
      </c>
      <c r="T41" t="s">
        <v>4637</v>
      </c>
      <c r="U41" s="6">
        <v>26387</v>
      </c>
      <c r="V41" s="2">
        <v>47037016100</v>
      </c>
      <c r="W41" s="2" t="s">
        <v>68</v>
      </c>
      <c r="X41" s="1">
        <v>45658</v>
      </c>
      <c r="Y41" s="2">
        <v>13808500</v>
      </c>
      <c r="Z41" s="2">
        <v>0</v>
      </c>
      <c r="AA41" s="2">
        <v>13808500</v>
      </c>
    </row>
    <row r="42" spans="1:27" x14ac:dyDescent="0.3">
      <c r="A42" s="3">
        <v>17</v>
      </c>
      <c r="B42" s="2" t="str">
        <f>"10502043400"</f>
        <v>10502043400</v>
      </c>
      <c r="C42" s="2" t="s">
        <v>4639</v>
      </c>
      <c r="D42" t="s">
        <v>29</v>
      </c>
      <c r="E42" s="2" t="s">
        <v>30</v>
      </c>
      <c r="F42" s="2">
        <v>37203</v>
      </c>
      <c r="G42" s="2" t="s">
        <v>200</v>
      </c>
      <c r="H42" t="s">
        <v>4636</v>
      </c>
      <c r="I42" s="6">
        <v>20077</v>
      </c>
      <c r="J42" s="2" t="s">
        <v>4640</v>
      </c>
      <c r="K42" s="2" t="s">
        <v>34</v>
      </c>
      <c r="L42" t="s">
        <v>35</v>
      </c>
      <c r="M42" t="s">
        <v>29</v>
      </c>
      <c r="N42" t="s">
        <v>30</v>
      </c>
      <c r="O42">
        <v>37219</v>
      </c>
      <c r="P42" t="s">
        <v>4641</v>
      </c>
      <c r="Q42" s="2">
        <v>16.41</v>
      </c>
      <c r="R42" s="2">
        <v>0</v>
      </c>
      <c r="S42" s="2">
        <v>0</v>
      </c>
      <c r="T42" t="s">
        <v>556</v>
      </c>
      <c r="U42" s="6">
        <v>20077</v>
      </c>
      <c r="V42" s="2">
        <v>47037016100</v>
      </c>
      <c r="W42" s="2" t="s">
        <v>68</v>
      </c>
      <c r="X42" s="1">
        <v>45658</v>
      </c>
      <c r="Y42" s="2">
        <v>2625600</v>
      </c>
      <c r="Z42" s="2">
        <v>0</v>
      </c>
      <c r="AA42" s="2">
        <v>2625600</v>
      </c>
    </row>
    <row r="43" spans="1:27" x14ac:dyDescent="0.3">
      <c r="A43" s="3">
        <v>17</v>
      </c>
      <c r="B43" s="2" t="str">
        <f>"10408031200"</f>
        <v>10408031200</v>
      </c>
      <c r="C43" s="2" t="s">
        <v>4642</v>
      </c>
      <c r="D43" t="s">
        <v>29</v>
      </c>
      <c r="E43" s="2" t="s">
        <v>30</v>
      </c>
      <c r="F43" s="2">
        <v>37212</v>
      </c>
      <c r="G43" s="2" t="s">
        <v>41</v>
      </c>
      <c r="H43" t="s">
        <v>4643</v>
      </c>
      <c r="I43" s="6">
        <v>28367</v>
      </c>
      <c r="J43" s="2" t="s">
        <v>4644</v>
      </c>
      <c r="K43" s="2" t="s">
        <v>34</v>
      </c>
      <c r="L43" t="s">
        <v>35</v>
      </c>
      <c r="M43" t="s">
        <v>29</v>
      </c>
      <c r="N43" t="s">
        <v>30</v>
      </c>
      <c r="O43">
        <v>37219</v>
      </c>
      <c r="P43" t="s">
        <v>4645</v>
      </c>
      <c r="Q43" s="2">
        <v>0.65</v>
      </c>
      <c r="R43" s="2">
        <v>138</v>
      </c>
      <c r="S43" s="2">
        <v>250</v>
      </c>
      <c r="T43" t="s">
        <v>4646</v>
      </c>
      <c r="U43" s="6">
        <v>27520</v>
      </c>
      <c r="V43" s="2">
        <v>47037016400</v>
      </c>
      <c r="W43" s="2" t="s">
        <v>68</v>
      </c>
      <c r="X43" s="1">
        <v>45658</v>
      </c>
      <c r="Y43" s="2">
        <v>3171200</v>
      </c>
      <c r="Z43" s="2">
        <v>0</v>
      </c>
      <c r="AA43" s="2">
        <v>3171200</v>
      </c>
    </row>
    <row r="44" spans="1:27" x14ac:dyDescent="0.3">
      <c r="A44" s="3">
        <v>17</v>
      </c>
      <c r="B44" s="2" t="str">
        <f>"09313012900"</f>
        <v>09313012900</v>
      </c>
      <c r="C44" s="2" t="s">
        <v>4647</v>
      </c>
      <c r="D44" t="s">
        <v>29</v>
      </c>
      <c r="E44" s="2" t="s">
        <v>30</v>
      </c>
      <c r="F44" s="2">
        <v>37203</v>
      </c>
      <c r="G44" s="2" t="s">
        <v>200</v>
      </c>
      <c r="H44" t="s">
        <v>4648</v>
      </c>
      <c r="I44" s="6">
        <v>27201</v>
      </c>
      <c r="J44" s="2" t="s">
        <v>4649</v>
      </c>
      <c r="K44" s="2" t="s">
        <v>34</v>
      </c>
      <c r="L44" t="s">
        <v>35</v>
      </c>
      <c r="M44" t="s">
        <v>29</v>
      </c>
      <c r="N44" t="s">
        <v>30</v>
      </c>
      <c r="O44">
        <v>37219</v>
      </c>
      <c r="P44" t="s">
        <v>4650</v>
      </c>
      <c r="Q44" s="2">
        <v>0.6</v>
      </c>
      <c r="R44" s="2">
        <v>171</v>
      </c>
      <c r="S44" s="2">
        <v>150</v>
      </c>
      <c r="T44" t="s">
        <v>4649</v>
      </c>
      <c r="U44" s="6">
        <v>27201</v>
      </c>
      <c r="V44" s="2">
        <v>47037019500</v>
      </c>
      <c r="W44" s="2" t="s">
        <v>68</v>
      </c>
      <c r="X44" s="1">
        <v>45658</v>
      </c>
      <c r="Y44" s="2">
        <v>6669000</v>
      </c>
      <c r="Z44" s="2">
        <v>0</v>
      </c>
      <c r="AA44" s="2">
        <v>6669000</v>
      </c>
    </row>
    <row r="45" spans="1:27" x14ac:dyDescent="0.3">
      <c r="A45" s="3">
        <v>17</v>
      </c>
      <c r="B45" s="2" t="str">
        <f>"09314055800"</f>
        <v>09314055800</v>
      </c>
      <c r="C45" s="2" t="s">
        <v>4651</v>
      </c>
      <c r="D45" t="s">
        <v>29</v>
      </c>
      <c r="E45" s="2" t="s">
        <v>30</v>
      </c>
      <c r="F45" s="2">
        <v>37203</v>
      </c>
      <c r="G45" s="2" t="s">
        <v>1485</v>
      </c>
      <c r="H45" t="s">
        <v>206</v>
      </c>
      <c r="I45" s="6">
        <v>34198</v>
      </c>
      <c r="J45" s="2" t="s">
        <v>4652</v>
      </c>
      <c r="K45" s="2" t="s">
        <v>34</v>
      </c>
      <c r="L45" t="s">
        <v>35</v>
      </c>
      <c r="M45" t="s">
        <v>29</v>
      </c>
      <c r="N45" t="s">
        <v>30</v>
      </c>
      <c r="O45">
        <v>37219</v>
      </c>
      <c r="P45" t="s">
        <v>4653</v>
      </c>
      <c r="Q45" s="2">
        <v>0.3</v>
      </c>
      <c r="R45" s="2">
        <v>0</v>
      </c>
      <c r="S45" s="2">
        <v>253</v>
      </c>
      <c r="T45" t="s">
        <v>4654</v>
      </c>
      <c r="U45" s="6">
        <v>21045</v>
      </c>
      <c r="V45" s="2">
        <v>47037016100</v>
      </c>
      <c r="W45" s="2" t="s">
        <v>68</v>
      </c>
      <c r="X45" s="1">
        <v>45658</v>
      </c>
      <c r="Y45" s="2">
        <v>980100</v>
      </c>
      <c r="Z45" s="2">
        <v>0</v>
      </c>
      <c r="AA45" s="2">
        <v>980100</v>
      </c>
    </row>
    <row r="46" spans="1:27" x14ac:dyDescent="0.3">
      <c r="A46" s="3">
        <v>17</v>
      </c>
      <c r="B46" s="2" t="str">
        <f>"09316013200"</f>
        <v>09316013200</v>
      </c>
      <c r="C46" s="2" t="s">
        <v>4655</v>
      </c>
      <c r="D46" t="s">
        <v>29</v>
      </c>
      <c r="E46" s="2" t="s">
        <v>30</v>
      </c>
      <c r="F46" s="2">
        <v>37210</v>
      </c>
      <c r="G46" s="2" t="s">
        <v>200</v>
      </c>
      <c r="H46" t="s">
        <v>206</v>
      </c>
      <c r="I46" s="6">
        <v>30454</v>
      </c>
      <c r="J46" s="2" t="s">
        <v>4656</v>
      </c>
      <c r="K46" s="2" t="s">
        <v>34</v>
      </c>
      <c r="L46" t="s">
        <v>35</v>
      </c>
      <c r="M46" t="s">
        <v>29</v>
      </c>
      <c r="N46" t="s">
        <v>30</v>
      </c>
      <c r="O46">
        <v>37219</v>
      </c>
      <c r="P46" t="s">
        <v>4657</v>
      </c>
      <c r="Q46" s="2">
        <v>0.39</v>
      </c>
      <c r="R46" s="2">
        <v>105</v>
      </c>
      <c r="S46" s="2">
        <v>165</v>
      </c>
      <c r="T46" t="s">
        <v>4658</v>
      </c>
      <c r="U46" s="6">
        <v>9261</v>
      </c>
      <c r="V46" s="2">
        <v>47037014800</v>
      </c>
      <c r="W46" s="2" t="s">
        <v>68</v>
      </c>
      <c r="X46" s="1">
        <v>45658</v>
      </c>
      <c r="Y46" s="2">
        <v>300000</v>
      </c>
      <c r="Z46" s="2">
        <v>0</v>
      </c>
      <c r="AA46" s="2">
        <v>300000</v>
      </c>
    </row>
    <row r="47" spans="1:27" x14ac:dyDescent="0.3">
      <c r="A47" s="3">
        <v>17</v>
      </c>
      <c r="B47" s="2" t="str">
        <f>"10502023900"</f>
        <v>10502023900</v>
      </c>
      <c r="C47" s="2" t="s">
        <v>4659</v>
      </c>
      <c r="D47" t="s">
        <v>29</v>
      </c>
      <c r="E47" s="2" t="s">
        <v>30</v>
      </c>
      <c r="F47" s="2">
        <v>37203</v>
      </c>
      <c r="G47" s="2" t="s">
        <v>200</v>
      </c>
      <c r="H47" t="s">
        <v>206</v>
      </c>
      <c r="I47" s="6">
        <v>28227</v>
      </c>
      <c r="J47" s="2" t="s">
        <v>4660</v>
      </c>
      <c r="K47" s="2" t="s">
        <v>34</v>
      </c>
      <c r="L47" t="s">
        <v>35</v>
      </c>
      <c r="M47" t="s">
        <v>29</v>
      </c>
      <c r="N47" t="s">
        <v>30</v>
      </c>
      <c r="O47">
        <v>37219</v>
      </c>
      <c r="P47" t="s">
        <v>4661</v>
      </c>
      <c r="Q47" s="2">
        <v>5.14</v>
      </c>
      <c r="R47" s="2">
        <v>0</v>
      </c>
      <c r="S47" s="2">
        <v>0</v>
      </c>
      <c r="T47" t="s">
        <v>4660</v>
      </c>
      <c r="U47" s="6">
        <v>28227</v>
      </c>
      <c r="V47" s="2">
        <v>47037016100</v>
      </c>
      <c r="W47" s="2" t="s">
        <v>68</v>
      </c>
      <c r="X47" s="1">
        <v>45658</v>
      </c>
      <c r="Y47" s="2">
        <v>616800</v>
      </c>
      <c r="Z47" s="2">
        <v>0</v>
      </c>
      <c r="AA47" s="2">
        <v>616800</v>
      </c>
    </row>
    <row r="48" spans="1:27" x14ac:dyDescent="0.3">
      <c r="A48" s="3">
        <v>17</v>
      </c>
      <c r="B48" s="2" t="str">
        <f>"10502039800"</f>
        <v>10502039800</v>
      </c>
      <c r="C48" s="2" t="s">
        <v>4662</v>
      </c>
      <c r="D48" t="s">
        <v>29</v>
      </c>
      <c r="E48" s="2" t="s">
        <v>30</v>
      </c>
      <c r="F48" s="2">
        <v>37203</v>
      </c>
      <c r="G48" s="2" t="s">
        <v>64</v>
      </c>
      <c r="H48" t="s">
        <v>206</v>
      </c>
      <c r="I48" s="6">
        <v>28227</v>
      </c>
      <c r="J48" s="2" t="s">
        <v>4663</v>
      </c>
      <c r="K48" s="2" t="s">
        <v>34</v>
      </c>
      <c r="L48" t="s">
        <v>35</v>
      </c>
      <c r="M48" t="s">
        <v>29</v>
      </c>
      <c r="N48" t="s">
        <v>30</v>
      </c>
      <c r="O48">
        <v>37219</v>
      </c>
      <c r="P48" t="s">
        <v>4664</v>
      </c>
      <c r="Q48" s="2">
        <v>1.08</v>
      </c>
      <c r="R48" s="2">
        <v>0</v>
      </c>
      <c r="S48" s="2">
        <v>0</v>
      </c>
      <c r="T48" t="s">
        <v>4663</v>
      </c>
      <c r="U48" s="6">
        <v>28227</v>
      </c>
      <c r="V48" s="2">
        <v>47037016100</v>
      </c>
      <c r="W48" s="2" t="s">
        <v>68</v>
      </c>
      <c r="X48" s="1">
        <v>45658</v>
      </c>
      <c r="Y48" s="2">
        <v>129600</v>
      </c>
      <c r="Z48" s="2">
        <v>0</v>
      </c>
      <c r="AA48" s="2">
        <v>129600</v>
      </c>
    </row>
    <row r="49" spans="1:27" x14ac:dyDescent="0.3">
      <c r="A49" s="3">
        <v>17</v>
      </c>
      <c r="B49" s="2" t="str">
        <f>"10510020200"</f>
        <v>10510020200</v>
      </c>
      <c r="C49" s="2" t="s">
        <v>4665</v>
      </c>
      <c r="D49" t="s">
        <v>29</v>
      </c>
      <c r="E49" s="2" t="s">
        <v>30</v>
      </c>
      <c r="F49" s="2">
        <v>37203</v>
      </c>
      <c r="G49" s="2" t="s">
        <v>200</v>
      </c>
      <c r="H49" t="s">
        <v>211</v>
      </c>
      <c r="I49" s="6">
        <v>29637</v>
      </c>
      <c r="J49" s="2" t="s">
        <v>4666</v>
      </c>
      <c r="K49" s="2" t="s">
        <v>34</v>
      </c>
      <c r="L49" t="s">
        <v>35</v>
      </c>
      <c r="M49" t="s">
        <v>29</v>
      </c>
      <c r="N49" t="s">
        <v>30</v>
      </c>
      <c r="O49">
        <v>37219</v>
      </c>
      <c r="P49" t="s">
        <v>4667</v>
      </c>
      <c r="Q49" s="2">
        <v>0.43</v>
      </c>
      <c r="R49" s="2">
        <v>270</v>
      </c>
      <c r="S49" s="2">
        <v>72</v>
      </c>
      <c r="T49" t="s">
        <v>4668</v>
      </c>
      <c r="U49" s="6">
        <v>25203</v>
      </c>
      <c r="V49" s="2">
        <v>47037017000</v>
      </c>
      <c r="W49" s="2" t="s">
        <v>68</v>
      </c>
      <c r="X49" s="1">
        <v>45658</v>
      </c>
      <c r="Y49" s="2">
        <v>270000</v>
      </c>
      <c r="Z49" s="2">
        <v>0</v>
      </c>
      <c r="AA49" s="2">
        <v>270000</v>
      </c>
    </row>
    <row r="50" spans="1:27" x14ac:dyDescent="0.3">
      <c r="A50" s="3">
        <v>17</v>
      </c>
      <c r="B50" s="2" t="str">
        <f>"10510019100"</f>
        <v>10510019100</v>
      </c>
      <c r="C50" s="2" t="s">
        <v>4669</v>
      </c>
      <c r="D50" t="s">
        <v>29</v>
      </c>
      <c r="E50" s="2" t="s">
        <v>30</v>
      </c>
      <c r="F50" s="2">
        <v>37203</v>
      </c>
      <c r="G50" s="2" t="s">
        <v>200</v>
      </c>
      <c r="H50" t="s">
        <v>211</v>
      </c>
      <c r="I50" s="6">
        <v>29637</v>
      </c>
      <c r="J50" s="2" t="s">
        <v>4666</v>
      </c>
      <c r="K50" s="2" t="s">
        <v>34</v>
      </c>
      <c r="L50" t="s">
        <v>35</v>
      </c>
      <c r="M50" t="s">
        <v>29</v>
      </c>
      <c r="N50" t="s">
        <v>30</v>
      </c>
      <c r="O50">
        <v>37219</v>
      </c>
      <c r="P50" t="s">
        <v>4670</v>
      </c>
      <c r="Q50" s="2">
        <v>0.08</v>
      </c>
      <c r="R50" s="2">
        <v>135</v>
      </c>
      <c r="S50" s="2">
        <v>172</v>
      </c>
      <c r="T50" t="s">
        <v>4671</v>
      </c>
      <c r="U50" s="6">
        <v>28394</v>
      </c>
      <c r="V50" s="2">
        <v>47037016200</v>
      </c>
      <c r="W50" s="2" t="s">
        <v>68</v>
      </c>
      <c r="X50" s="1">
        <v>45658</v>
      </c>
      <c r="Y50" s="2">
        <v>557600</v>
      </c>
      <c r="Z50" s="2">
        <v>0</v>
      </c>
      <c r="AA50" s="2">
        <v>557600</v>
      </c>
    </row>
    <row r="51" spans="1:27" x14ac:dyDescent="0.3">
      <c r="A51" s="3">
        <v>17</v>
      </c>
      <c r="B51" s="2" t="str">
        <f>"10510019200"</f>
        <v>10510019200</v>
      </c>
      <c r="C51" s="2" t="s">
        <v>4672</v>
      </c>
      <c r="D51" t="s">
        <v>29</v>
      </c>
      <c r="E51" s="2" t="s">
        <v>30</v>
      </c>
      <c r="F51" s="2">
        <v>37203</v>
      </c>
      <c r="G51" s="2" t="s">
        <v>200</v>
      </c>
      <c r="H51" t="s">
        <v>211</v>
      </c>
      <c r="I51" s="6">
        <v>29637</v>
      </c>
      <c r="J51" s="2" t="s">
        <v>4666</v>
      </c>
      <c r="K51" s="2" t="s">
        <v>34</v>
      </c>
      <c r="L51" t="s">
        <v>35</v>
      </c>
      <c r="M51" t="s">
        <v>29</v>
      </c>
      <c r="N51" t="s">
        <v>30</v>
      </c>
      <c r="O51">
        <v>37219</v>
      </c>
      <c r="P51" t="s">
        <v>4673</v>
      </c>
      <c r="Q51" s="2">
        <v>0.02</v>
      </c>
      <c r="R51" s="2">
        <v>52</v>
      </c>
      <c r="S51" s="2">
        <v>7</v>
      </c>
      <c r="T51" t="s">
        <v>4674</v>
      </c>
      <c r="U51" s="6">
        <v>29637</v>
      </c>
      <c r="V51" s="2">
        <v>47037016200</v>
      </c>
      <c r="W51" s="2" t="s">
        <v>68</v>
      </c>
      <c r="X51" s="1">
        <v>45658</v>
      </c>
      <c r="Y51" s="2">
        <v>139400</v>
      </c>
      <c r="Z51" s="2">
        <v>0</v>
      </c>
      <c r="AA51" s="2">
        <v>139400</v>
      </c>
    </row>
    <row r="52" spans="1:27" x14ac:dyDescent="0.3">
      <c r="A52" s="3">
        <v>17</v>
      </c>
      <c r="B52" s="2" t="str">
        <f>"10502044600"</f>
        <v>10502044600</v>
      </c>
      <c r="C52" s="2" t="s">
        <v>4675</v>
      </c>
      <c r="D52" t="s">
        <v>29</v>
      </c>
      <c r="E52" s="2" t="s">
        <v>30</v>
      </c>
      <c r="F52" s="2">
        <v>37203</v>
      </c>
      <c r="G52" s="2" t="s">
        <v>1510</v>
      </c>
      <c r="H52" t="s">
        <v>211</v>
      </c>
      <c r="I52" s="6">
        <v>28227</v>
      </c>
      <c r="J52" s="2" t="s">
        <v>4676</v>
      </c>
      <c r="K52" s="2">
        <v>0</v>
      </c>
      <c r="L52" t="s">
        <v>35</v>
      </c>
      <c r="M52" t="s">
        <v>29</v>
      </c>
      <c r="N52" t="s">
        <v>30</v>
      </c>
      <c r="O52">
        <v>37219</v>
      </c>
      <c r="P52" t="s">
        <v>4677</v>
      </c>
      <c r="Q52" s="2">
        <v>37.799999999999997</v>
      </c>
      <c r="R52" s="2">
        <v>0</v>
      </c>
      <c r="S52" s="2">
        <v>0</v>
      </c>
      <c r="T52" t="s">
        <v>4678</v>
      </c>
      <c r="U52" s="6">
        <v>34186</v>
      </c>
      <c r="V52" s="2">
        <v>47037016100</v>
      </c>
      <c r="W52" s="2" t="s">
        <v>68</v>
      </c>
      <c r="X52" s="1">
        <v>45658</v>
      </c>
      <c r="Y52" s="2">
        <v>6048000</v>
      </c>
      <c r="Z52" s="2">
        <v>0</v>
      </c>
      <c r="AA52" s="2">
        <v>6048000</v>
      </c>
    </row>
    <row r="53" spans="1:27" x14ac:dyDescent="0.3">
      <c r="A53" s="3">
        <v>17</v>
      </c>
      <c r="B53" s="2" t="str">
        <f>"10506008401"</f>
        <v>10506008401</v>
      </c>
      <c r="C53" s="2" t="s">
        <v>4679</v>
      </c>
      <c r="D53" t="s">
        <v>29</v>
      </c>
      <c r="E53" s="2" t="s">
        <v>30</v>
      </c>
      <c r="F53" s="2">
        <v>37203</v>
      </c>
      <c r="G53" s="2" t="s">
        <v>200</v>
      </c>
      <c r="H53" t="s">
        <v>4680</v>
      </c>
      <c r="I53" s="6">
        <v>27395</v>
      </c>
      <c r="J53" s="2" t="s">
        <v>4681</v>
      </c>
      <c r="K53" s="2" t="s">
        <v>34</v>
      </c>
      <c r="L53" t="s">
        <v>35</v>
      </c>
      <c r="M53" t="s">
        <v>29</v>
      </c>
      <c r="N53" t="s">
        <v>30</v>
      </c>
      <c r="O53">
        <v>37219</v>
      </c>
      <c r="P53" t="s">
        <v>4682</v>
      </c>
      <c r="Q53" s="2">
        <v>13.49</v>
      </c>
      <c r="R53" s="2">
        <v>0</v>
      </c>
      <c r="S53" s="2">
        <v>0</v>
      </c>
      <c r="T53" t="s">
        <v>4683</v>
      </c>
      <c r="U53" s="6">
        <v>37992</v>
      </c>
      <c r="V53" s="2">
        <v>47037016200</v>
      </c>
      <c r="W53" s="2" t="s">
        <v>68</v>
      </c>
      <c r="X53" s="1">
        <v>45658</v>
      </c>
      <c r="Y53" s="2">
        <v>576000</v>
      </c>
      <c r="Z53" s="2">
        <v>0</v>
      </c>
      <c r="AA53" s="2">
        <v>576000</v>
      </c>
    </row>
    <row r="54" spans="1:27" x14ac:dyDescent="0.3">
      <c r="A54" s="3">
        <v>17</v>
      </c>
      <c r="B54" s="2" t="str">
        <f>"10501049500"</f>
        <v>10501049500</v>
      </c>
      <c r="C54" s="2" t="s">
        <v>4684</v>
      </c>
      <c r="D54" t="s">
        <v>29</v>
      </c>
      <c r="E54" s="2" t="s">
        <v>30</v>
      </c>
      <c r="F54" s="2">
        <v>37203</v>
      </c>
      <c r="G54" s="2" t="s">
        <v>64</v>
      </c>
      <c r="H54" t="s">
        <v>4685</v>
      </c>
      <c r="I54" s="6">
        <v>30768</v>
      </c>
      <c r="J54" s="2" t="s">
        <v>4686</v>
      </c>
      <c r="K54" s="2" t="s">
        <v>34</v>
      </c>
      <c r="L54" t="s">
        <v>35</v>
      </c>
      <c r="M54" t="s">
        <v>29</v>
      </c>
      <c r="N54" t="s">
        <v>30</v>
      </c>
      <c r="O54">
        <v>37219</v>
      </c>
      <c r="P54" t="s">
        <v>4687</v>
      </c>
      <c r="Q54" s="2">
        <v>0.37</v>
      </c>
      <c r="R54" s="2">
        <v>62</v>
      </c>
      <c r="S54" s="2">
        <v>78</v>
      </c>
      <c r="T54" t="s">
        <v>4688</v>
      </c>
      <c r="U54" s="6">
        <v>30775</v>
      </c>
      <c r="V54" s="2">
        <v>47037016200</v>
      </c>
      <c r="W54" s="2" t="s">
        <v>68</v>
      </c>
      <c r="X54" s="1">
        <v>45658</v>
      </c>
      <c r="Y54" s="2">
        <v>644800</v>
      </c>
      <c r="Z54" s="2">
        <v>0</v>
      </c>
      <c r="AA54" s="2">
        <v>644800</v>
      </c>
    </row>
    <row r="55" spans="1:27" x14ac:dyDescent="0.3">
      <c r="A55" s="3">
        <v>17</v>
      </c>
      <c r="B55" s="2" t="str">
        <f>"09313053800"</f>
        <v>09313053800</v>
      </c>
      <c r="C55" s="2" t="s">
        <v>4689</v>
      </c>
      <c r="D55" t="s">
        <v>29</v>
      </c>
      <c r="E55" s="2" t="s">
        <v>30</v>
      </c>
      <c r="F55" s="2">
        <v>37203</v>
      </c>
      <c r="G55" s="2" t="s">
        <v>200</v>
      </c>
      <c r="H55" t="s">
        <v>4690</v>
      </c>
      <c r="I55" s="6">
        <v>26567</v>
      </c>
      <c r="J55" s="2" t="s">
        <v>4691</v>
      </c>
      <c r="K55" s="2" t="s">
        <v>34</v>
      </c>
      <c r="L55" t="s">
        <v>35</v>
      </c>
      <c r="M55" t="s">
        <v>29</v>
      </c>
      <c r="N55" t="s">
        <v>30</v>
      </c>
      <c r="O55">
        <v>37219</v>
      </c>
      <c r="P55" t="s">
        <v>4692</v>
      </c>
      <c r="Q55" s="2">
        <v>2.5499999999999998</v>
      </c>
      <c r="R55" s="2">
        <v>680</v>
      </c>
      <c r="S55" s="2">
        <v>118</v>
      </c>
      <c r="T55" t="s">
        <v>4691</v>
      </c>
      <c r="U55" s="6">
        <v>26567</v>
      </c>
      <c r="V55" s="2">
        <v>47037016300</v>
      </c>
      <c r="W55" s="2" t="s">
        <v>68</v>
      </c>
      <c r="X55" s="1">
        <v>45658</v>
      </c>
      <c r="Y55" s="2">
        <v>1860000</v>
      </c>
      <c r="Z55" s="2">
        <v>0</v>
      </c>
      <c r="AA55" s="2">
        <v>1860000</v>
      </c>
    </row>
    <row r="56" spans="1:27" x14ac:dyDescent="0.3">
      <c r="A56" s="3">
        <v>17</v>
      </c>
      <c r="B56" s="2" t="str">
        <f>"09316041900"</f>
        <v>09316041900</v>
      </c>
      <c r="C56" s="2" t="s">
        <v>4693</v>
      </c>
      <c r="D56" t="s">
        <v>29</v>
      </c>
      <c r="E56" s="2" t="s">
        <v>30</v>
      </c>
      <c r="F56" s="2">
        <v>37210</v>
      </c>
      <c r="G56" s="2" t="s">
        <v>64</v>
      </c>
      <c r="H56" t="s">
        <v>1332</v>
      </c>
      <c r="I56" s="6">
        <v>35018</v>
      </c>
      <c r="J56" s="2" t="s">
        <v>4694</v>
      </c>
      <c r="K56" s="2" t="s">
        <v>34</v>
      </c>
      <c r="L56" t="s">
        <v>35</v>
      </c>
      <c r="M56" t="s">
        <v>29</v>
      </c>
      <c r="N56" t="s">
        <v>30</v>
      </c>
      <c r="O56">
        <v>37219</v>
      </c>
      <c r="P56" t="s">
        <v>4695</v>
      </c>
      <c r="Q56" s="2">
        <v>0.11</v>
      </c>
      <c r="R56" s="2">
        <v>30</v>
      </c>
      <c r="S56" s="2">
        <v>165</v>
      </c>
      <c r="T56" t="s">
        <v>4696</v>
      </c>
      <c r="U56" s="6">
        <v>4879</v>
      </c>
      <c r="V56" s="2">
        <v>47037014800</v>
      </c>
      <c r="W56" s="2" t="s">
        <v>68</v>
      </c>
      <c r="X56" s="1">
        <v>45658</v>
      </c>
      <c r="Y56" s="2">
        <v>160000</v>
      </c>
      <c r="Z56" s="2">
        <v>0</v>
      </c>
      <c r="AA56" s="2">
        <v>160000</v>
      </c>
    </row>
    <row r="57" spans="1:27" x14ac:dyDescent="0.3">
      <c r="A57" s="3">
        <v>17</v>
      </c>
      <c r="B57" s="2" t="str">
        <f>"11804013900"</f>
        <v>11804013900</v>
      </c>
      <c r="C57" s="2" t="s">
        <v>4697</v>
      </c>
      <c r="D57" t="s">
        <v>29</v>
      </c>
      <c r="E57" s="2" t="s">
        <v>30</v>
      </c>
      <c r="F57" s="2">
        <v>37211</v>
      </c>
      <c r="G57" s="2" t="s">
        <v>253</v>
      </c>
      <c r="H57" t="s">
        <v>4698</v>
      </c>
      <c r="I57" s="6">
        <v>13717</v>
      </c>
      <c r="J57" s="2" t="s">
        <v>4699</v>
      </c>
      <c r="K57" s="2" t="s">
        <v>34</v>
      </c>
      <c r="L57" t="s">
        <v>35</v>
      </c>
      <c r="M57" t="s">
        <v>29</v>
      </c>
      <c r="N57" t="s">
        <v>30</v>
      </c>
      <c r="O57">
        <v>37219</v>
      </c>
      <c r="P57" t="s">
        <v>4700</v>
      </c>
      <c r="Q57" s="2">
        <v>6.72</v>
      </c>
      <c r="R57" s="2">
        <v>0</v>
      </c>
      <c r="S57" s="2">
        <v>0</v>
      </c>
      <c r="T57" t="s">
        <v>4699</v>
      </c>
      <c r="U57" s="6">
        <v>13717</v>
      </c>
      <c r="V57" s="2">
        <v>47037017200</v>
      </c>
      <c r="W57" s="2" t="s">
        <v>68</v>
      </c>
      <c r="X57" s="1">
        <v>45658</v>
      </c>
      <c r="Y57" s="2">
        <v>3326600</v>
      </c>
      <c r="Z57" s="2">
        <v>1772900</v>
      </c>
      <c r="AA57" s="2">
        <v>1553700</v>
      </c>
    </row>
    <row r="58" spans="1:27" x14ac:dyDescent="0.3">
      <c r="A58" s="3">
        <v>17</v>
      </c>
      <c r="B58" s="2" t="str">
        <f>"09315036600"</f>
        <v>09315036600</v>
      </c>
      <c r="C58" s="2" t="s">
        <v>4701</v>
      </c>
      <c r="D58" t="s">
        <v>29</v>
      </c>
      <c r="E58" s="2" t="s">
        <v>30</v>
      </c>
      <c r="F58" s="2">
        <v>37210</v>
      </c>
      <c r="G58" s="2" t="s">
        <v>253</v>
      </c>
      <c r="H58" t="s">
        <v>4702</v>
      </c>
      <c r="I58" s="6">
        <v>27395</v>
      </c>
      <c r="J58" s="2" t="s">
        <v>4703</v>
      </c>
      <c r="K58" s="2" t="s">
        <v>34</v>
      </c>
      <c r="L58" t="s">
        <v>35</v>
      </c>
      <c r="M58" t="s">
        <v>29</v>
      </c>
      <c r="N58" t="s">
        <v>30</v>
      </c>
      <c r="O58">
        <v>37219</v>
      </c>
      <c r="P58" t="s">
        <v>4704</v>
      </c>
      <c r="Q58" s="2">
        <v>7.8</v>
      </c>
      <c r="R58" s="2">
        <v>0</v>
      </c>
      <c r="S58" s="2">
        <v>0</v>
      </c>
      <c r="T58" t="s">
        <v>4705</v>
      </c>
      <c r="U58" s="6">
        <v>14457</v>
      </c>
      <c r="V58" s="2">
        <v>47037016000</v>
      </c>
      <c r="W58" s="2" t="s">
        <v>68</v>
      </c>
      <c r="X58" s="1">
        <v>45658</v>
      </c>
      <c r="Y58" s="2">
        <v>3510000</v>
      </c>
      <c r="Z58" s="2">
        <v>0</v>
      </c>
      <c r="AA58" s="2">
        <v>3510000</v>
      </c>
    </row>
    <row r="59" spans="1:27" x14ac:dyDescent="0.3">
      <c r="A59" s="3">
        <v>17</v>
      </c>
      <c r="B59" s="2" t="str">
        <f>"10501048900"</f>
        <v>10501048900</v>
      </c>
      <c r="C59" s="2" t="s">
        <v>4706</v>
      </c>
      <c r="D59" t="s">
        <v>29</v>
      </c>
      <c r="E59" s="2" t="s">
        <v>30</v>
      </c>
      <c r="F59" s="2">
        <v>37203</v>
      </c>
      <c r="G59" s="2" t="s">
        <v>200</v>
      </c>
      <c r="H59" t="s">
        <v>4707</v>
      </c>
      <c r="I59" s="6">
        <v>26700</v>
      </c>
      <c r="J59" s="2" t="s">
        <v>4708</v>
      </c>
      <c r="K59" s="2" t="s">
        <v>34</v>
      </c>
      <c r="L59" t="s">
        <v>35</v>
      </c>
      <c r="M59" t="s">
        <v>29</v>
      </c>
      <c r="N59" t="s">
        <v>30</v>
      </c>
      <c r="O59">
        <v>37219</v>
      </c>
      <c r="P59" t="s">
        <v>4709</v>
      </c>
      <c r="Q59" s="2">
        <v>0.67</v>
      </c>
      <c r="R59" s="2">
        <v>172</v>
      </c>
      <c r="S59" s="2">
        <v>169</v>
      </c>
      <c r="T59" t="s">
        <v>278</v>
      </c>
      <c r="U59" s="6">
        <v>36586</v>
      </c>
      <c r="V59" s="2">
        <v>47037016200</v>
      </c>
      <c r="W59" s="2" t="s">
        <v>68</v>
      </c>
      <c r="X59" s="1">
        <v>45658</v>
      </c>
      <c r="Y59" s="2">
        <v>744000</v>
      </c>
      <c r="Z59" s="2">
        <v>0</v>
      </c>
      <c r="AA59" s="2">
        <v>744000</v>
      </c>
    </row>
    <row r="60" spans="1:27" x14ac:dyDescent="0.3">
      <c r="A60" s="3">
        <v>17</v>
      </c>
      <c r="B60" s="2" t="str">
        <f>"10501049000"</f>
        <v>10501049000</v>
      </c>
      <c r="C60" s="2" t="s">
        <v>4710</v>
      </c>
      <c r="D60" t="s">
        <v>29</v>
      </c>
      <c r="E60" s="2" t="s">
        <v>30</v>
      </c>
      <c r="F60" s="2">
        <v>37203</v>
      </c>
      <c r="G60" s="2" t="s">
        <v>253</v>
      </c>
      <c r="H60" t="s">
        <v>4707</v>
      </c>
      <c r="I60" s="6">
        <v>27395</v>
      </c>
      <c r="J60" s="2" t="s">
        <v>4711</v>
      </c>
      <c r="K60" s="2" t="s">
        <v>34</v>
      </c>
      <c r="L60" t="s">
        <v>35</v>
      </c>
      <c r="M60" t="s">
        <v>29</v>
      </c>
      <c r="N60" t="s">
        <v>30</v>
      </c>
      <c r="O60">
        <v>37219</v>
      </c>
      <c r="P60" t="s">
        <v>4712</v>
      </c>
      <c r="Q60" s="2">
        <v>5.35</v>
      </c>
      <c r="R60" s="2">
        <v>0</v>
      </c>
      <c r="S60" s="2">
        <v>0</v>
      </c>
      <c r="T60" t="s">
        <v>4713</v>
      </c>
      <c r="U60" s="6">
        <v>14373</v>
      </c>
      <c r="V60" s="2">
        <v>47037016200</v>
      </c>
      <c r="W60" s="2" t="s">
        <v>68</v>
      </c>
      <c r="X60" s="1">
        <v>45658</v>
      </c>
      <c r="Y60" s="2">
        <v>2232000</v>
      </c>
      <c r="Z60" s="2">
        <v>0</v>
      </c>
      <c r="AA60" s="2">
        <v>2232000</v>
      </c>
    </row>
    <row r="61" spans="1:27" x14ac:dyDescent="0.3">
      <c r="A61" s="3">
        <v>17</v>
      </c>
      <c r="B61" s="2" t="str">
        <f>"10511019800"</f>
        <v>10511019800</v>
      </c>
      <c r="C61" s="2" t="s">
        <v>4714</v>
      </c>
      <c r="D61" t="s">
        <v>29</v>
      </c>
      <c r="E61" s="2" t="s">
        <v>30</v>
      </c>
      <c r="F61" s="2">
        <v>37203</v>
      </c>
      <c r="G61" s="2" t="s">
        <v>253</v>
      </c>
      <c r="H61" t="s">
        <v>4715</v>
      </c>
      <c r="I61" s="6">
        <v>7321</v>
      </c>
      <c r="J61" s="2" t="s">
        <v>4716</v>
      </c>
      <c r="K61" s="2" t="s">
        <v>34</v>
      </c>
      <c r="L61" t="s">
        <v>35</v>
      </c>
      <c r="M61" t="s">
        <v>29</v>
      </c>
      <c r="N61" t="s">
        <v>30</v>
      </c>
      <c r="O61">
        <v>37219</v>
      </c>
      <c r="P61" t="s">
        <v>4717</v>
      </c>
      <c r="Q61" s="2">
        <v>8.3000000000000007</v>
      </c>
      <c r="R61" s="2">
        <v>0</v>
      </c>
      <c r="S61" s="2">
        <v>0</v>
      </c>
      <c r="T61" t="s">
        <v>4718</v>
      </c>
      <c r="U61" s="6">
        <v>36530</v>
      </c>
      <c r="V61" s="2">
        <v>47037016100</v>
      </c>
      <c r="W61" s="2" t="s">
        <v>68</v>
      </c>
      <c r="X61" s="1">
        <v>45658</v>
      </c>
      <c r="Y61" s="2">
        <v>8533200</v>
      </c>
      <c r="Z61" s="2">
        <v>0</v>
      </c>
      <c r="AA61" s="2">
        <v>8533200</v>
      </c>
    </row>
    <row r="62" spans="1:27" x14ac:dyDescent="0.3">
      <c r="A62" s="3">
        <v>17</v>
      </c>
      <c r="B62" s="2" t="str">
        <f>"10503029500"</f>
        <v>10503029500</v>
      </c>
      <c r="C62" s="2" t="s">
        <v>4719</v>
      </c>
      <c r="D62" t="s">
        <v>29</v>
      </c>
      <c r="E62" s="2" t="s">
        <v>30</v>
      </c>
      <c r="F62" s="2">
        <v>37210</v>
      </c>
      <c r="G62" s="2" t="s">
        <v>253</v>
      </c>
      <c r="H62" t="s">
        <v>4720</v>
      </c>
      <c r="I62" s="6">
        <v>27395</v>
      </c>
      <c r="J62" s="2" t="s">
        <v>4721</v>
      </c>
      <c r="K62" s="2" t="s">
        <v>34</v>
      </c>
      <c r="L62" t="s">
        <v>35</v>
      </c>
      <c r="M62" t="s">
        <v>29</v>
      </c>
      <c r="N62" t="s">
        <v>30</v>
      </c>
      <c r="O62">
        <v>37219</v>
      </c>
      <c r="P62" t="s">
        <v>4722</v>
      </c>
      <c r="Q62" s="2">
        <v>4.13</v>
      </c>
      <c r="R62" s="2">
        <v>0</v>
      </c>
      <c r="S62" s="2">
        <v>0</v>
      </c>
      <c r="T62" t="s">
        <v>278</v>
      </c>
      <c r="U62" s="6">
        <v>36581</v>
      </c>
      <c r="V62" s="2">
        <v>47037016000</v>
      </c>
      <c r="W62" s="2" t="s">
        <v>68</v>
      </c>
      <c r="X62" s="1">
        <v>45658</v>
      </c>
      <c r="Y62" s="2">
        <v>2013400</v>
      </c>
      <c r="Z62" s="2">
        <v>0</v>
      </c>
      <c r="AA62" s="2">
        <v>2013400</v>
      </c>
    </row>
    <row r="63" spans="1:27" x14ac:dyDescent="0.3">
      <c r="A63" s="3">
        <v>17</v>
      </c>
      <c r="B63" s="2" t="str">
        <f>"10505012500"</f>
        <v>10505012500</v>
      </c>
      <c r="C63" s="2" t="s">
        <v>4723</v>
      </c>
      <c r="D63" t="s">
        <v>29</v>
      </c>
      <c r="E63" s="2" t="s">
        <v>30</v>
      </c>
      <c r="F63" s="2">
        <v>37212</v>
      </c>
      <c r="G63" s="2" t="s">
        <v>253</v>
      </c>
      <c r="H63" t="s">
        <v>4724</v>
      </c>
      <c r="I63" s="6">
        <v>28369</v>
      </c>
      <c r="J63" s="2" t="s">
        <v>4725</v>
      </c>
      <c r="K63" s="2" t="s">
        <v>34</v>
      </c>
      <c r="L63" t="s">
        <v>35</v>
      </c>
      <c r="M63" t="s">
        <v>29</v>
      </c>
      <c r="N63" t="s">
        <v>30</v>
      </c>
      <c r="O63">
        <v>37219</v>
      </c>
      <c r="P63" t="s">
        <v>4726</v>
      </c>
      <c r="Q63" s="2">
        <v>7.26</v>
      </c>
      <c r="R63" s="2">
        <v>1084</v>
      </c>
      <c r="S63" s="2">
        <v>0</v>
      </c>
      <c r="T63" t="s">
        <v>4592</v>
      </c>
      <c r="U63" s="6">
        <v>41682</v>
      </c>
      <c r="V63" s="2">
        <v>47037016300</v>
      </c>
      <c r="W63" s="2" t="s">
        <v>68</v>
      </c>
      <c r="X63" s="1">
        <v>45658</v>
      </c>
      <c r="Y63" s="2">
        <v>7797200</v>
      </c>
      <c r="Z63" s="2">
        <v>0</v>
      </c>
      <c r="AA63" s="2">
        <v>7797200</v>
      </c>
    </row>
    <row r="64" spans="1:27" x14ac:dyDescent="0.3">
      <c r="A64" s="3">
        <v>17</v>
      </c>
      <c r="B64" s="2" t="str">
        <f>"09316034100"</f>
        <v>09316034100</v>
      </c>
      <c r="C64" s="2" t="s">
        <v>4727</v>
      </c>
      <c r="D64" t="s">
        <v>29</v>
      </c>
      <c r="E64" s="2" t="s">
        <v>30</v>
      </c>
      <c r="F64" s="2">
        <v>37210</v>
      </c>
      <c r="G64" s="2" t="s">
        <v>253</v>
      </c>
      <c r="H64" t="s">
        <v>4728</v>
      </c>
      <c r="I64" s="6">
        <v>23841</v>
      </c>
      <c r="J64" s="2" t="s">
        <v>4729</v>
      </c>
      <c r="K64" s="2" t="s">
        <v>34</v>
      </c>
      <c r="L64" t="s">
        <v>35</v>
      </c>
      <c r="M64" t="s">
        <v>29</v>
      </c>
      <c r="N64" t="s">
        <v>30</v>
      </c>
      <c r="O64">
        <v>37219</v>
      </c>
      <c r="P64" t="s">
        <v>4730</v>
      </c>
      <c r="Q64" s="2">
        <v>5.63</v>
      </c>
      <c r="R64" s="2">
        <v>522</v>
      </c>
      <c r="S64" s="2">
        <v>432</v>
      </c>
      <c r="T64" t="s">
        <v>278</v>
      </c>
      <c r="U64" s="6">
        <v>36587</v>
      </c>
      <c r="V64" s="2">
        <v>47037014800</v>
      </c>
      <c r="W64" s="2" t="s">
        <v>68</v>
      </c>
      <c r="X64" s="1">
        <v>45658</v>
      </c>
      <c r="Y64" s="2">
        <v>2800000</v>
      </c>
      <c r="Z64" s="2">
        <v>0</v>
      </c>
      <c r="AA64" s="2">
        <v>2800000</v>
      </c>
    </row>
    <row r="65" spans="1:27" x14ac:dyDescent="0.3">
      <c r="A65" s="3">
        <v>17</v>
      </c>
      <c r="B65" s="2" t="str">
        <f>"10502043600"</f>
        <v>10502043600</v>
      </c>
      <c r="C65" s="2" t="s">
        <v>4731</v>
      </c>
      <c r="D65" t="s">
        <v>29</v>
      </c>
      <c r="E65" s="2" t="s">
        <v>30</v>
      </c>
      <c r="F65" s="2">
        <v>37203</v>
      </c>
      <c r="G65" s="2" t="s">
        <v>2490</v>
      </c>
      <c r="H65" t="s">
        <v>4732</v>
      </c>
      <c r="I65" s="6">
        <v>25542</v>
      </c>
      <c r="J65" s="2" t="s">
        <v>4733</v>
      </c>
      <c r="K65" s="2" t="s">
        <v>34</v>
      </c>
      <c r="L65" t="s">
        <v>35</v>
      </c>
      <c r="M65" t="s">
        <v>29</v>
      </c>
      <c r="N65" t="s">
        <v>30</v>
      </c>
      <c r="O65">
        <v>37219</v>
      </c>
      <c r="P65" t="s">
        <v>4734</v>
      </c>
      <c r="Q65" s="2">
        <v>4.58</v>
      </c>
      <c r="R65" s="2">
        <v>277</v>
      </c>
      <c r="S65" s="2">
        <v>594</v>
      </c>
      <c r="T65" t="s">
        <v>4735</v>
      </c>
      <c r="U65" s="6">
        <v>30327</v>
      </c>
      <c r="V65" s="2">
        <v>47037016200</v>
      </c>
      <c r="W65" s="2" t="s">
        <v>68</v>
      </c>
      <c r="X65" s="1">
        <v>45658</v>
      </c>
      <c r="Y65" s="2">
        <v>3003000</v>
      </c>
      <c r="Z65" s="2">
        <v>27000</v>
      </c>
      <c r="AA65" s="2">
        <v>2976000</v>
      </c>
    </row>
    <row r="66" spans="1:27" x14ac:dyDescent="0.3">
      <c r="A66" s="3">
        <v>17</v>
      </c>
      <c r="B66" s="2" t="str">
        <f>"10502017100"</f>
        <v>10502017100</v>
      </c>
      <c r="C66" s="2" t="s">
        <v>4736</v>
      </c>
      <c r="D66" t="s">
        <v>29</v>
      </c>
      <c r="E66" s="2" t="s">
        <v>30</v>
      </c>
      <c r="F66" s="2">
        <v>37203</v>
      </c>
      <c r="G66" s="2" t="s">
        <v>253</v>
      </c>
      <c r="H66" t="s">
        <v>4732</v>
      </c>
      <c r="I66" s="6">
        <v>20821</v>
      </c>
      <c r="J66" s="2" t="s">
        <v>4737</v>
      </c>
      <c r="K66" s="2" t="s">
        <v>34</v>
      </c>
      <c r="L66" t="s">
        <v>35</v>
      </c>
      <c r="M66" t="s">
        <v>29</v>
      </c>
      <c r="N66" t="s">
        <v>30</v>
      </c>
      <c r="O66">
        <v>37219</v>
      </c>
      <c r="P66" t="s">
        <v>4738</v>
      </c>
      <c r="Q66" s="2">
        <v>5.14</v>
      </c>
      <c r="R66" s="2">
        <v>588</v>
      </c>
      <c r="S66" s="2">
        <v>572</v>
      </c>
      <c r="T66" t="s">
        <v>4739</v>
      </c>
      <c r="U66" s="6">
        <v>22721</v>
      </c>
      <c r="V66" s="2">
        <v>47037016200</v>
      </c>
      <c r="W66" s="2" t="s">
        <v>68</v>
      </c>
      <c r="X66" s="1">
        <v>45658</v>
      </c>
      <c r="Y66" s="2">
        <v>2976000</v>
      </c>
      <c r="Z66" s="2">
        <v>0</v>
      </c>
      <c r="AA66" s="2">
        <v>2976000</v>
      </c>
    </row>
    <row r="67" spans="1:27" x14ac:dyDescent="0.3">
      <c r="A67" s="3">
        <v>17</v>
      </c>
      <c r="B67" s="2" t="str">
        <f>"09316024100"</f>
        <v>09316024100</v>
      </c>
      <c r="C67" s="2" t="s">
        <v>4740</v>
      </c>
      <c r="D67" t="s">
        <v>29</v>
      </c>
      <c r="E67" s="2" t="s">
        <v>30</v>
      </c>
      <c r="F67" s="2">
        <v>37210</v>
      </c>
      <c r="G67" s="2" t="s">
        <v>152</v>
      </c>
      <c r="H67" t="s">
        <v>280</v>
      </c>
      <c r="I67" s="6">
        <v>34610</v>
      </c>
      <c r="J67" s="2" t="s">
        <v>4741</v>
      </c>
      <c r="K67" s="2">
        <v>0</v>
      </c>
      <c r="L67" t="s">
        <v>35</v>
      </c>
      <c r="M67" t="s">
        <v>29</v>
      </c>
      <c r="N67" t="s">
        <v>30</v>
      </c>
      <c r="O67">
        <v>37219</v>
      </c>
      <c r="P67" t="s">
        <v>4742</v>
      </c>
      <c r="Q67" s="2">
        <v>0.09</v>
      </c>
      <c r="R67" s="2">
        <v>35</v>
      </c>
      <c r="S67" s="2">
        <v>112</v>
      </c>
      <c r="T67" t="s">
        <v>4743</v>
      </c>
      <c r="U67" s="6">
        <v>25875</v>
      </c>
      <c r="V67" s="2">
        <v>47037014800</v>
      </c>
      <c r="W67" s="2" t="s">
        <v>68</v>
      </c>
      <c r="X67" s="1">
        <v>45658</v>
      </c>
      <c r="Y67" s="2">
        <v>156800</v>
      </c>
      <c r="Z67" s="2">
        <v>0</v>
      </c>
      <c r="AA67" s="2">
        <v>156800</v>
      </c>
    </row>
    <row r="68" spans="1:27" x14ac:dyDescent="0.3">
      <c r="A68" s="3">
        <v>17</v>
      </c>
      <c r="B68" s="2" t="str">
        <f>"10504025300"</f>
        <v>10504025300</v>
      </c>
      <c r="C68" s="2" t="s">
        <v>4744</v>
      </c>
      <c r="D68" t="s">
        <v>29</v>
      </c>
      <c r="E68" s="2" t="s">
        <v>30</v>
      </c>
      <c r="F68" s="2">
        <v>37210</v>
      </c>
      <c r="G68" s="2" t="s">
        <v>152</v>
      </c>
      <c r="H68" t="s">
        <v>280</v>
      </c>
      <c r="I68" s="6">
        <v>34577</v>
      </c>
      <c r="J68" s="2" t="s">
        <v>4745</v>
      </c>
      <c r="K68" s="2">
        <v>0</v>
      </c>
      <c r="L68" t="s">
        <v>35</v>
      </c>
      <c r="M68" t="s">
        <v>29</v>
      </c>
      <c r="N68" t="s">
        <v>30</v>
      </c>
      <c r="O68">
        <v>37219</v>
      </c>
      <c r="P68" t="s">
        <v>4746</v>
      </c>
      <c r="Q68" s="2">
        <v>0.18</v>
      </c>
      <c r="R68" s="2">
        <v>50</v>
      </c>
      <c r="S68" s="2">
        <v>161</v>
      </c>
      <c r="T68" t="s">
        <v>4747</v>
      </c>
      <c r="U68" s="6">
        <v>24289</v>
      </c>
      <c r="V68" s="2">
        <v>47037016000</v>
      </c>
      <c r="W68" s="2" t="s">
        <v>68</v>
      </c>
      <c r="X68" s="1">
        <v>45658</v>
      </c>
      <c r="Y68" s="2">
        <v>198000</v>
      </c>
      <c r="Z68" s="2">
        <v>0</v>
      </c>
      <c r="AA68" s="2">
        <v>198000</v>
      </c>
    </row>
    <row r="69" spans="1:27" x14ac:dyDescent="0.3">
      <c r="A69" s="3">
        <v>17</v>
      </c>
      <c r="B69" s="2" t="str">
        <f>"10504026800"</f>
        <v>10504026800</v>
      </c>
      <c r="C69" s="2" t="s">
        <v>4748</v>
      </c>
      <c r="D69" t="s">
        <v>29</v>
      </c>
      <c r="E69" s="2" t="s">
        <v>30</v>
      </c>
      <c r="F69" s="2">
        <v>37210</v>
      </c>
      <c r="G69" s="2" t="s">
        <v>41</v>
      </c>
      <c r="H69" t="s">
        <v>280</v>
      </c>
      <c r="I69" s="6">
        <v>33930</v>
      </c>
      <c r="J69" s="2" t="s">
        <v>4749</v>
      </c>
      <c r="K69" s="2" t="s">
        <v>34</v>
      </c>
      <c r="L69" t="s">
        <v>35</v>
      </c>
      <c r="M69" t="s">
        <v>29</v>
      </c>
      <c r="N69" t="s">
        <v>30</v>
      </c>
      <c r="O69">
        <v>37219</v>
      </c>
      <c r="P69" t="s">
        <v>4750</v>
      </c>
      <c r="Q69" s="2">
        <v>7.0000000000000007E-2</v>
      </c>
      <c r="R69" s="2">
        <v>32</v>
      </c>
      <c r="S69" s="2">
        <v>96</v>
      </c>
      <c r="T69" t="s">
        <v>4751</v>
      </c>
      <c r="U69" s="6">
        <v>24372</v>
      </c>
      <c r="V69" s="2">
        <v>47037016000</v>
      </c>
      <c r="W69" s="2" t="s">
        <v>68</v>
      </c>
      <c r="X69" s="1">
        <v>45658</v>
      </c>
      <c r="Y69" s="2">
        <v>55900</v>
      </c>
      <c r="Z69" s="2">
        <v>0</v>
      </c>
      <c r="AA69" s="2">
        <v>55900</v>
      </c>
    </row>
    <row r="70" spans="1:27" x14ac:dyDescent="0.3">
      <c r="A70" s="3">
        <v>17</v>
      </c>
      <c r="B70" s="2" t="str">
        <f>"10504026900"</f>
        <v>10504026900</v>
      </c>
      <c r="C70" s="2" t="s">
        <v>4507</v>
      </c>
      <c r="D70" t="s">
        <v>29</v>
      </c>
      <c r="E70" s="2" t="s">
        <v>30</v>
      </c>
      <c r="F70" s="2">
        <v>37210</v>
      </c>
      <c r="G70" s="2" t="s">
        <v>41</v>
      </c>
      <c r="H70" t="s">
        <v>280</v>
      </c>
      <c r="I70" s="6">
        <v>40051</v>
      </c>
      <c r="J70" s="2" t="s">
        <v>4752</v>
      </c>
      <c r="K70" s="2">
        <v>4640</v>
      </c>
      <c r="L70" t="s">
        <v>35</v>
      </c>
      <c r="M70" t="s">
        <v>29</v>
      </c>
      <c r="N70" t="s">
        <v>30</v>
      </c>
      <c r="O70">
        <v>37219</v>
      </c>
      <c r="P70" t="s">
        <v>4750</v>
      </c>
      <c r="Q70" s="2">
        <v>0.02</v>
      </c>
      <c r="R70" s="2">
        <v>22</v>
      </c>
      <c r="S70" s="2">
        <v>95</v>
      </c>
      <c r="T70" t="s">
        <v>4751</v>
      </c>
      <c r="U70" s="6">
        <v>24372</v>
      </c>
      <c r="V70" s="2">
        <v>47037016000</v>
      </c>
      <c r="W70" s="2" t="s">
        <v>68</v>
      </c>
      <c r="X70" s="1">
        <v>45658</v>
      </c>
      <c r="Y70" s="2">
        <v>38000</v>
      </c>
      <c r="Z70" s="2">
        <v>0</v>
      </c>
      <c r="AA70" s="2">
        <v>38000</v>
      </c>
    </row>
    <row r="71" spans="1:27" x14ac:dyDescent="0.3">
      <c r="A71" s="3">
        <v>17</v>
      </c>
      <c r="B71" s="2" t="str">
        <f>"10508003000"</f>
        <v>10508003000</v>
      </c>
      <c r="C71" s="2" t="s">
        <v>4753</v>
      </c>
      <c r="D71" t="s">
        <v>29</v>
      </c>
      <c r="E71" s="2" t="s">
        <v>30</v>
      </c>
      <c r="F71" s="2">
        <v>37210</v>
      </c>
      <c r="G71" s="2" t="s">
        <v>152</v>
      </c>
      <c r="H71" t="s">
        <v>280</v>
      </c>
      <c r="I71" s="6">
        <v>27395</v>
      </c>
      <c r="J71" s="2" t="s">
        <v>4754</v>
      </c>
      <c r="K71" s="2">
        <v>0</v>
      </c>
      <c r="L71" t="s">
        <v>35</v>
      </c>
      <c r="M71" t="s">
        <v>29</v>
      </c>
      <c r="N71" t="s">
        <v>30</v>
      </c>
      <c r="O71">
        <v>37219</v>
      </c>
      <c r="P71" t="s">
        <v>4755</v>
      </c>
      <c r="Q71" s="2">
        <v>0.28999999999999998</v>
      </c>
      <c r="R71" s="2">
        <v>64</v>
      </c>
      <c r="S71" s="2">
        <v>240</v>
      </c>
      <c r="T71" t="s">
        <v>4756</v>
      </c>
      <c r="U71" s="2" t="s">
        <v>4757</v>
      </c>
      <c r="V71" s="2">
        <v>47037016000</v>
      </c>
      <c r="W71" s="2" t="s">
        <v>68</v>
      </c>
      <c r="X71" s="1">
        <v>45658</v>
      </c>
      <c r="Y71" s="2">
        <v>328400</v>
      </c>
      <c r="Z71" s="2">
        <v>0</v>
      </c>
      <c r="AA71" s="2">
        <v>328400</v>
      </c>
    </row>
    <row r="72" spans="1:27" x14ac:dyDescent="0.3">
      <c r="A72" s="3">
        <v>17</v>
      </c>
      <c r="B72" s="2" t="str">
        <f>"10508011300"</f>
        <v>10508011300</v>
      </c>
      <c r="C72" s="2" t="s">
        <v>4758</v>
      </c>
      <c r="D72" t="s">
        <v>29</v>
      </c>
      <c r="E72" s="2" t="s">
        <v>30</v>
      </c>
      <c r="F72" s="2">
        <v>37210</v>
      </c>
      <c r="G72" s="2" t="s">
        <v>1485</v>
      </c>
      <c r="H72" t="s">
        <v>280</v>
      </c>
      <c r="I72" s="6">
        <v>36169</v>
      </c>
      <c r="J72" s="2" t="s">
        <v>4759</v>
      </c>
      <c r="K72" s="2">
        <v>0</v>
      </c>
      <c r="L72" t="s">
        <v>35</v>
      </c>
      <c r="M72" t="s">
        <v>29</v>
      </c>
      <c r="N72" t="s">
        <v>30</v>
      </c>
      <c r="O72">
        <v>37219</v>
      </c>
      <c r="P72" t="s">
        <v>4760</v>
      </c>
      <c r="Q72" s="2">
        <v>0.17</v>
      </c>
      <c r="R72" s="2">
        <v>50</v>
      </c>
      <c r="S72" s="2">
        <v>149</v>
      </c>
      <c r="T72" t="s">
        <v>4761</v>
      </c>
      <c r="U72" s="6">
        <v>23117</v>
      </c>
      <c r="V72" s="2">
        <v>47037016000</v>
      </c>
      <c r="W72" s="2" t="s">
        <v>68</v>
      </c>
      <c r="X72" s="1">
        <v>45658</v>
      </c>
      <c r="Y72" s="2">
        <v>19400</v>
      </c>
      <c r="Z72" s="2">
        <v>0</v>
      </c>
      <c r="AA72" s="2">
        <v>19400</v>
      </c>
    </row>
    <row r="73" spans="1:27" x14ac:dyDescent="0.3">
      <c r="A73" s="3">
        <v>17</v>
      </c>
      <c r="B73" s="2" t="str">
        <f>"10508011800"</f>
        <v>10508011800</v>
      </c>
      <c r="C73" s="2" t="s">
        <v>4762</v>
      </c>
      <c r="D73" t="s">
        <v>29</v>
      </c>
      <c r="E73" s="2" t="s">
        <v>30</v>
      </c>
      <c r="F73" s="2">
        <v>37210</v>
      </c>
      <c r="G73" s="2" t="s">
        <v>41</v>
      </c>
      <c r="H73" t="s">
        <v>280</v>
      </c>
      <c r="I73" s="6">
        <v>36169</v>
      </c>
      <c r="J73" s="2" t="s">
        <v>4759</v>
      </c>
      <c r="K73" s="2">
        <v>0</v>
      </c>
      <c r="L73" t="s">
        <v>35</v>
      </c>
      <c r="M73" t="s">
        <v>29</v>
      </c>
      <c r="N73" t="s">
        <v>30</v>
      </c>
      <c r="O73">
        <v>37219</v>
      </c>
      <c r="P73" t="s">
        <v>4763</v>
      </c>
      <c r="Q73" s="2">
        <v>0.17</v>
      </c>
      <c r="R73" s="2">
        <v>50</v>
      </c>
      <c r="S73" s="2">
        <v>149</v>
      </c>
      <c r="T73" t="s">
        <v>4764</v>
      </c>
      <c r="U73" s="6">
        <v>26147</v>
      </c>
      <c r="V73" s="2">
        <v>47037016000</v>
      </c>
      <c r="W73" s="2" t="s">
        <v>68</v>
      </c>
      <c r="X73" s="1">
        <v>45658</v>
      </c>
      <c r="Y73" s="2">
        <v>186300</v>
      </c>
      <c r="Z73" s="2">
        <v>0</v>
      </c>
      <c r="AA73" s="2">
        <v>186300</v>
      </c>
    </row>
    <row r="74" spans="1:27" x14ac:dyDescent="0.3">
      <c r="A74" s="3">
        <v>17</v>
      </c>
      <c r="B74" s="2" t="str">
        <f>"10508016700"</f>
        <v>10508016700</v>
      </c>
      <c r="C74" s="2" t="s">
        <v>4765</v>
      </c>
      <c r="D74" t="s">
        <v>29</v>
      </c>
      <c r="E74" s="2" t="s">
        <v>30</v>
      </c>
      <c r="F74" s="2">
        <v>37210</v>
      </c>
      <c r="G74" s="2" t="s">
        <v>41</v>
      </c>
      <c r="H74" t="s">
        <v>280</v>
      </c>
      <c r="I74" s="6">
        <v>36169</v>
      </c>
      <c r="J74" s="2" t="s">
        <v>4759</v>
      </c>
      <c r="K74" s="2">
        <v>0</v>
      </c>
      <c r="L74" t="s">
        <v>35</v>
      </c>
      <c r="M74" t="s">
        <v>29</v>
      </c>
      <c r="N74" t="s">
        <v>30</v>
      </c>
      <c r="O74">
        <v>37219</v>
      </c>
      <c r="P74" t="s">
        <v>4766</v>
      </c>
      <c r="Q74" s="2">
        <v>0.15</v>
      </c>
      <c r="R74" s="2">
        <v>50</v>
      </c>
      <c r="S74" s="2">
        <v>140</v>
      </c>
      <c r="T74" t="s">
        <v>4761</v>
      </c>
      <c r="U74" s="6">
        <v>23117</v>
      </c>
      <c r="V74" s="2">
        <v>47037016000</v>
      </c>
      <c r="W74" s="2" t="s">
        <v>68</v>
      </c>
      <c r="X74" s="1">
        <v>45658</v>
      </c>
      <c r="Y74" s="2">
        <v>17500</v>
      </c>
      <c r="Z74" s="2">
        <v>0</v>
      </c>
      <c r="AA74" s="2">
        <v>17500</v>
      </c>
    </row>
    <row r="75" spans="1:27" x14ac:dyDescent="0.3">
      <c r="A75" s="3">
        <v>17</v>
      </c>
      <c r="B75" s="2" t="str">
        <f>"10508016500"</f>
        <v>10508016500</v>
      </c>
      <c r="C75" s="2" t="s">
        <v>4767</v>
      </c>
      <c r="D75" t="s">
        <v>29</v>
      </c>
      <c r="E75" s="2" t="s">
        <v>30</v>
      </c>
      <c r="F75" s="2">
        <v>37210</v>
      </c>
      <c r="G75" s="2" t="s">
        <v>41</v>
      </c>
      <c r="H75" t="s">
        <v>280</v>
      </c>
      <c r="I75" s="6">
        <v>29678</v>
      </c>
      <c r="J75" s="2" t="s">
        <v>4768</v>
      </c>
      <c r="K75" s="2">
        <v>618</v>
      </c>
      <c r="L75" t="s">
        <v>35</v>
      </c>
      <c r="M75" t="s">
        <v>29</v>
      </c>
      <c r="N75" t="s">
        <v>30</v>
      </c>
      <c r="O75">
        <v>37219</v>
      </c>
      <c r="P75" t="s">
        <v>4769</v>
      </c>
      <c r="Q75" s="2">
        <v>0.12</v>
      </c>
      <c r="R75" s="2">
        <v>38</v>
      </c>
      <c r="S75" s="2">
        <v>140</v>
      </c>
      <c r="T75" t="s">
        <v>4770</v>
      </c>
      <c r="U75" s="6">
        <v>7853</v>
      </c>
      <c r="V75" s="2">
        <v>47037016000</v>
      </c>
      <c r="W75" s="2" t="s">
        <v>68</v>
      </c>
      <c r="X75" s="1">
        <v>45658</v>
      </c>
      <c r="Y75" s="2">
        <v>14400</v>
      </c>
      <c r="Z75" s="2">
        <v>0</v>
      </c>
      <c r="AA75" s="2">
        <v>14400</v>
      </c>
    </row>
    <row r="76" spans="1:27" x14ac:dyDescent="0.3">
      <c r="A76" s="3">
        <v>17</v>
      </c>
      <c r="B76" s="2" t="str">
        <f>"10508016800"</f>
        <v>10508016800</v>
      </c>
      <c r="C76" s="2" t="s">
        <v>4765</v>
      </c>
      <c r="D76" t="s">
        <v>29</v>
      </c>
      <c r="E76" s="2" t="s">
        <v>30</v>
      </c>
      <c r="F76" s="2">
        <v>37210</v>
      </c>
      <c r="G76" s="2" t="s">
        <v>41</v>
      </c>
      <c r="H76" t="s">
        <v>280</v>
      </c>
      <c r="I76" s="6">
        <v>36169</v>
      </c>
      <c r="J76" s="2" t="s">
        <v>4759</v>
      </c>
      <c r="K76" s="2">
        <v>0</v>
      </c>
      <c r="L76" t="s">
        <v>35</v>
      </c>
      <c r="M76" t="s">
        <v>29</v>
      </c>
      <c r="N76" t="s">
        <v>30</v>
      </c>
      <c r="O76">
        <v>37219</v>
      </c>
      <c r="P76" t="s">
        <v>4771</v>
      </c>
      <c r="Q76" s="2">
        <v>0.16</v>
      </c>
      <c r="R76" s="2">
        <v>50</v>
      </c>
      <c r="S76" s="2">
        <v>135</v>
      </c>
      <c r="T76" t="s">
        <v>4761</v>
      </c>
      <c r="U76" s="6">
        <v>23117</v>
      </c>
      <c r="V76" s="2">
        <v>47037016000</v>
      </c>
      <c r="W76" s="2" t="s">
        <v>68</v>
      </c>
      <c r="X76" s="1">
        <v>45658</v>
      </c>
      <c r="Y76" s="2">
        <v>16900</v>
      </c>
      <c r="Z76" s="2">
        <v>0</v>
      </c>
      <c r="AA76" s="2">
        <v>16900</v>
      </c>
    </row>
    <row r="77" spans="1:27" x14ac:dyDescent="0.3">
      <c r="A77" s="3">
        <v>17</v>
      </c>
      <c r="B77" s="2" t="str">
        <f>"10508017100"</f>
        <v>10508017100</v>
      </c>
      <c r="C77" s="2" t="s">
        <v>4772</v>
      </c>
      <c r="D77" t="s">
        <v>29</v>
      </c>
      <c r="E77" s="2" t="s">
        <v>30</v>
      </c>
      <c r="F77" s="2">
        <v>37210</v>
      </c>
      <c r="G77" s="2" t="s">
        <v>41</v>
      </c>
      <c r="H77" t="s">
        <v>280</v>
      </c>
      <c r="I77" s="6">
        <v>36592</v>
      </c>
      <c r="J77" s="2" t="s">
        <v>4773</v>
      </c>
      <c r="K77" s="2">
        <v>62116</v>
      </c>
      <c r="L77" t="s">
        <v>35</v>
      </c>
      <c r="M77" t="s">
        <v>29</v>
      </c>
      <c r="N77" t="s">
        <v>30</v>
      </c>
      <c r="O77">
        <v>37219</v>
      </c>
      <c r="P77" t="s">
        <v>4774</v>
      </c>
      <c r="Q77" s="2">
        <v>0.12</v>
      </c>
      <c r="R77" s="2">
        <v>55</v>
      </c>
      <c r="S77" s="2">
        <v>100</v>
      </c>
      <c r="T77" t="s">
        <v>4775</v>
      </c>
      <c r="U77" s="6">
        <v>8617</v>
      </c>
      <c r="V77" s="2">
        <v>47037016000</v>
      </c>
      <c r="W77" s="2" t="s">
        <v>68</v>
      </c>
      <c r="X77" s="1">
        <v>45658</v>
      </c>
      <c r="Y77" s="2">
        <v>137500</v>
      </c>
      <c r="Z77" s="2">
        <v>0</v>
      </c>
      <c r="AA77" s="2">
        <v>137500</v>
      </c>
    </row>
    <row r="78" spans="1:27" x14ac:dyDescent="0.3">
      <c r="A78" s="3">
        <v>17</v>
      </c>
      <c r="B78" s="2" t="str">
        <f>"10508022500"</f>
        <v>10508022500</v>
      </c>
      <c r="C78" s="2" t="s">
        <v>4776</v>
      </c>
      <c r="D78" t="s">
        <v>29</v>
      </c>
      <c r="E78" s="2" t="s">
        <v>30</v>
      </c>
      <c r="F78" s="2">
        <v>37210</v>
      </c>
      <c r="G78" s="2" t="s">
        <v>41</v>
      </c>
      <c r="H78" t="s">
        <v>280</v>
      </c>
      <c r="I78" s="6">
        <v>36169</v>
      </c>
      <c r="J78" s="2" t="s">
        <v>4759</v>
      </c>
      <c r="K78" s="2">
        <v>0</v>
      </c>
      <c r="L78" t="s">
        <v>35</v>
      </c>
      <c r="M78" t="s">
        <v>29</v>
      </c>
      <c r="N78" t="s">
        <v>30</v>
      </c>
      <c r="O78">
        <v>37219</v>
      </c>
      <c r="P78" t="s">
        <v>4777</v>
      </c>
      <c r="Q78" s="2">
        <v>0.11</v>
      </c>
      <c r="R78" s="2">
        <v>50</v>
      </c>
      <c r="S78" s="2">
        <v>105</v>
      </c>
      <c r="T78" t="s">
        <v>4778</v>
      </c>
      <c r="U78" s="6">
        <v>17747</v>
      </c>
      <c r="V78" s="2">
        <v>47037016000</v>
      </c>
      <c r="W78" s="2" t="s">
        <v>68</v>
      </c>
      <c r="X78" s="1">
        <v>45658</v>
      </c>
      <c r="Y78" s="2">
        <v>64400</v>
      </c>
      <c r="Z78" s="2">
        <v>0</v>
      </c>
      <c r="AA78" s="2">
        <v>64400</v>
      </c>
    </row>
    <row r="79" spans="1:27" x14ac:dyDescent="0.3">
      <c r="A79" s="3">
        <v>17</v>
      </c>
      <c r="B79" s="2" t="str">
        <f>"10506008400"</f>
        <v>10506008400</v>
      </c>
      <c r="C79" s="2" t="s">
        <v>4779</v>
      </c>
      <c r="D79" t="s">
        <v>29</v>
      </c>
      <c r="E79" s="2" t="s">
        <v>30</v>
      </c>
      <c r="F79" s="2">
        <v>37203</v>
      </c>
      <c r="G79" s="2" t="s">
        <v>152</v>
      </c>
      <c r="H79" t="s">
        <v>280</v>
      </c>
      <c r="I79" s="6">
        <v>27395</v>
      </c>
      <c r="J79" s="2" t="s">
        <v>4780</v>
      </c>
      <c r="K79" s="2" t="s">
        <v>34</v>
      </c>
      <c r="L79" t="s">
        <v>35</v>
      </c>
      <c r="M79" t="s">
        <v>29</v>
      </c>
      <c r="N79" t="s">
        <v>30</v>
      </c>
      <c r="O79">
        <v>37219</v>
      </c>
      <c r="P79" t="s">
        <v>4781</v>
      </c>
      <c r="Q79" s="2">
        <v>16.72</v>
      </c>
      <c r="R79" s="2">
        <v>0</v>
      </c>
      <c r="S79" s="2">
        <v>0</v>
      </c>
      <c r="T79" t="s">
        <v>4782</v>
      </c>
      <c r="U79" s="6">
        <v>36356</v>
      </c>
      <c r="V79" s="2">
        <v>47037016200</v>
      </c>
      <c r="W79" s="2" t="s">
        <v>68</v>
      </c>
      <c r="X79" s="1">
        <v>45658</v>
      </c>
      <c r="Y79" s="2">
        <v>2184800</v>
      </c>
      <c r="Z79" s="2">
        <v>0</v>
      </c>
      <c r="AA79" s="2">
        <v>2184800</v>
      </c>
    </row>
    <row r="80" spans="1:27" x14ac:dyDescent="0.3">
      <c r="A80" s="3">
        <v>17</v>
      </c>
      <c r="B80" s="2" t="str">
        <f>"10512002100"</f>
        <v>10512002100</v>
      </c>
      <c r="C80" s="2" t="s">
        <v>4783</v>
      </c>
      <c r="D80" t="s">
        <v>29</v>
      </c>
      <c r="E80" s="2" t="s">
        <v>30</v>
      </c>
      <c r="F80" s="2">
        <v>37210</v>
      </c>
      <c r="G80" s="2" t="s">
        <v>1485</v>
      </c>
      <c r="H80" t="s">
        <v>280</v>
      </c>
      <c r="I80" s="6">
        <v>40947</v>
      </c>
      <c r="J80" s="2" t="s">
        <v>4784</v>
      </c>
      <c r="K80" s="2">
        <v>0</v>
      </c>
      <c r="L80" t="s">
        <v>35</v>
      </c>
      <c r="M80" t="s">
        <v>29</v>
      </c>
      <c r="N80" t="s">
        <v>30</v>
      </c>
      <c r="O80">
        <v>37219</v>
      </c>
      <c r="P80" t="s">
        <v>4785</v>
      </c>
      <c r="Q80" s="2">
        <v>1.27</v>
      </c>
      <c r="R80" s="2">
        <v>302</v>
      </c>
      <c r="S80" s="2">
        <v>375</v>
      </c>
      <c r="T80" t="s">
        <v>4786</v>
      </c>
      <c r="U80" s="6">
        <v>26480</v>
      </c>
      <c r="V80" s="2">
        <v>47037016100</v>
      </c>
      <c r="W80" s="2" t="s">
        <v>68</v>
      </c>
      <c r="X80" s="1">
        <v>45658</v>
      </c>
      <c r="Y80" s="2">
        <v>1037300</v>
      </c>
      <c r="Z80" s="2">
        <v>0</v>
      </c>
      <c r="AA80" s="2">
        <v>1037300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36E5-7916-4F26-A930-6353EA6AE78D}">
  <sheetPr>
    <tabColor rgb="FF002060"/>
  </sheetPr>
  <dimension ref="A1:AA27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18</v>
      </c>
      <c r="B2" s="2" t="str">
        <f>"10513005800"</f>
        <v>10513005800</v>
      </c>
      <c r="C2" s="2" t="s">
        <v>4787</v>
      </c>
      <c r="D2" t="s">
        <v>29</v>
      </c>
      <c r="E2" s="2" t="s">
        <v>30</v>
      </c>
      <c r="F2" s="2">
        <v>37204</v>
      </c>
      <c r="G2" s="2" t="s">
        <v>64</v>
      </c>
      <c r="H2" t="s">
        <v>99</v>
      </c>
      <c r="I2" s="6">
        <v>26995</v>
      </c>
      <c r="J2" s="2" t="s">
        <v>4788</v>
      </c>
      <c r="K2" s="2">
        <v>220</v>
      </c>
      <c r="L2" t="s">
        <v>35</v>
      </c>
      <c r="M2" t="s">
        <v>29</v>
      </c>
      <c r="N2" t="s">
        <v>30</v>
      </c>
      <c r="O2">
        <v>37219</v>
      </c>
      <c r="P2" t="s">
        <v>4789</v>
      </c>
      <c r="Q2" s="2">
        <v>0.06</v>
      </c>
      <c r="R2" s="2">
        <v>19</v>
      </c>
      <c r="S2" s="2">
        <v>130</v>
      </c>
      <c r="T2" t="s">
        <v>4790</v>
      </c>
      <c r="U2" s="6">
        <v>5595</v>
      </c>
      <c r="V2" s="2">
        <v>47037017000</v>
      </c>
      <c r="W2" s="2" t="s">
        <v>68</v>
      </c>
      <c r="X2" s="1">
        <v>45658</v>
      </c>
      <c r="Y2" s="2">
        <v>48000</v>
      </c>
      <c r="Z2" s="2">
        <v>0</v>
      </c>
      <c r="AA2" s="2">
        <v>48000</v>
      </c>
    </row>
    <row r="3" spans="1:27" x14ac:dyDescent="0.3">
      <c r="A3" s="3">
        <v>18</v>
      </c>
      <c r="B3" s="2" t="str">
        <f>"10509021900"</f>
        <v>10509021900</v>
      </c>
      <c r="C3" s="2" t="s">
        <v>4791</v>
      </c>
      <c r="D3" t="s">
        <v>29</v>
      </c>
      <c r="E3" s="2" t="s">
        <v>30</v>
      </c>
      <c r="F3" s="2">
        <v>37204</v>
      </c>
      <c r="G3" s="2" t="s">
        <v>152</v>
      </c>
      <c r="H3" t="s">
        <v>4792</v>
      </c>
      <c r="I3" s="6">
        <v>32364</v>
      </c>
      <c r="J3" s="2" t="s">
        <v>4793</v>
      </c>
      <c r="K3" s="2">
        <v>5200</v>
      </c>
      <c r="L3" t="s">
        <v>35</v>
      </c>
      <c r="M3" t="s">
        <v>29</v>
      </c>
      <c r="N3" t="s">
        <v>30</v>
      </c>
      <c r="O3">
        <v>37219</v>
      </c>
      <c r="P3" t="s">
        <v>4794</v>
      </c>
      <c r="Q3" s="2">
        <v>0.56999999999999995</v>
      </c>
      <c r="R3" s="2">
        <v>146</v>
      </c>
      <c r="S3" s="2">
        <v>124</v>
      </c>
      <c r="T3" t="s">
        <v>4793</v>
      </c>
      <c r="U3" s="6">
        <v>32364</v>
      </c>
      <c r="V3" s="2">
        <v>47037016200</v>
      </c>
      <c r="W3" s="2" t="s">
        <v>68</v>
      </c>
      <c r="X3" s="1">
        <v>45658</v>
      </c>
      <c r="Y3" s="2">
        <v>960000</v>
      </c>
      <c r="Z3" s="2">
        <v>0</v>
      </c>
      <c r="AA3" s="2">
        <v>960000</v>
      </c>
    </row>
    <row r="4" spans="1:27" x14ac:dyDescent="0.3">
      <c r="A4" s="3">
        <v>18</v>
      </c>
      <c r="B4" s="2" t="str">
        <f>"10415020400"</f>
        <v>10415020400</v>
      </c>
      <c r="C4" s="2" t="s">
        <v>4795</v>
      </c>
      <c r="D4" t="s">
        <v>29</v>
      </c>
      <c r="E4" s="2" t="s">
        <v>30</v>
      </c>
      <c r="F4" s="2">
        <v>37212</v>
      </c>
      <c r="G4" s="2" t="s">
        <v>147</v>
      </c>
      <c r="H4" t="s">
        <v>4796</v>
      </c>
      <c r="I4" s="6">
        <v>10790</v>
      </c>
      <c r="J4" s="2" t="s">
        <v>4797</v>
      </c>
      <c r="K4" s="2" t="s">
        <v>34</v>
      </c>
      <c r="L4" t="s">
        <v>35</v>
      </c>
      <c r="M4" t="s">
        <v>29</v>
      </c>
      <c r="N4" t="s">
        <v>30</v>
      </c>
      <c r="O4">
        <v>37219</v>
      </c>
      <c r="P4" t="s">
        <v>4798</v>
      </c>
      <c r="Q4" s="2">
        <v>0.27</v>
      </c>
      <c r="R4" s="2">
        <v>130</v>
      </c>
      <c r="S4" s="2">
        <v>71</v>
      </c>
      <c r="T4" t="s">
        <v>4799</v>
      </c>
      <c r="U4" s="6">
        <v>10790</v>
      </c>
      <c r="V4" s="2">
        <v>47037016900</v>
      </c>
      <c r="W4" s="2" t="s">
        <v>68</v>
      </c>
      <c r="X4" s="1">
        <v>45658</v>
      </c>
      <c r="Y4" s="2">
        <v>1764200</v>
      </c>
      <c r="Z4" s="2">
        <v>0</v>
      </c>
      <c r="AA4" s="2">
        <v>1764200</v>
      </c>
    </row>
    <row r="5" spans="1:27" x14ac:dyDescent="0.3">
      <c r="A5" s="3">
        <v>18</v>
      </c>
      <c r="B5" s="2" t="str">
        <f>"10415020300"</f>
        <v>10415020300</v>
      </c>
      <c r="C5" s="2" t="s">
        <v>4800</v>
      </c>
      <c r="D5" t="s">
        <v>29</v>
      </c>
      <c r="E5" s="2" t="s">
        <v>30</v>
      </c>
      <c r="F5" s="2">
        <v>37212</v>
      </c>
      <c r="G5" s="2" t="s">
        <v>64</v>
      </c>
      <c r="H5" t="s">
        <v>4801</v>
      </c>
      <c r="I5" s="6">
        <v>38834</v>
      </c>
      <c r="J5" s="2" t="s">
        <v>4802</v>
      </c>
      <c r="K5" s="2">
        <v>365000</v>
      </c>
      <c r="L5" t="s">
        <v>35</v>
      </c>
      <c r="M5" t="s">
        <v>29</v>
      </c>
      <c r="N5" t="s">
        <v>30</v>
      </c>
      <c r="O5">
        <v>37219</v>
      </c>
      <c r="P5" t="s">
        <v>4803</v>
      </c>
      <c r="Q5" s="2">
        <v>0.17</v>
      </c>
      <c r="R5" s="2">
        <v>60</v>
      </c>
      <c r="S5" s="2">
        <v>125</v>
      </c>
      <c r="T5" t="s">
        <v>4804</v>
      </c>
      <c r="U5" s="6">
        <v>22010</v>
      </c>
      <c r="V5" s="2">
        <v>47037016900</v>
      </c>
      <c r="W5" s="2" t="s">
        <v>68</v>
      </c>
      <c r="X5" s="1">
        <v>45658</v>
      </c>
      <c r="Y5" s="2">
        <v>480000</v>
      </c>
      <c r="Z5" s="2">
        <v>0</v>
      </c>
      <c r="AA5" s="2">
        <v>480000</v>
      </c>
    </row>
    <row r="6" spans="1:27" x14ac:dyDescent="0.3">
      <c r="A6" s="3">
        <v>18</v>
      </c>
      <c r="B6" s="2" t="str">
        <f>"10412035700"</f>
        <v>10412035700</v>
      </c>
      <c r="C6" s="2" t="s">
        <v>4805</v>
      </c>
      <c r="D6" t="s">
        <v>29</v>
      </c>
      <c r="E6" s="2" t="s">
        <v>30</v>
      </c>
      <c r="F6" s="2">
        <v>37212</v>
      </c>
      <c r="G6" s="2" t="s">
        <v>41</v>
      </c>
      <c r="H6" t="s">
        <v>171</v>
      </c>
      <c r="I6" s="6">
        <v>35382</v>
      </c>
      <c r="J6" s="2" t="s">
        <v>4806</v>
      </c>
      <c r="K6" s="2">
        <v>628000</v>
      </c>
      <c r="L6" t="s">
        <v>35</v>
      </c>
      <c r="M6" t="s">
        <v>29</v>
      </c>
      <c r="N6" t="s">
        <v>30</v>
      </c>
      <c r="O6">
        <v>37219</v>
      </c>
      <c r="P6" t="s">
        <v>4807</v>
      </c>
      <c r="Q6" s="2">
        <v>1.7</v>
      </c>
      <c r="R6" s="2">
        <v>130</v>
      </c>
      <c r="S6" s="2">
        <v>107</v>
      </c>
      <c r="T6" t="s">
        <v>4808</v>
      </c>
      <c r="U6" s="6">
        <v>35375</v>
      </c>
      <c r="V6" s="2">
        <v>47037016800</v>
      </c>
      <c r="W6" s="2" t="s">
        <v>68</v>
      </c>
      <c r="X6" s="1">
        <v>45658</v>
      </c>
      <c r="Y6" s="2">
        <v>10562100</v>
      </c>
      <c r="Z6" s="2">
        <v>9700</v>
      </c>
      <c r="AA6" s="2">
        <v>10552400</v>
      </c>
    </row>
    <row r="7" spans="1:27" x14ac:dyDescent="0.3">
      <c r="A7" s="3">
        <v>18</v>
      </c>
      <c r="B7" s="2" t="str">
        <f>"10416001000"</f>
        <v>10416001000</v>
      </c>
      <c r="C7" s="2" t="s">
        <v>4809</v>
      </c>
      <c r="D7" t="s">
        <v>29</v>
      </c>
      <c r="E7" s="2" t="s">
        <v>30</v>
      </c>
      <c r="F7" s="2">
        <v>37212</v>
      </c>
      <c r="G7" s="2" t="s">
        <v>152</v>
      </c>
      <c r="H7" t="s">
        <v>176</v>
      </c>
      <c r="I7" s="6">
        <v>20194</v>
      </c>
      <c r="J7" s="2" t="s">
        <v>4810</v>
      </c>
      <c r="K7" s="2" t="s">
        <v>34</v>
      </c>
      <c r="L7" t="s">
        <v>178</v>
      </c>
      <c r="M7" t="s">
        <v>29</v>
      </c>
      <c r="N7" t="s">
        <v>30</v>
      </c>
      <c r="O7">
        <v>37246</v>
      </c>
      <c r="P7" t="s">
        <v>4811</v>
      </c>
      <c r="Q7" s="2">
        <v>0.06</v>
      </c>
      <c r="R7" s="2">
        <v>67</v>
      </c>
      <c r="S7" s="2">
        <v>50</v>
      </c>
      <c r="T7" t="s">
        <v>4810</v>
      </c>
      <c r="U7" s="6">
        <v>20194</v>
      </c>
      <c r="V7" s="2">
        <v>47037016800</v>
      </c>
      <c r="W7" s="2" t="s">
        <v>68</v>
      </c>
      <c r="X7" s="1">
        <v>45658</v>
      </c>
      <c r="Y7" s="2">
        <v>502500</v>
      </c>
      <c r="Z7" s="2">
        <v>0</v>
      </c>
      <c r="AA7" s="2">
        <v>502500</v>
      </c>
    </row>
    <row r="8" spans="1:27" x14ac:dyDescent="0.3">
      <c r="A8" s="3">
        <v>18</v>
      </c>
      <c r="B8" s="2" t="str">
        <f>"11704028700"</f>
        <v>11704028700</v>
      </c>
      <c r="C8" s="2" t="s">
        <v>4812</v>
      </c>
      <c r="D8" t="s">
        <v>29</v>
      </c>
      <c r="E8" s="2" t="s">
        <v>30</v>
      </c>
      <c r="F8" s="2">
        <v>37212</v>
      </c>
      <c r="G8" s="2" t="s">
        <v>152</v>
      </c>
      <c r="H8" t="s">
        <v>176</v>
      </c>
      <c r="I8" s="6">
        <v>14472</v>
      </c>
      <c r="J8" s="2" t="s">
        <v>1267</v>
      </c>
      <c r="K8" s="2" t="s">
        <v>34</v>
      </c>
      <c r="L8" t="s">
        <v>178</v>
      </c>
      <c r="M8" t="s">
        <v>29</v>
      </c>
      <c r="N8" t="s">
        <v>30</v>
      </c>
      <c r="O8">
        <v>37246</v>
      </c>
      <c r="P8" t="s">
        <v>4813</v>
      </c>
      <c r="Q8" s="2">
        <v>0.28000000000000003</v>
      </c>
      <c r="R8" s="2">
        <v>84</v>
      </c>
      <c r="S8" s="2">
        <v>131</v>
      </c>
      <c r="T8" t="s">
        <v>1267</v>
      </c>
      <c r="U8" s="6">
        <v>14472</v>
      </c>
      <c r="V8" s="2">
        <v>47037016900</v>
      </c>
      <c r="W8" s="2" t="s">
        <v>68</v>
      </c>
      <c r="X8" s="1">
        <v>45658</v>
      </c>
      <c r="Y8" s="2">
        <v>400000</v>
      </c>
      <c r="Z8" s="2">
        <v>0</v>
      </c>
      <c r="AA8" s="2">
        <v>400000</v>
      </c>
    </row>
    <row r="9" spans="1:27" x14ac:dyDescent="0.3">
      <c r="A9" s="3">
        <v>18</v>
      </c>
      <c r="B9" s="2" t="str">
        <f>"10408014000"</f>
        <v>10408014000</v>
      </c>
      <c r="C9" s="2" t="s">
        <v>4516</v>
      </c>
      <c r="D9" t="s">
        <v>29</v>
      </c>
      <c r="E9" s="2" t="s">
        <v>30</v>
      </c>
      <c r="F9" s="2">
        <v>37212</v>
      </c>
      <c r="G9" s="2" t="s">
        <v>41</v>
      </c>
      <c r="H9" t="s">
        <v>4814</v>
      </c>
      <c r="I9" s="6">
        <v>28367</v>
      </c>
      <c r="J9" s="2" t="s">
        <v>4644</v>
      </c>
      <c r="K9" s="2" t="s">
        <v>34</v>
      </c>
      <c r="L9" t="s">
        <v>35</v>
      </c>
      <c r="M9" t="s">
        <v>29</v>
      </c>
      <c r="N9" t="s">
        <v>30</v>
      </c>
      <c r="O9">
        <v>37219</v>
      </c>
      <c r="P9" t="s">
        <v>4815</v>
      </c>
      <c r="Q9" s="2">
        <v>0.12</v>
      </c>
      <c r="R9" s="2">
        <v>103</v>
      </c>
      <c r="S9" s="2">
        <v>50</v>
      </c>
      <c r="T9" t="s">
        <v>4816</v>
      </c>
      <c r="U9" s="6">
        <v>44201</v>
      </c>
      <c r="V9" s="2">
        <v>47037016400</v>
      </c>
      <c r="W9" s="2" t="s">
        <v>68</v>
      </c>
      <c r="X9" s="1">
        <v>45658</v>
      </c>
      <c r="Y9" s="2">
        <v>1045400</v>
      </c>
      <c r="Z9" s="2">
        <v>0</v>
      </c>
      <c r="AA9" s="2">
        <v>1045400</v>
      </c>
    </row>
    <row r="10" spans="1:27" x14ac:dyDescent="0.3">
      <c r="A10" s="3">
        <v>18</v>
      </c>
      <c r="B10" s="2" t="str">
        <f>"10412011900"</f>
        <v>10412011900</v>
      </c>
      <c r="C10" s="2" t="s">
        <v>4817</v>
      </c>
      <c r="D10" t="s">
        <v>29</v>
      </c>
      <c r="E10" s="2" t="s">
        <v>30</v>
      </c>
      <c r="F10" s="2">
        <v>37212</v>
      </c>
      <c r="G10" s="2" t="s">
        <v>200</v>
      </c>
      <c r="H10" t="s">
        <v>4643</v>
      </c>
      <c r="I10" s="6">
        <v>28367</v>
      </c>
      <c r="J10" s="2" t="s">
        <v>4644</v>
      </c>
      <c r="K10" s="2" t="s">
        <v>34</v>
      </c>
      <c r="L10" t="s">
        <v>35</v>
      </c>
      <c r="M10" t="s">
        <v>29</v>
      </c>
      <c r="N10" t="s">
        <v>30</v>
      </c>
      <c r="O10">
        <v>37219</v>
      </c>
      <c r="P10" t="s">
        <v>4818</v>
      </c>
      <c r="Q10" s="2">
        <v>0.3</v>
      </c>
      <c r="R10" s="2">
        <v>104</v>
      </c>
      <c r="S10" s="2">
        <v>159</v>
      </c>
      <c r="T10" t="s">
        <v>4819</v>
      </c>
      <c r="U10" s="6">
        <v>25519</v>
      </c>
      <c r="V10" s="2">
        <v>47037016400</v>
      </c>
      <c r="W10" s="2" t="s">
        <v>68</v>
      </c>
      <c r="X10" s="1">
        <v>45658</v>
      </c>
      <c r="Y10" s="2">
        <v>464000</v>
      </c>
      <c r="Z10" s="2">
        <v>0</v>
      </c>
      <c r="AA10" s="2">
        <v>464000</v>
      </c>
    </row>
    <row r="11" spans="1:27" x14ac:dyDescent="0.3">
      <c r="A11" s="3">
        <v>18</v>
      </c>
      <c r="B11" s="2" t="str">
        <f>"10412008500"</f>
        <v>10412008500</v>
      </c>
      <c r="C11" s="2" t="s">
        <v>4820</v>
      </c>
      <c r="D11" t="s">
        <v>29</v>
      </c>
      <c r="E11" s="2" t="s">
        <v>30</v>
      </c>
      <c r="F11" s="2">
        <v>37212</v>
      </c>
      <c r="G11" s="2" t="s">
        <v>41</v>
      </c>
      <c r="H11" t="s">
        <v>4643</v>
      </c>
      <c r="I11" s="6">
        <v>28367</v>
      </c>
      <c r="J11" s="2" t="s">
        <v>4644</v>
      </c>
      <c r="K11" s="2" t="s">
        <v>34</v>
      </c>
      <c r="L11" t="s">
        <v>35</v>
      </c>
      <c r="M11" t="s">
        <v>29</v>
      </c>
      <c r="N11" t="s">
        <v>30</v>
      </c>
      <c r="O11">
        <v>37219</v>
      </c>
      <c r="P11" t="s">
        <v>4821</v>
      </c>
      <c r="Q11" s="2">
        <v>0.4</v>
      </c>
      <c r="R11" s="2">
        <v>120</v>
      </c>
      <c r="S11" s="2">
        <v>172</v>
      </c>
      <c r="T11" t="s">
        <v>4644</v>
      </c>
      <c r="U11" s="6">
        <v>28367</v>
      </c>
      <c r="V11" s="2">
        <v>47037016400</v>
      </c>
      <c r="W11" s="2" t="s">
        <v>68</v>
      </c>
      <c r="X11" s="1">
        <v>45658</v>
      </c>
      <c r="Y11" s="2">
        <v>2613600</v>
      </c>
      <c r="Z11" s="2">
        <v>0</v>
      </c>
      <c r="AA11" s="2">
        <v>2613600</v>
      </c>
    </row>
    <row r="12" spans="1:27" x14ac:dyDescent="0.3">
      <c r="A12" s="3">
        <v>18</v>
      </c>
      <c r="B12" s="2" t="str">
        <f>"10408013700"</f>
        <v>10408013700</v>
      </c>
      <c r="C12" s="2" t="s">
        <v>4822</v>
      </c>
      <c r="D12" t="s">
        <v>29</v>
      </c>
      <c r="E12" s="2" t="s">
        <v>30</v>
      </c>
      <c r="F12" s="2">
        <v>37212</v>
      </c>
      <c r="G12" s="2" t="s">
        <v>200</v>
      </c>
      <c r="H12" t="s">
        <v>4643</v>
      </c>
      <c r="I12" s="6">
        <v>28367</v>
      </c>
      <c r="J12" s="2" t="s">
        <v>4644</v>
      </c>
      <c r="K12" s="2" t="s">
        <v>34</v>
      </c>
      <c r="L12" t="s">
        <v>35</v>
      </c>
      <c r="M12" t="s">
        <v>29</v>
      </c>
      <c r="N12" t="s">
        <v>30</v>
      </c>
      <c r="O12">
        <v>37219</v>
      </c>
      <c r="P12" t="s">
        <v>4823</v>
      </c>
      <c r="Q12" s="2">
        <v>0.44</v>
      </c>
      <c r="R12" s="2">
        <v>50</v>
      </c>
      <c r="S12" s="2">
        <v>406</v>
      </c>
      <c r="T12" t="s">
        <v>4824</v>
      </c>
      <c r="U12" s="6">
        <v>32945</v>
      </c>
      <c r="V12" s="2">
        <v>47037016400</v>
      </c>
      <c r="W12" s="2" t="s">
        <v>68</v>
      </c>
      <c r="X12" s="1">
        <v>45658</v>
      </c>
      <c r="Y12" s="2">
        <v>450000</v>
      </c>
      <c r="Z12" s="2">
        <v>0</v>
      </c>
      <c r="AA12" s="2">
        <v>450000</v>
      </c>
    </row>
    <row r="13" spans="1:27" x14ac:dyDescent="0.3">
      <c r="A13" s="3">
        <v>18</v>
      </c>
      <c r="B13" s="2" t="str">
        <f>"10407039700"</f>
        <v>10407039700</v>
      </c>
      <c r="C13" s="2" t="s">
        <v>4825</v>
      </c>
      <c r="D13" t="s">
        <v>29</v>
      </c>
      <c r="E13" s="2" t="s">
        <v>30</v>
      </c>
      <c r="F13" s="2">
        <v>37212</v>
      </c>
      <c r="G13" s="2" t="s">
        <v>200</v>
      </c>
      <c r="H13" t="s">
        <v>206</v>
      </c>
      <c r="I13" s="6">
        <v>28604</v>
      </c>
      <c r="J13" s="2" t="s">
        <v>4826</v>
      </c>
      <c r="K13" s="2">
        <v>195000</v>
      </c>
      <c r="L13" t="s">
        <v>35</v>
      </c>
      <c r="M13" t="s">
        <v>29</v>
      </c>
      <c r="N13" t="s">
        <v>30</v>
      </c>
      <c r="O13">
        <v>37219</v>
      </c>
      <c r="P13" t="s">
        <v>4827</v>
      </c>
      <c r="Q13" s="2">
        <v>7.64</v>
      </c>
      <c r="R13" s="2">
        <v>0</v>
      </c>
      <c r="S13" s="2">
        <v>0</v>
      </c>
      <c r="T13" t="s">
        <v>4828</v>
      </c>
      <c r="U13" s="6">
        <v>28557</v>
      </c>
      <c r="V13" s="2">
        <v>47037016800</v>
      </c>
      <c r="W13" s="2" t="s">
        <v>68</v>
      </c>
      <c r="X13" s="1">
        <v>45658</v>
      </c>
      <c r="Y13" s="2">
        <v>2534400</v>
      </c>
      <c r="Z13" s="2">
        <v>0</v>
      </c>
      <c r="AA13" s="2">
        <v>2534400</v>
      </c>
    </row>
    <row r="14" spans="1:27" x14ac:dyDescent="0.3">
      <c r="A14" s="3">
        <v>18</v>
      </c>
      <c r="B14" s="2" t="str">
        <f>"11805003000"</f>
        <v>11805003000</v>
      </c>
      <c r="C14" s="2" t="s">
        <v>4829</v>
      </c>
      <c r="D14" t="s">
        <v>29</v>
      </c>
      <c r="E14" s="2" t="s">
        <v>30</v>
      </c>
      <c r="F14" s="2">
        <v>37204</v>
      </c>
      <c r="G14" s="2" t="s">
        <v>200</v>
      </c>
      <c r="H14" t="s">
        <v>4830</v>
      </c>
      <c r="I14" s="6">
        <v>27395</v>
      </c>
      <c r="J14" s="2" t="s">
        <v>4831</v>
      </c>
      <c r="K14" s="2" t="s">
        <v>34</v>
      </c>
      <c r="L14" t="s">
        <v>35</v>
      </c>
      <c r="M14" t="s">
        <v>29</v>
      </c>
      <c r="N14" t="s">
        <v>30</v>
      </c>
      <c r="O14">
        <v>37219</v>
      </c>
      <c r="P14" t="s">
        <v>4832</v>
      </c>
      <c r="Q14" s="2">
        <v>20.350000000000001</v>
      </c>
      <c r="R14" s="2">
        <v>0</v>
      </c>
      <c r="S14" s="2">
        <v>0</v>
      </c>
      <c r="T14" t="s">
        <v>4833</v>
      </c>
      <c r="U14" s="6">
        <v>9529</v>
      </c>
      <c r="V14" s="2">
        <v>47037017100</v>
      </c>
      <c r="W14" s="2" t="s">
        <v>68</v>
      </c>
      <c r="X14" s="1">
        <v>45658</v>
      </c>
      <c r="Y14" s="2">
        <v>2947600</v>
      </c>
      <c r="Z14" s="2">
        <v>0</v>
      </c>
      <c r="AA14" s="2">
        <v>2947600</v>
      </c>
    </row>
    <row r="15" spans="1:27" x14ac:dyDescent="0.3">
      <c r="A15" s="3">
        <v>18</v>
      </c>
      <c r="B15" s="2" t="str">
        <f>"10411009200"</f>
        <v>10411009200</v>
      </c>
      <c r="C15" s="2" t="s">
        <v>4834</v>
      </c>
      <c r="D15" t="s">
        <v>29</v>
      </c>
      <c r="E15" s="2" t="s">
        <v>30</v>
      </c>
      <c r="F15" s="2">
        <v>37212</v>
      </c>
      <c r="G15" s="2" t="s">
        <v>253</v>
      </c>
      <c r="H15" t="s">
        <v>4835</v>
      </c>
      <c r="I15" s="6">
        <v>12833</v>
      </c>
      <c r="J15" s="2" t="s">
        <v>4836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4837</v>
      </c>
      <c r="Q15" s="2">
        <v>9.31</v>
      </c>
      <c r="R15" s="2">
        <v>0</v>
      </c>
      <c r="S15" s="2">
        <v>0</v>
      </c>
      <c r="T15" t="s">
        <v>4838</v>
      </c>
      <c r="U15" s="6">
        <v>28507</v>
      </c>
      <c r="V15" s="2">
        <v>47037016800</v>
      </c>
      <c r="W15" s="2" t="s">
        <v>68</v>
      </c>
      <c r="X15" s="1">
        <v>45658</v>
      </c>
      <c r="Y15" s="2">
        <v>60831600</v>
      </c>
      <c r="Z15" s="2">
        <v>0</v>
      </c>
      <c r="AA15" s="2">
        <v>60831600</v>
      </c>
    </row>
    <row r="16" spans="1:27" x14ac:dyDescent="0.3">
      <c r="A16" s="3">
        <v>18</v>
      </c>
      <c r="B16" s="2" t="str">
        <f>"10407036800"</f>
        <v>10407036800</v>
      </c>
      <c r="C16" s="2" t="s">
        <v>4839</v>
      </c>
      <c r="D16" t="s">
        <v>29</v>
      </c>
      <c r="E16" s="2" t="s">
        <v>30</v>
      </c>
      <c r="F16" s="2">
        <v>37212</v>
      </c>
      <c r="G16" s="2" t="s">
        <v>253</v>
      </c>
      <c r="H16" t="s">
        <v>4840</v>
      </c>
      <c r="I16" s="6">
        <v>27117</v>
      </c>
      <c r="J16" s="2" t="s">
        <v>4841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4842</v>
      </c>
      <c r="Q16" s="2">
        <v>5.23</v>
      </c>
      <c r="R16" s="2">
        <v>0</v>
      </c>
      <c r="S16" s="2">
        <v>0</v>
      </c>
      <c r="T16" t="s">
        <v>4841</v>
      </c>
      <c r="U16" s="6">
        <v>27117</v>
      </c>
      <c r="V16" s="2">
        <v>47037016800</v>
      </c>
      <c r="W16" s="2" t="s">
        <v>68</v>
      </c>
      <c r="X16" s="1">
        <v>45658</v>
      </c>
      <c r="Y16" s="2">
        <v>2304000</v>
      </c>
      <c r="Z16" s="2">
        <v>0</v>
      </c>
      <c r="AA16" s="2">
        <v>2304000</v>
      </c>
    </row>
    <row r="17" spans="1:27" x14ac:dyDescent="0.3">
      <c r="A17" s="3">
        <v>18</v>
      </c>
      <c r="B17" s="2" t="str">
        <f>"10513024400"</f>
        <v>10513024400</v>
      </c>
      <c r="C17" s="2" t="s">
        <v>4843</v>
      </c>
      <c r="D17" t="s">
        <v>29</v>
      </c>
      <c r="E17" s="2" t="s">
        <v>30</v>
      </c>
      <c r="F17" s="2">
        <v>37204</v>
      </c>
      <c r="G17" s="2" t="s">
        <v>253</v>
      </c>
      <c r="H17" t="s">
        <v>4844</v>
      </c>
      <c r="I17" s="6">
        <v>12868</v>
      </c>
      <c r="J17" s="2" t="s">
        <v>4845</v>
      </c>
      <c r="K17" s="2" t="s">
        <v>34</v>
      </c>
      <c r="L17" t="s">
        <v>35</v>
      </c>
      <c r="M17" t="s">
        <v>29</v>
      </c>
      <c r="N17" t="s">
        <v>30</v>
      </c>
      <c r="O17">
        <v>37219</v>
      </c>
      <c r="P17" t="s">
        <v>4846</v>
      </c>
      <c r="Q17" s="2">
        <v>5.8</v>
      </c>
      <c r="R17" s="2">
        <v>0</v>
      </c>
      <c r="S17" s="2">
        <v>0</v>
      </c>
      <c r="T17" t="s">
        <v>4845</v>
      </c>
      <c r="U17" s="6">
        <v>12868</v>
      </c>
      <c r="V17" s="2">
        <v>47037017000</v>
      </c>
      <c r="W17" s="2" t="s">
        <v>68</v>
      </c>
      <c r="X17" s="1">
        <v>45658</v>
      </c>
      <c r="Y17" s="2">
        <v>1397800</v>
      </c>
      <c r="Z17" s="2">
        <v>0</v>
      </c>
      <c r="AA17" s="2">
        <v>1397800</v>
      </c>
    </row>
    <row r="18" spans="1:27" x14ac:dyDescent="0.3">
      <c r="A18" s="3">
        <v>18</v>
      </c>
      <c r="B18" s="2" t="str">
        <f>"10513001900"</f>
        <v>10513001900</v>
      </c>
      <c r="C18" s="2" t="s">
        <v>4847</v>
      </c>
      <c r="D18" t="s">
        <v>29</v>
      </c>
      <c r="E18" s="2" t="s">
        <v>30</v>
      </c>
      <c r="F18" s="2">
        <v>37212</v>
      </c>
      <c r="G18" s="2" t="s">
        <v>2595</v>
      </c>
      <c r="H18" t="s">
        <v>4848</v>
      </c>
      <c r="I18" s="6">
        <v>22648</v>
      </c>
      <c r="J18" s="2" t="s">
        <v>4849</v>
      </c>
      <c r="K18" s="2" t="s">
        <v>34</v>
      </c>
      <c r="L18" t="s">
        <v>35</v>
      </c>
      <c r="M18" t="s">
        <v>29</v>
      </c>
      <c r="N18" t="s">
        <v>30</v>
      </c>
      <c r="O18">
        <v>37219</v>
      </c>
      <c r="P18" t="s">
        <v>4850</v>
      </c>
      <c r="Q18" s="2">
        <v>1.43</v>
      </c>
      <c r="R18" s="2">
        <v>0</v>
      </c>
      <c r="S18" s="2">
        <v>460</v>
      </c>
      <c r="T18" t="s">
        <v>278</v>
      </c>
      <c r="U18" s="6">
        <v>29839</v>
      </c>
      <c r="V18" s="2">
        <v>47037017000</v>
      </c>
      <c r="W18" s="2" t="s">
        <v>68</v>
      </c>
      <c r="X18" s="1">
        <v>45658</v>
      </c>
      <c r="Y18" s="2">
        <v>4200000</v>
      </c>
      <c r="Z18" s="2">
        <v>0</v>
      </c>
      <c r="AA18" s="2">
        <v>4200000</v>
      </c>
    </row>
    <row r="19" spans="1:27" x14ac:dyDescent="0.3">
      <c r="A19" s="3">
        <v>18</v>
      </c>
      <c r="B19" s="2" t="str">
        <f>"10406014600"</f>
        <v>10406014600</v>
      </c>
      <c r="C19" s="2" t="s">
        <v>4851</v>
      </c>
      <c r="D19" t="s">
        <v>29</v>
      </c>
      <c r="E19" s="2" t="s">
        <v>30</v>
      </c>
      <c r="F19" s="2">
        <v>37212</v>
      </c>
      <c r="G19" s="2" t="s">
        <v>64</v>
      </c>
      <c r="H19" t="s">
        <v>280</v>
      </c>
      <c r="I19" s="6">
        <v>9529</v>
      </c>
      <c r="J19" s="2" t="s">
        <v>4852</v>
      </c>
      <c r="K19" s="2" t="s">
        <v>34</v>
      </c>
      <c r="L19" t="s">
        <v>35</v>
      </c>
      <c r="M19" t="s">
        <v>29</v>
      </c>
      <c r="N19" t="s">
        <v>30</v>
      </c>
      <c r="O19">
        <v>37219</v>
      </c>
      <c r="P19" t="s">
        <v>4853</v>
      </c>
      <c r="Q19" s="2">
        <v>1.17</v>
      </c>
      <c r="R19" s="2">
        <v>472</v>
      </c>
      <c r="S19" s="2">
        <v>158</v>
      </c>
      <c r="T19" t="s">
        <v>4852</v>
      </c>
      <c r="U19" s="6">
        <v>9529</v>
      </c>
      <c r="V19" s="2">
        <v>47037016800</v>
      </c>
      <c r="W19" s="2" t="s">
        <v>68</v>
      </c>
      <c r="X19" s="1">
        <v>45658</v>
      </c>
      <c r="Y19" s="2">
        <v>768000</v>
      </c>
      <c r="Z19" s="2">
        <v>0</v>
      </c>
      <c r="AA19" s="2">
        <v>768000</v>
      </c>
    </row>
    <row r="20" spans="1:27" x14ac:dyDescent="0.3">
      <c r="A20" s="3">
        <v>18</v>
      </c>
      <c r="B20" s="2" t="str">
        <f>"10406011200"</f>
        <v>10406011200</v>
      </c>
      <c r="C20" s="2" t="s">
        <v>4854</v>
      </c>
      <c r="D20" t="s">
        <v>29</v>
      </c>
      <c r="E20" s="2" t="s">
        <v>30</v>
      </c>
      <c r="F20" s="2">
        <v>37212</v>
      </c>
      <c r="G20" s="2" t="s">
        <v>64</v>
      </c>
      <c r="H20" t="s">
        <v>280</v>
      </c>
      <c r="I20" s="6">
        <v>9529</v>
      </c>
      <c r="J20" s="2" t="s">
        <v>4852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4855</v>
      </c>
      <c r="Q20" s="2">
        <v>0.19</v>
      </c>
      <c r="R20" s="2">
        <v>208</v>
      </c>
      <c r="S20" s="2">
        <v>270</v>
      </c>
      <c r="T20" t="s">
        <v>4852</v>
      </c>
      <c r="U20" s="6">
        <v>9529</v>
      </c>
      <c r="V20" s="2">
        <v>47037016800</v>
      </c>
      <c r="W20" s="2" t="s">
        <v>68</v>
      </c>
      <c r="X20" s="1">
        <v>45658</v>
      </c>
      <c r="Y20" s="2">
        <v>528000</v>
      </c>
      <c r="Z20" s="2">
        <v>0</v>
      </c>
      <c r="AA20" s="2">
        <v>528000</v>
      </c>
    </row>
    <row r="21" spans="1:27" x14ac:dyDescent="0.3">
      <c r="A21" s="3">
        <v>18</v>
      </c>
      <c r="B21" s="2" t="str">
        <f>"10406014000"</f>
        <v>10406014000</v>
      </c>
      <c r="C21" s="2" t="s">
        <v>4851</v>
      </c>
      <c r="D21" t="s">
        <v>29</v>
      </c>
      <c r="E21" s="2" t="s">
        <v>30</v>
      </c>
      <c r="F21" s="2">
        <v>37212</v>
      </c>
      <c r="G21" s="2" t="s">
        <v>2543</v>
      </c>
      <c r="H21" t="s">
        <v>280</v>
      </c>
      <c r="I21" s="6">
        <v>9529</v>
      </c>
      <c r="J21" s="2" t="s">
        <v>4852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4856</v>
      </c>
      <c r="Q21" s="2">
        <v>0.41</v>
      </c>
      <c r="R21" s="2">
        <v>253</v>
      </c>
      <c r="S21" s="2">
        <v>170</v>
      </c>
      <c r="T21" t="s">
        <v>4852</v>
      </c>
      <c r="U21" s="6">
        <v>9529</v>
      </c>
      <c r="V21" s="2">
        <v>47037016800</v>
      </c>
      <c r="W21" s="2" t="s">
        <v>68</v>
      </c>
      <c r="X21" s="1">
        <v>45658</v>
      </c>
      <c r="Y21" s="2">
        <v>624000</v>
      </c>
      <c r="Z21" s="2">
        <v>0</v>
      </c>
      <c r="AA21" s="2">
        <v>624000</v>
      </c>
    </row>
    <row r="22" spans="1:27" x14ac:dyDescent="0.3">
      <c r="A22" s="3">
        <v>18</v>
      </c>
      <c r="B22" s="2" t="str">
        <f>"10406014100"</f>
        <v>10406014100</v>
      </c>
      <c r="C22" s="2" t="s">
        <v>4851</v>
      </c>
      <c r="D22" t="s">
        <v>29</v>
      </c>
      <c r="E22" s="2" t="s">
        <v>30</v>
      </c>
      <c r="F22" s="2">
        <v>37212</v>
      </c>
      <c r="G22" s="2" t="s">
        <v>64</v>
      </c>
      <c r="H22" t="s">
        <v>280</v>
      </c>
      <c r="I22" s="6">
        <v>9529</v>
      </c>
      <c r="J22" s="2" t="s">
        <v>4852</v>
      </c>
      <c r="K22" s="2" t="s">
        <v>34</v>
      </c>
      <c r="L22" t="s">
        <v>35</v>
      </c>
      <c r="M22" t="s">
        <v>29</v>
      </c>
      <c r="N22" t="s">
        <v>30</v>
      </c>
      <c r="O22">
        <v>37219</v>
      </c>
      <c r="P22" t="s">
        <v>4857</v>
      </c>
      <c r="Q22" s="2">
        <v>2.56</v>
      </c>
      <c r="R22" s="2">
        <v>477</v>
      </c>
      <c r="S22" s="2">
        <v>0</v>
      </c>
      <c r="T22" t="s">
        <v>4858</v>
      </c>
      <c r="U22" s="6">
        <v>38512</v>
      </c>
      <c r="V22" s="2">
        <v>47037016800</v>
      </c>
      <c r="W22" s="2" t="s">
        <v>68</v>
      </c>
      <c r="X22" s="1">
        <v>45658</v>
      </c>
      <c r="Y22" s="2">
        <v>2496000</v>
      </c>
      <c r="Z22" s="2">
        <v>0</v>
      </c>
      <c r="AA22" s="2">
        <v>2496000</v>
      </c>
    </row>
    <row r="23" spans="1:27" x14ac:dyDescent="0.3">
      <c r="A23" s="3">
        <v>18</v>
      </c>
      <c r="B23" s="2" t="str">
        <f>"10406011300"</f>
        <v>10406011300</v>
      </c>
      <c r="C23" s="2" t="s">
        <v>4859</v>
      </c>
      <c r="D23" t="s">
        <v>29</v>
      </c>
      <c r="E23" s="2" t="s">
        <v>30</v>
      </c>
      <c r="F23" s="2">
        <v>37212</v>
      </c>
      <c r="G23" s="2" t="s">
        <v>152</v>
      </c>
      <c r="H23" t="s">
        <v>280</v>
      </c>
      <c r="I23" s="6">
        <v>9529</v>
      </c>
      <c r="J23" s="2" t="s">
        <v>4852</v>
      </c>
      <c r="K23" s="2" t="s">
        <v>34</v>
      </c>
      <c r="L23" t="s">
        <v>35</v>
      </c>
      <c r="M23" t="s">
        <v>29</v>
      </c>
      <c r="N23" t="s">
        <v>30</v>
      </c>
      <c r="O23">
        <v>37219</v>
      </c>
      <c r="P23" t="s">
        <v>4860</v>
      </c>
      <c r="Q23" s="2">
        <v>0.35</v>
      </c>
      <c r="R23" s="2">
        <v>166</v>
      </c>
      <c r="S23" s="2">
        <v>133</v>
      </c>
      <c r="T23" t="s">
        <v>4858</v>
      </c>
      <c r="U23" s="6">
        <v>38512</v>
      </c>
      <c r="V23" s="2">
        <v>47037016800</v>
      </c>
      <c r="W23" s="2" t="s">
        <v>68</v>
      </c>
      <c r="X23" s="1">
        <v>45658</v>
      </c>
      <c r="Y23" s="2">
        <v>576000</v>
      </c>
      <c r="Z23" s="2">
        <v>0</v>
      </c>
      <c r="AA23" s="2">
        <v>576000</v>
      </c>
    </row>
    <row r="24" spans="1:27" x14ac:dyDescent="0.3">
      <c r="A24" s="3">
        <v>18</v>
      </c>
      <c r="B24" s="2" t="str">
        <f>"10406034600"</f>
        <v>10406034600</v>
      </c>
      <c r="C24" s="2" t="s">
        <v>4861</v>
      </c>
      <c r="D24" t="s">
        <v>29</v>
      </c>
      <c r="E24" s="2" t="s">
        <v>30</v>
      </c>
      <c r="F24" s="2">
        <v>37212</v>
      </c>
      <c r="G24" s="2" t="s">
        <v>64</v>
      </c>
      <c r="H24" t="s">
        <v>280</v>
      </c>
      <c r="I24" s="6">
        <v>9529</v>
      </c>
      <c r="J24" s="2" t="s">
        <v>4852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4857</v>
      </c>
      <c r="Q24" s="2">
        <v>0.66</v>
      </c>
      <c r="R24" s="2">
        <v>0</v>
      </c>
      <c r="S24" s="2">
        <v>0</v>
      </c>
      <c r="T24" t="s">
        <v>4858</v>
      </c>
      <c r="U24" s="6">
        <v>38512</v>
      </c>
      <c r="V24" s="2">
        <v>47037016800</v>
      </c>
      <c r="W24" s="2" t="s">
        <v>68</v>
      </c>
      <c r="X24" s="1">
        <v>45658</v>
      </c>
      <c r="Y24" s="2">
        <v>720000</v>
      </c>
      <c r="Z24" s="2">
        <v>0</v>
      </c>
      <c r="AA24" s="2">
        <v>720000</v>
      </c>
    </row>
    <row r="25" spans="1:27" x14ac:dyDescent="0.3">
      <c r="A25" s="3">
        <v>18</v>
      </c>
      <c r="B25" s="2" t="str">
        <f>"10406034500"</f>
        <v>10406034500</v>
      </c>
      <c r="C25" s="2" t="s">
        <v>4862</v>
      </c>
      <c r="D25" t="s">
        <v>29</v>
      </c>
      <c r="E25" s="2" t="s">
        <v>30</v>
      </c>
      <c r="F25" s="2">
        <v>37212</v>
      </c>
      <c r="G25" s="2" t="s">
        <v>64</v>
      </c>
      <c r="H25" t="s">
        <v>280</v>
      </c>
      <c r="I25" s="6">
        <v>9529</v>
      </c>
      <c r="J25" s="2" t="s">
        <v>4852</v>
      </c>
      <c r="K25" s="2" t="s">
        <v>34</v>
      </c>
      <c r="L25" t="s">
        <v>35</v>
      </c>
      <c r="M25" t="s">
        <v>29</v>
      </c>
      <c r="N25" t="s">
        <v>30</v>
      </c>
      <c r="O25">
        <v>37219</v>
      </c>
      <c r="P25" t="s">
        <v>4857</v>
      </c>
      <c r="Q25" s="2">
        <v>1.97</v>
      </c>
      <c r="R25" s="2">
        <v>0</v>
      </c>
      <c r="S25" s="2">
        <v>0</v>
      </c>
      <c r="T25" t="s">
        <v>4858</v>
      </c>
      <c r="U25" s="6">
        <v>38512</v>
      </c>
      <c r="V25" s="2">
        <v>47037016800</v>
      </c>
      <c r="W25" s="2" t="s">
        <v>68</v>
      </c>
      <c r="X25" s="1">
        <v>45658</v>
      </c>
      <c r="Y25" s="2">
        <v>768000</v>
      </c>
      <c r="Z25" s="2">
        <v>0</v>
      </c>
      <c r="AA25" s="2">
        <v>768000</v>
      </c>
    </row>
    <row r="26" spans="1:27" x14ac:dyDescent="0.3">
      <c r="A26" s="3">
        <v>18</v>
      </c>
      <c r="B26" s="2" t="str">
        <f>"10406034700"</f>
        <v>10406034700</v>
      </c>
      <c r="C26" s="2" t="s">
        <v>4851</v>
      </c>
      <c r="D26" t="s">
        <v>29</v>
      </c>
      <c r="E26" s="2" t="s">
        <v>30</v>
      </c>
      <c r="F26" s="2">
        <v>37212</v>
      </c>
      <c r="G26" s="2" t="s">
        <v>64</v>
      </c>
      <c r="H26" t="s">
        <v>280</v>
      </c>
      <c r="I26" s="6">
        <v>9529</v>
      </c>
      <c r="J26" s="2" t="s">
        <v>4852</v>
      </c>
      <c r="K26" s="2" t="s">
        <v>34</v>
      </c>
      <c r="L26" t="s">
        <v>35</v>
      </c>
      <c r="M26" t="s">
        <v>29</v>
      </c>
      <c r="N26" t="s">
        <v>30</v>
      </c>
      <c r="O26">
        <v>37219</v>
      </c>
      <c r="P26" t="s">
        <v>4857</v>
      </c>
      <c r="Q26" s="2">
        <v>0.05</v>
      </c>
      <c r="R26" s="2">
        <v>0</v>
      </c>
      <c r="S26" s="2">
        <v>0</v>
      </c>
      <c r="T26" t="s">
        <v>4858</v>
      </c>
      <c r="U26" s="6">
        <v>38512</v>
      </c>
      <c r="V26" s="2">
        <v>47037016800</v>
      </c>
      <c r="W26" s="2" t="s">
        <v>68</v>
      </c>
      <c r="X26" s="1">
        <v>45658</v>
      </c>
      <c r="Y26" s="2">
        <v>120000</v>
      </c>
      <c r="Z26" s="2">
        <v>0</v>
      </c>
      <c r="AA26" s="2">
        <v>120000</v>
      </c>
    </row>
    <row r="27" spans="1:27" x14ac:dyDescent="0.3">
      <c r="A27" s="3">
        <v>18</v>
      </c>
      <c r="B27" s="2" t="str">
        <f>"10406022600"</f>
        <v>10406022600</v>
      </c>
      <c r="C27" s="2" t="s">
        <v>4854</v>
      </c>
      <c r="D27" t="s">
        <v>29</v>
      </c>
      <c r="E27" s="2" t="s">
        <v>30</v>
      </c>
      <c r="F27" s="2">
        <v>37212</v>
      </c>
      <c r="G27" s="2" t="s">
        <v>64</v>
      </c>
      <c r="H27" t="s">
        <v>280</v>
      </c>
      <c r="I27" s="6">
        <v>9539</v>
      </c>
      <c r="J27" s="2" t="s">
        <v>4863</v>
      </c>
      <c r="K27" s="2" t="s">
        <v>34</v>
      </c>
      <c r="L27" t="s">
        <v>35</v>
      </c>
      <c r="M27" t="s">
        <v>29</v>
      </c>
      <c r="N27" t="s">
        <v>30</v>
      </c>
      <c r="O27">
        <v>37219</v>
      </c>
      <c r="P27" t="s">
        <v>4864</v>
      </c>
      <c r="Q27" s="2">
        <v>0.1</v>
      </c>
      <c r="R27" s="2">
        <v>30</v>
      </c>
      <c r="S27" s="2">
        <v>150</v>
      </c>
      <c r="T27" t="s">
        <v>4863</v>
      </c>
      <c r="U27" s="6">
        <v>9539</v>
      </c>
      <c r="V27" s="2">
        <v>47037016800</v>
      </c>
      <c r="W27" s="2" t="s">
        <v>68</v>
      </c>
      <c r="X27" s="1">
        <v>45658</v>
      </c>
      <c r="Y27" s="2">
        <v>480000</v>
      </c>
      <c r="Z27" s="2">
        <v>0</v>
      </c>
      <c r="AA27" s="2">
        <v>480000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7736-4282-48E8-8F75-DBC2680E7B9C}">
  <sheetPr>
    <tabColor rgb="FF002060"/>
  </sheetPr>
  <dimension ref="A1:AA93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4" t="s">
        <v>27</v>
      </c>
      <c r="B2" s="2" t="str">
        <f>"10200000500"</f>
        <v>10200000500</v>
      </c>
      <c r="C2" s="2" t="s">
        <v>28</v>
      </c>
      <c r="D2" t="s">
        <v>29</v>
      </c>
      <c r="E2" s="2" t="s">
        <v>30</v>
      </c>
      <c r="F2" s="2">
        <v>37218</v>
      </c>
      <c r="G2" s="2" t="s">
        <v>31</v>
      </c>
      <c r="H2" t="s">
        <v>32</v>
      </c>
      <c r="I2" s="6">
        <v>43677</v>
      </c>
      <c r="J2" s="2" t="s">
        <v>33</v>
      </c>
      <c r="K2" s="2" t="s">
        <v>34</v>
      </c>
      <c r="L2" t="s">
        <v>35</v>
      </c>
      <c r="M2" t="s">
        <v>29</v>
      </c>
      <c r="N2" t="s">
        <v>30</v>
      </c>
      <c r="O2">
        <v>37219</v>
      </c>
      <c r="P2" t="s">
        <v>36</v>
      </c>
      <c r="Q2" s="2">
        <v>106.93</v>
      </c>
      <c r="R2" s="2">
        <v>0</v>
      </c>
      <c r="S2" s="2">
        <v>0</v>
      </c>
      <c r="T2" t="s">
        <v>37</v>
      </c>
      <c r="U2" s="6">
        <v>33763</v>
      </c>
      <c r="V2" s="2">
        <v>47037013100</v>
      </c>
      <c r="W2" s="2" t="s">
        <v>38</v>
      </c>
      <c r="X2" s="1">
        <v>45658</v>
      </c>
      <c r="Y2" s="2">
        <v>979400</v>
      </c>
      <c r="Z2" s="2">
        <v>23900</v>
      </c>
      <c r="AA2" s="2">
        <v>955500</v>
      </c>
    </row>
    <row r="3" spans="1:27" x14ac:dyDescent="0.3">
      <c r="A3" s="4" t="s">
        <v>27</v>
      </c>
      <c r="B3" s="2" t="str">
        <f>"04600000100"</f>
        <v>04600000100</v>
      </c>
      <c r="C3" s="2" t="s">
        <v>39</v>
      </c>
      <c r="D3" t="s">
        <v>40</v>
      </c>
      <c r="E3" s="2" t="s">
        <v>30</v>
      </c>
      <c r="F3" s="2">
        <v>37015</v>
      </c>
      <c r="G3" s="2" t="s">
        <v>41</v>
      </c>
      <c r="H3" t="s">
        <v>32</v>
      </c>
      <c r="I3" s="6">
        <v>42310</v>
      </c>
      <c r="J3" s="2" t="s">
        <v>42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43</v>
      </c>
      <c r="Q3" s="2">
        <v>338</v>
      </c>
      <c r="R3" s="2">
        <v>0</v>
      </c>
      <c r="S3" s="2">
        <v>0</v>
      </c>
      <c r="T3" t="s">
        <v>44</v>
      </c>
      <c r="U3" s="6">
        <v>24824</v>
      </c>
      <c r="V3" s="2">
        <v>47037013100</v>
      </c>
      <c r="W3" s="2" t="s">
        <v>38</v>
      </c>
      <c r="X3" s="1">
        <v>45658</v>
      </c>
      <c r="Y3" s="2">
        <v>730100</v>
      </c>
      <c r="Z3" s="2">
        <v>0</v>
      </c>
      <c r="AA3" s="2">
        <v>730100</v>
      </c>
    </row>
    <row r="4" spans="1:27" x14ac:dyDescent="0.3">
      <c r="A4" s="4" t="s">
        <v>27</v>
      </c>
      <c r="B4" s="2" t="str">
        <f>"04500000500"</f>
        <v>04500000500</v>
      </c>
      <c r="C4" s="2" t="s">
        <v>39</v>
      </c>
      <c r="D4" t="s">
        <v>40</v>
      </c>
      <c r="E4" s="2" t="s">
        <v>30</v>
      </c>
      <c r="F4" s="2">
        <v>37015</v>
      </c>
      <c r="G4" s="2" t="s">
        <v>41</v>
      </c>
      <c r="H4" t="s">
        <v>32</v>
      </c>
      <c r="I4" s="6">
        <v>42310</v>
      </c>
      <c r="J4" s="2" t="s">
        <v>45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46</v>
      </c>
      <c r="Q4" s="2">
        <v>35.75</v>
      </c>
      <c r="R4" s="2">
        <v>0</v>
      </c>
      <c r="S4" s="2">
        <v>0</v>
      </c>
      <c r="T4" t="s">
        <v>47</v>
      </c>
      <c r="U4" s="6">
        <v>33701</v>
      </c>
      <c r="V4" s="2">
        <v>47037013100</v>
      </c>
      <c r="W4" s="2" t="s">
        <v>38</v>
      </c>
      <c r="X4" s="1">
        <v>45658</v>
      </c>
      <c r="Y4" s="2">
        <v>116200</v>
      </c>
      <c r="Z4" s="2">
        <v>0</v>
      </c>
      <c r="AA4" s="2">
        <v>116200</v>
      </c>
    </row>
    <row r="5" spans="1:27" x14ac:dyDescent="0.3">
      <c r="A5" s="4" t="s">
        <v>27</v>
      </c>
      <c r="B5" s="2" t="str">
        <f>"04800004201"</f>
        <v>04800004201</v>
      </c>
      <c r="C5" s="2" t="s">
        <v>48</v>
      </c>
      <c r="D5" t="s">
        <v>29</v>
      </c>
      <c r="E5" s="2" t="s">
        <v>30</v>
      </c>
      <c r="F5" s="2">
        <v>37218</v>
      </c>
      <c r="G5" s="2" t="s">
        <v>31</v>
      </c>
      <c r="H5" t="s">
        <v>32</v>
      </c>
      <c r="I5" s="6">
        <v>28796</v>
      </c>
      <c r="J5" s="2" t="s">
        <v>49</v>
      </c>
      <c r="K5" s="2">
        <v>207</v>
      </c>
      <c r="L5" t="s">
        <v>35</v>
      </c>
      <c r="M5" t="s">
        <v>29</v>
      </c>
      <c r="N5" t="s">
        <v>30</v>
      </c>
      <c r="O5">
        <v>37219</v>
      </c>
      <c r="P5" t="s">
        <v>50</v>
      </c>
      <c r="Q5" s="2">
        <v>0.09</v>
      </c>
      <c r="R5" s="2">
        <v>136</v>
      </c>
      <c r="S5" s="2">
        <v>20</v>
      </c>
      <c r="T5" t="s">
        <v>51</v>
      </c>
      <c r="U5" s="6">
        <v>23132</v>
      </c>
      <c r="V5" s="2">
        <v>47037013100</v>
      </c>
      <c r="W5" s="2" t="s">
        <v>38</v>
      </c>
      <c r="X5" s="1">
        <v>45658</v>
      </c>
      <c r="Y5" s="2">
        <v>900</v>
      </c>
      <c r="Z5" s="2">
        <v>0</v>
      </c>
      <c r="AA5" s="2">
        <v>900</v>
      </c>
    </row>
    <row r="6" spans="1:27" x14ac:dyDescent="0.3">
      <c r="A6" s="4" t="s">
        <v>27</v>
      </c>
      <c r="B6" s="2" t="str">
        <f>"03800012600"</f>
        <v>03800012600</v>
      </c>
      <c r="C6" s="2" t="s">
        <v>52</v>
      </c>
      <c r="D6" t="s">
        <v>29</v>
      </c>
      <c r="E6" s="2" t="s">
        <v>30</v>
      </c>
      <c r="F6" s="2">
        <v>37218</v>
      </c>
      <c r="G6" s="2" t="s">
        <v>31</v>
      </c>
      <c r="H6" t="s">
        <v>32</v>
      </c>
      <c r="I6" s="6">
        <v>42503</v>
      </c>
      <c r="J6" s="2" t="s">
        <v>53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54</v>
      </c>
      <c r="Q6" s="2">
        <v>13</v>
      </c>
      <c r="R6" s="2">
        <v>0</v>
      </c>
      <c r="S6" s="2">
        <v>0</v>
      </c>
      <c r="T6" t="s">
        <v>55</v>
      </c>
      <c r="U6" s="6">
        <v>41746</v>
      </c>
      <c r="V6" s="2">
        <v>47037013100</v>
      </c>
      <c r="W6" s="2" t="s">
        <v>38</v>
      </c>
      <c r="X6" s="1">
        <v>45658</v>
      </c>
      <c r="Y6" s="2">
        <v>46800</v>
      </c>
      <c r="Z6" s="2">
        <v>0</v>
      </c>
      <c r="AA6" s="2">
        <v>46800</v>
      </c>
    </row>
    <row r="7" spans="1:27" x14ac:dyDescent="0.3">
      <c r="A7" s="4" t="s">
        <v>27</v>
      </c>
      <c r="B7" s="2" t="str">
        <f>"04500000600"</f>
        <v>04500000600</v>
      </c>
      <c r="C7" s="2" t="s">
        <v>56</v>
      </c>
      <c r="D7" t="s">
        <v>40</v>
      </c>
      <c r="E7" s="2" t="s">
        <v>30</v>
      </c>
      <c r="F7" s="2">
        <v>37015</v>
      </c>
      <c r="G7" s="2" t="s">
        <v>41</v>
      </c>
      <c r="H7" t="s">
        <v>32</v>
      </c>
      <c r="I7" s="6">
        <v>42310</v>
      </c>
      <c r="J7" s="2" t="s">
        <v>42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57</v>
      </c>
      <c r="Q7" s="2">
        <v>194.45</v>
      </c>
      <c r="R7" s="2">
        <v>0</v>
      </c>
      <c r="S7" s="2">
        <v>0</v>
      </c>
      <c r="T7" t="s">
        <v>58</v>
      </c>
      <c r="U7" s="6">
        <v>29641</v>
      </c>
      <c r="V7" s="2">
        <v>47037013100</v>
      </c>
      <c r="W7" s="2" t="s">
        <v>38</v>
      </c>
      <c r="X7" s="1">
        <v>45658</v>
      </c>
      <c r="Y7" s="2">
        <v>592400</v>
      </c>
      <c r="Z7" s="2">
        <v>0</v>
      </c>
      <c r="AA7" s="2">
        <v>592400</v>
      </c>
    </row>
    <row r="8" spans="1:27" x14ac:dyDescent="0.3">
      <c r="A8" s="4" t="s">
        <v>27</v>
      </c>
      <c r="B8" s="2" t="str">
        <f>"03800000300"</f>
        <v>03800000300</v>
      </c>
      <c r="C8" s="2" t="s">
        <v>56</v>
      </c>
      <c r="D8" t="s">
        <v>59</v>
      </c>
      <c r="E8" s="2" t="s">
        <v>30</v>
      </c>
      <c r="F8" s="2">
        <v>37080</v>
      </c>
      <c r="G8" s="2" t="s">
        <v>31</v>
      </c>
      <c r="H8" t="s">
        <v>32</v>
      </c>
      <c r="I8" s="6">
        <v>35223</v>
      </c>
      <c r="J8" s="2" t="s">
        <v>60</v>
      </c>
      <c r="K8" s="2" t="s">
        <v>34</v>
      </c>
      <c r="L8" t="s">
        <v>35</v>
      </c>
      <c r="M8" t="s">
        <v>29</v>
      </c>
      <c r="N8" t="s">
        <v>30</v>
      </c>
      <c r="O8">
        <v>37219</v>
      </c>
      <c r="P8" t="s">
        <v>61</v>
      </c>
      <c r="Q8" s="2">
        <v>1.73</v>
      </c>
      <c r="R8" s="2">
        <v>1912</v>
      </c>
      <c r="S8" s="2">
        <v>0</v>
      </c>
      <c r="T8" t="s">
        <v>62</v>
      </c>
      <c r="U8" s="6">
        <v>39702</v>
      </c>
      <c r="V8" s="2">
        <v>47037010104</v>
      </c>
      <c r="W8" s="2" t="s">
        <v>38</v>
      </c>
      <c r="X8" s="1">
        <v>45658</v>
      </c>
      <c r="Y8" s="2">
        <v>10400</v>
      </c>
      <c r="Z8" s="2">
        <v>0</v>
      </c>
      <c r="AA8" s="2">
        <v>10400</v>
      </c>
    </row>
    <row r="9" spans="1:27" x14ac:dyDescent="0.3">
      <c r="A9" s="4" t="s">
        <v>27</v>
      </c>
      <c r="B9" s="2" t="str">
        <f>"04900030700"</f>
        <v>04900030700</v>
      </c>
      <c r="C9" s="2" t="s">
        <v>63</v>
      </c>
      <c r="D9" t="s">
        <v>29</v>
      </c>
      <c r="E9" s="2" t="s">
        <v>30</v>
      </c>
      <c r="F9" s="2">
        <v>37207</v>
      </c>
      <c r="G9" s="2" t="s">
        <v>64</v>
      </c>
      <c r="H9" t="s">
        <v>32</v>
      </c>
      <c r="I9" s="6">
        <v>41141</v>
      </c>
      <c r="J9" s="2" t="s">
        <v>65</v>
      </c>
      <c r="K9" s="2">
        <v>0</v>
      </c>
      <c r="L9" t="s">
        <v>35</v>
      </c>
      <c r="M9" t="s">
        <v>29</v>
      </c>
      <c r="N9" t="s">
        <v>30</v>
      </c>
      <c r="O9">
        <v>37219</v>
      </c>
      <c r="P9" t="s">
        <v>66</v>
      </c>
      <c r="Q9" s="2">
        <v>1.99</v>
      </c>
      <c r="R9" s="2">
        <v>0</v>
      </c>
      <c r="S9" s="2">
        <v>0</v>
      </c>
      <c r="T9" t="s">
        <v>67</v>
      </c>
      <c r="U9" s="6">
        <v>29872</v>
      </c>
      <c r="V9" s="2">
        <v>47037010106</v>
      </c>
      <c r="W9" s="2" t="s">
        <v>68</v>
      </c>
      <c r="X9" s="1">
        <v>45658</v>
      </c>
      <c r="Y9" s="2">
        <v>193800</v>
      </c>
      <c r="Z9" s="2">
        <v>0</v>
      </c>
      <c r="AA9" s="2">
        <v>193800</v>
      </c>
    </row>
    <row r="10" spans="1:27" x14ac:dyDescent="0.3">
      <c r="A10" s="4" t="s">
        <v>27</v>
      </c>
      <c r="B10" s="2" t="str">
        <f>"06904023400"</f>
        <v>06904023400</v>
      </c>
      <c r="C10" s="2" t="s">
        <v>69</v>
      </c>
      <c r="D10" t="s">
        <v>29</v>
      </c>
      <c r="E10" s="2" t="s">
        <v>30</v>
      </c>
      <c r="F10" s="2">
        <v>37218</v>
      </c>
      <c r="G10" s="2" t="s">
        <v>64</v>
      </c>
      <c r="H10" t="s">
        <v>32</v>
      </c>
      <c r="I10" s="6">
        <v>41808</v>
      </c>
      <c r="J10" s="2" t="s">
        <v>70</v>
      </c>
      <c r="K10" s="2">
        <v>0</v>
      </c>
      <c r="L10" t="s">
        <v>35</v>
      </c>
      <c r="M10" t="s">
        <v>29</v>
      </c>
      <c r="N10" t="s">
        <v>30</v>
      </c>
      <c r="O10">
        <v>37219</v>
      </c>
      <c r="P10" t="s">
        <v>71</v>
      </c>
      <c r="Q10" s="2">
        <v>0.46</v>
      </c>
      <c r="R10" s="2">
        <v>104</v>
      </c>
      <c r="S10" s="2">
        <v>215</v>
      </c>
      <c r="T10" t="s">
        <v>72</v>
      </c>
      <c r="U10" s="6">
        <v>38806</v>
      </c>
      <c r="V10" s="2">
        <v>47037012801</v>
      </c>
      <c r="W10" s="2" t="s">
        <v>68</v>
      </c>
      <c r="X10" s="1">
        <v>45658</v>
      </c>
      <c r="Y10" s="2">
        <v>96300</v>
      </c>
      <c r="Z10" s="2">
        <v>0</v>
      </c>
      <c r="AA10" s="2">
        <v>96300</v>
      </c>
    </row>
    <row r="11" spans="1:27" x14ac:dyDescent="0.3">
      <c r="A11" s="4" t="s">
        <v>27</v>
      </c>
      <c r="B11" s="2" t="str">
        <f>"06904023700"</f>
        <v>06904023700</v>
      </c>
      <c r="C11" s="2" t="s">
        <v>73</v>
      </c>
      <c r="D11" t="s">
        <v>29</v>
      </c>
      <c r="E11" s="2" t="s">
        <v>30</v>
      </c>
      <c r="F11" s="2">
        <v>37218</v>
      </c>
      <c r="G11" s="2" t="s">
        <v>64</v>
      </c>
      <c r="H11" t="s">
        <v>32</v>
      </c>
      <c r="I11" s="6">
        <v>41808</v>
      </c>
      <c r="J11" s="2" t="s">
        <v>70</v>
      </c>
      <c r="K11" s="2">
        <v>0</v>
      </c>
      <c r="L11" t="s">
        <v>35</v>
      </c>
      <c r="M11" t="s">
        <v>29</v>
      </c>
      <c r="N11" t="s">
        <v>30</v>
      </c>
      <c r="O11">
        <v>37219</v>
      </c>
      <c r="P11" t="s">
        <v>74</v>
      </c>
      <c r="Q11" s="2">
        <v>0.45</v>
      </c>
      <c r="R11" s="2">
        <v>101</v>
      </c>
      <c r="S11" s="2">
        <v>195</v>
      </c>
      <c r="T11" t="s">
        <v>75</v>
      </c>
      <c r="U11" s="6">
        <v>41808</v>
      </c>
      <c r="V11" s="2">
        <v>47037012801</v>
      </c>
      <c r="W11" s="2" t="s">
        <v>68</v>
      </c>
      <c r="X11" s="1">
        <v>45658</v>
      </c>
      <c r="Y11" s="2">
        <v>96300</v>
      </c>
      <c r="Z11" s="2">
        <v>0</v>
      </c>
      <c r="AA11" s="2">
        <v>96300</v>
      </c>
    </row>
    <row r="12" spans="1:27" x14ac:dyDescent="0.3">
      <c r="A12" s="4" t="s">
        <v>27</v>
      </c>
      <c r="B12" s="2" t="str">
        <f>"06904023800"</f>
        <v>06904023800</v>
      </c>
      <c r="C12" s="2" t="s">
        <v>76</v>
      </c>
      <c r="D12" t="s">
        <v>29</v>
      </c>
      <c r="E12" s="2" t="s">
        <v>30</v>
      </c>
      <c r="F12" s="2">
        <v>37218</v>
      </c>
      <c r="G12" s="2" t="s">
        <v>77</v>
      </c>
      <c r="H12" t="s">
        <v>32</v>
      </c>
      <c r="I12" s="6">
        <v>41808</v>
      </c>
      <c r="J12" s="2" t="s">
        <v>70</v>
      </c>
      <c r="K12" s="2">
        <v>0</v>
      </c>
      <c r="L12" t="s">
        <v>35</v>
      </c>
      <c r="M12" t="s">
        <v>29</v>
      </c>
      <c r="N12" t="s">
        <v>30</v>
      </c>
      <c r="O12">
        <v>37219</v>
      </c>
      <c r="P12" t="s">
        <v>78</v>
      </c>
      <c r="Q12" s="2">
        <v>0.45</v>
      </c>
      <c r="R12" s="2">
        <v>101</v>
      </c>
      <c r="S12" s="2">
        <v>195</v>
      </c>
      <c r="T12" t="s">
        <v>75</v>
      </c>
      <c r="U12" s="6">
        <v>41808</v>
      </c>
      <c r="V12" s="2">
        <v>47037012801</v>
      </c>
      <c r="W12" s="2" t="s">
        <v>68</v>
      </c>
      <c r="X12" s="1">
        <v>45658</v>
      </c>
      <c r="Y12" s="2">
        <v>178000</v>
      </c>
      <c r="Z12" s="2">
        <v>81700</v>
      </c>
      <c r="AA12" s="2">
        <v>96300</v>
      </c>
    </row>
    <row r="13" spans="1:27" x14ac:dyDescent="0.3">
      <c r="A13" s="4" t="s">
        <v>27</v>
      </c>
      <c r="B13" s="2" t="str">
        <f>"06904023900"</f>
        <v>06904023900</v>
      </c>
      <c r="C13" s="2" t="s">
        <v>79</v>
      </c>
      <c r="D13" t="s">
        <v>29</v>
      </c>
      <c r="E13" s="2" t="s">
        <v>30</v>
      </c>
      <c r="F13" s="2">
        <v>37218</v>
      </c>
      <c r="G13" s="2" t="s">
        <v>64</v>
      </c>
      <c r="H13" t="s">
        <v>32</v>
      </c>
      <c r="I13" s="6">
        <v>41808</v>
      </c>
      <c r="J13" s="2" t="s">
        <v>70</v>
      </c>
      <c r="K13" s="2">
        <v>0</v>
      </c>
      <c r="L13" t="s">
        <v>35</v>
      </c>
      <c r="M13" t="s">
        <v>29</v>
      </c>
      <c r="N13" t="s">
        <v>30</v>
      </c>
      <c r="O13">
        <v>37219</v>
      </c>
      <c r="P13" t="s">
        <v>80</v>
      </c>
      <c r="Q13" s="2">
        <v>0.39</v>
      </c>
      <c r="R13" s="2">
        <v>98</v>
      </c>
      <c r="S13" s="2">
        <v>164</v>
      </c>
      <c r="T13" t="s">
        <v>81</v>
      </c>
      <c r="U13" s="6">
        <v>43298</v>
      </c>
      <c r="V13" s="2">
        <v>47037012801</v>
      </c>
      <c r="W13" s="2" t="s">
        <v>68</v>
      </c>
      <c r="X13" s="1">
        <v>45658</v>
      </c>
      <c r="Y13" s="2">
        <v>90000</v>
      </c>
      <c r="Z13" s="2">
        <v>0</v>
      </c>
      <c r="AA13" s="2">
        <v>90000</v>
      </c>
    </row>
    <row r="14" spans="1:27" x14ac:dyDescent="0.3">
      <c r="A14" s="4" t="s">
        <v>27</v>
      </c>
      <c r="B14" s="2" t="str">
        <f>"06904023600"</f>
        <v>06904023600</v>
      </c>
      <c r="C14" s="2" t="s">
        <v>82</v>
      </c>
      <c r="D14" t="s">
        <v>29</v>
      </c>
      <c r="E14" s="2" t="s">
        <v>30</v>
      </c>
      <c r="F14" s="2">
        <v>37218</v>
      </c>
      <c r="G14" s="2" t="s">
        <v>64</v>
      </c>
      <c r="H14" t="s">
        <v>32</v>
      </c>
      <c r="I14" s="6">
        <v>41808</v>
      </c>
      <c r="J14" s="2" t="s">
        <v>70</v>
      </c>
      <c r="K14" s="2">
        <v>0</v>
      </c>
      <c r="L14" t="s">
        <v>35</v>
      </c>
      <c r="M14" t="s">
        <v>29</v>
      </c>
      <c r="N14" t="s">
        <v>30</v>
      </c>
      <c r="O14">
        <v>37219</v>
      </c>
      <c r="P14" t="s">
        <v>83</v>
      </c>
      <c r="Q14" s="2">
        <v>0.42</v>
      </c>
      <c r="R14" s="2">
        <v>106</v>
      </c>
      <c r="S14" s="2">
        <v>195</v>
      </c>
      <c r="T14" t="s">
        <v>81</v>
      </c>
      <c r="U14" s="6">
        <v>43298</v>
      </c>
      <c r="V14" s="2">
        <v>47037012801</v>
      </c>
      <c r="W14" s="2" t="s">
        <v>68</v>
      </c>
      <c r="X14" s="1">
        <v>45658</v>
      </c>
      <c r="Y14" s="2">
        <v>96300</v>
      </c>
      <c r="Z14" s="2">
        <v>0</v>
      </c>
      <c r="AA14" s="2">
        <v>96300</v>
      </c>
    </row>
    <row r="15" spans="1:27" x14ac:dyDescent="0.3">
      <c r="A15" s="4" t="s">
        <v>27</v>
      </c>
      <c r="B15" s="2" t="str">
        <f>"06908002400"</f>
        <v>06908002400</v>
      </c>
      <c r="C15" s="2" t="s">
        <v>84</v>
      </c>
      <c r="D15" t="s">
        <v>29</v>
      </c>
      <c r="E15" s="2" t="s">
        <v>30</v>
      </c>
      <c r="F15" s="2">
        <v>37218</v>
      </c>
      <c r="G15" s="2" t="s">
        <v>64</v>
      </c>
      <c r="H15" t="s">
        <v>32</v>
      </c>
      <c r="I15" s="6">
        <v>41808</v>
      </c>
      <c r="J15" s="2" t="s">
        <v>70</v>
      </c>
      <c r="K15" s="2">
        <v>0</v>
      </c>
      <c r="L15" t="s">
        <v>85</v>
      </c>
      <c r="M15" t="s">
        <v>29</v>
      </c>
      <c r="N15" t="s">
        <v>30</v>
      </c>
      <c r="O15">
        <v>37219</v>
      </c>
      <c r="P15" t="s">
        <v>86</v>
      </c>
      <c r="Q15" s="2">
        <v>0.26</v>
      </c>
      <c r="R15" s="2">
        <v>0</v>
      </c>
      <c r="S15" s="2">
        <v>0</v>
      </c>
      <c r="T15" t="s">
        <v>87</v>
      </c>
      <c r="U15" s="6">
        <v>43522</v>
      </c>
      <c r="V15" s="2">
        <v>47037012801</v>
      </c>
      <c r="W15" s="2" t="s">
        <v>68</v>
      </c>
      <c r="X15" s="1">
        <v>45658</v>
      </c>
      <c r="Y15" s="2">
        <v>48100</v>
      </c>
      <c r="Z15" s="2">
        <v>0</v>
      </c>
      <c r="AA15" s="2">
        <v>48100</v>
      </c>
    </row>
    <row r="16" spans="1:27" x14ac:dyDescent="0.3">
      <c r="A16" s="4" t="s">
        <v>27</v>
      </c>
      <c r="B16" s="2" t="str">
        <f>"06908000100"</f>
        <v>06908000100</v>
      </c>
      <c r="C16" s="2" t="s">
        <v>88</v>
      </c>
      <c r="D16" t="s">
        <v>29</v>
      </c>
      <c r="E16" s="2" t="s">
        <v>30</v>
      </c>
      <c r="F16" s="2">
        <v>37218</v>
      </c>
      <c r="G16" s="2" t="s">
        <v>64</v>
      </c>
      <c r="H16" t="s">
        <v>32</v>
      </c>
      <c r="I16" s="6">
        <v>41808</v>
      </c>
      <c r="J16" s="2" t="s">
        <v>70</v>
      </c>
      <c r="K16" s="2">
        <v>0</v>
      </c>
      <c r="L16" t="s">
        <v>35</v>
      </c>
      <c r="M16" t="s">
        <v>29</v>
      </c>
      <c r="N16" t="s">
        <v>30</v>
      </c>
      <c r="O16">
        <v>37219</v>
      </c>
      <c r="P16" t="s">
        <v>86</v>
      </c>
      <c r="Q16" s="2">
        <v>69.78</v>
      </c>
      <c r="R16" s="2">
        <v>0</v>
      </c>
      <c r="S16" s="2">
        <v>0</v>
      </c>
      <c r="T16" t="s">
        <v>87</v>
      </c>
      <c r="U16" s="6">
        <v>43522</v>
      </c>
      <c r="V16" s="2">
        <v>47037012801</v>
      </c>
      <c r="W16" s="2" t="s">
        <v>68</v>
      </c>
      <c r="X16" s="1">
        <v>45658</v>
      </c>
      <c r="Y16" s="2">
        <v>492100</v>
      </c>
      <c r="Z16" s="2">
        <v>0</v>
      </c>
      <c r="AA16" s="2">
        <v>492100</v>
      </c>
    </row>
    <row r="17" spans="1:27" x14ac:dyDescent="0.3">
      <c r="A17" s="4" t="s">
        <v>27</v>
      </c>
      <c r="B17" s="2" t="str">
        <f>"04900030600"</f>
        <v>04900030600</v>
      </c>
      <c r="C17" s="2" t="s">
        <v>89</v>
      </c>
      <c r="D17" t="s">
        <v>29</v>
      </c>
      <c r="E17" s="2" t="s">
        <v>30</v>
      </c>
      <c r="F17" s="2">
        <v>37207</v>
      </c>
      <c r="G17" s="2" t="s">
        <v>64</v>
      </c>
      <c r="H17" t="s">
        <v>32</v>
      </c>
      <c r="I17" s="6">
        <v>41141</v>
      </c>
      <c r="J17" s="2" t="s">
        <v>90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66</v>
      </c>
      <c r="Q17" s="2">
        <v>1.87</v>
      </c>
      <c r="R17" s="2">
        <v>0</v>
      </c>
      <c r="S17" s="2">
        <v>0</v>
      </c>
      <c r="T17" t="s">
        <v>91</v>
      </c>
      <c r="U17" s="6">
        <v>34276</v>
      </c>
      <c r="V17" s="2">
        <v>47037010106</v>
      </c>
      <c r="W17" s="2" t="s">
        <v>68</v>
      </c>
      <c r="X17" s="1">
        <v>45658</v>
      </c>
      <c r="Y17" s="2">
        <v>6500</v>
      </c>
      <c r="Z17" s="2">
        <v>0</v>
      </c>
      <c r="AA17" s="2">
        <v>6500</v>
      </c>
    </row>
    <row r="18" spans="1:27" x14ac:dyDescent="0.3">
      <c r="A18" s="4" t="s">
        <v>27</v>
      </c>
      <c r="B18" s="2" t="str">
        <f>"04900009400"</f>
        <v>04900009400</v>
      </c>
      <c r="C18" s="2" t="s">
        <v>92</v>
      </c>
      <c r="D18" t="s">
        <v>29</v>
      </c>
      <c r="E18" s="2" t="s">
        <v>30</v>
      </c>
      <c r="F18" s="2">
        <v>37207</v>
      </c>
      <c r="G18" s="2" t="s">
        <v>64</v>
      </c>
      <c r="H18" t="s">
        <v>32</v>
      </c>
      <c r="I18" s="6">
        <v>41141</v>
      </c>
      <c r="J18" s="2" t="s">
        <v>93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94</v>
      </c>
      <c r="Q18" s="2">
        <v>1.69</v>
      </c>
      <c r="R18" s="2">
        <v>166</v>
      </c>
      <c r="S18" s="2">
        <v>456</v>
      </c>
      <c r="T18" t="s">
        <v>95</v>
      </c>
      <c r="U18" s="6">
        <v>34849</v>
      </c>
      <c r="V18" s="2">
        <v>47037010106</v>
      </c>
      <c r="W18" s="2" t="s">
        <v>68</v>
      </c>
      <c r="X18" s="1">
        <v>45658</v>
      </c>
      <c r="Y18" s="2">
        <v>5900</v>
      </c>
      <c r="Z18" s="2">
        <v>0</v>
      </c>
      <c r="AA18" s="2">
        <v>5900</v>
      </c>
    </row>
    <row r="19" spans="1:27" x14ac:dyDescent="0.3">
      <c r="A19" s="4" t="s">
        <v>27</v>
      </c>
      <c r="B19" s="2" t="str">
        <f>"04900030800"</f>
        <v>04900030800</v>
      </c>
      <c r="C19" s="2" t="s">
        <v>89</v>
      </c>
      <c r="D19" t="s">
        <v>29</v>
      </c>
      <c r="E19" s="2" t="s">
        <v>30</v>
      </c>
      <c r="F19" s="2">
        <v>37207</v>
      </c>
      <c r="G19" s="2" t="s">
        <v>64</v>
      </c>
      <c r="H19" t="s">
        <v>32</v>
      </c>
      <c r="I19" s="6">
        <v>41141</v>
      </c>
      <c r="J19" s="2" t="s">
        <v>96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66</v>
      </c>
      <c r="Q19" s="2">
        <v>2.36</v>
      </c>
      <c r="R19" s="2">
        <v>0</v>
      </c>
      <c r="S19" s="2">
        <v>0</v>
      </c>
      <c r="T19" t="s">
        <v>97</v>
      </c>
      <c r="U19" s="6">
        <v>34275</v>
      </c>
      <c r="V19" s="2">
        <v>47037010106</v>
      </c>
      <c r="W19" s="2" t="s">
        <v>68</v>
      </c>
      <c r="X19" s="1">
        <v>45658</v>
      </c>
      <c r="Y19" s="2">
        <v>8300</v>
      </c>
      <c r="Z19" s="2">
        <v>0</v>
      </c>
      <c r="AA19" s="2">
        <v>8300</v>
      </c>
    </row>
    <row r="20" spans="1:27" x14ac:dyDescent="0.3">
      <c r="A20" s="4" t="s">
        <v>27</v>
      </c>
      <c r="B20" s="2" t="str">
        <f>"01300001000"</f>
        <v>01300001000</v>
      </c>
      <c r="C20" s="2" t="s">
        <v>98</v>
      </c>
      <c r="D20" t="s">
        <v>59</v>
      </c>
      <c r="E20" s="2" t="s">
        <v>30</v>
      </c>
      <c r="F20" s="2">
        <v>37080</v>
      </c>
      <c r="G20" s="2" t="s">
        <v>31</v>
      </c>
      <c r="H20" t="s">
        <v>99</v>
      </c>
      <c r="I20" s="6">
        <v>40198</v>
      </c>
      <c r="J20" s="2" t="s">
        <v>100</v>
      </c>
      <c r="K20" s="2">
        <v>1668</v>
      </c>
      <c r="L20" t="s">
        <v>35</v>
      </c>
      <c r="M20" t="s">
        <v>29</v>
      </c>
      <c r="N20" t="s">
        <v>30</v>
      </c>
      <c r="O20">
        <v>37219</v>
      </c>
      <c r="P20" t="s">
        <v>101</v>
      </c>
      <c r="Q20" s="2">
        <v>0.27</v>
      </c>
      <c r="R20" s="2">
        <v>15</v>
      </c>
      <c r="S20" s="2">
        <v>401</v>
      </c>
      <c r="T20" t="s">
        <v>102</v>
      </c>
      <c r="U20" s="6">
        <v>4605</v>
      </c>
      <c r="V20" s="2">
        <v>47037010104</v>
      </c>
      <c r="W20" s="2" t="s">
        <v>38</v>
      </c>
      <c r="X20" s="1">
        <v>45658</v>
      </c>
      <c r="Y20" s="2">
        <v>800</v>
      </c>
      <c r="Z20" s="2">
        <v>0</v>
      </c>
      <c r="AA20" s="2">
        <v>800</v>
      </c>
    </row>
    <row r="21" spans="1:27" x14ac:dyDescent="0.3">
      <c r="A21" s="4" t="s">
        <v>27</v>
      </c>
      <c r="B21" s="2" t="str">
        <f>"02100007000"</f>
        <v>02100007000</v>
      </c>
      <c r="C21" s="2" t="s">
        <v>84</v>
      </c>
      <c r="D21" t="s">
        <v>103</v>
      </c>
      <c r="E21" s="2" t="s">
        <v>30</v>
      </c>
      <c r="F21" s="2">
        <v>37080</v>
      </c>
      <c r="G21" s="2" t="s">
        <v>31</v>
      </c>
      <c r="H21" t="s">
        <v>99</v>
      </c>
      <c r="I21" s="6">
        <v>37666</v>
      </c>
      <c r="J21" s="2" t="s">
        <v>104</v>
      </c>
      <c r="K21" s="2">
        <v>1217</v>
      </c>
      <c r="L21" t="s">
        <v>35</v>
      </c>
      <c r="M21" t="s">
        <v>29</v>
      </c>
      <c r="N21" t="s">
        <v>30</v>
      </c>
      <c r="O21">
        <v>37219</v>
      </c>
      <c r="P21" t="s">
        <v>105</v>
      </c>
      <c r="Q21" s="2">
        <v>0.32</v>
      </c>
      <c r="R21" s="2">
        <v>230</v>
      </c>
      <c r="S21" s="2">
        <v>110</v>
      </c>
      <c r="T21" t="s">
        <v>106</v>
      </c>
      <c r="U21" s="6">
        <v>24197</v>
      </c>
      <c r="V21" s="2">
        <v>47037010104</v>
      </c>
      <c r="W21" s="2" t="s">
        <v>38</v>
      </c>
      <c r="X21" s="1">
        <v>45658</v>
      </c>
      <c r="Y21" s="2">
        <v>12900</v>
      </c>
      <c r="Z21" s="2">
        <v>0</v>
      </c>
      <c r="AA21" s="2">
        <v>12900</v>
      </c>
    </row>
    <row r="22" spans="1:27" x14ac:dyDescent="0.3">
      <c r="A22" s="4" t="s">
        <v>27</v>
      </c>
      <c r="B22" s="2" t="str">
        <f>"03000015300"</f>
        <v>03000015300</v>
      </c>
      <c r="C22" s="2" t="s">
        <v>107</v>
      </c>
      <c r="D22" t="s">
        <v>103</v>
      </c>
      <c r="E22" s="2" t="s">
        <v>30</v>
      </c>
      <c r="F22" s="2">
        <v>37189</v>
      </c>
      <c r="G22" s="2" t="s">
        <v>31</v>
      </c>
      <c r="H22" t="s">
        <v>99</v>
      </c>
      <c r="I22" s="6">
        <v>41444</v>
      </c>
      <c r="J22" s="2" t="s">
        <v>108</v>
      </c>
      <c r="K22" s="2">
        <v>3500</v>
      </c>
      <c r="L22" t="s">
        <v>35</v>
      </c>
      <c r="M22" t="s">
        <v>29</v>
      </c>
      <c r="N22" t="s">
        <v>30</v>
      </c>
      <c r="O22">
        <v>37219</v>
      </c>
      <c r="P22" t="s">
        <v>109</v>
      </c>
      <c r="Q22" s="2">
        <v>1.06</v>
      </c>
      <c r="R22" s="2">
        <v>0</v>
      </c>
      <c r="S22" s="2">
        <v>0</v>
      </c>
      <c r="T22" t="s">
        <v>110</v>
      </c>
      <c r="U22" s="6">
        <v>32671</v>
      </c>
      <c r="V22" s="2">
        <v>47037010104</v>
      </c>
      <c r="W22" s="2" t="s">
        <v>38</v>
      </c>
      <c r="X22" s="1">
        <v>45658</v>
      </c>
      <c r="Y22" s="2">
        <v>9500</v>
      </c>
      <c r="Z22" s="2">
        <v>0</v>
      </c>
      <c r="AA22" s="2">
        <v>9500</v>
      </c>
    </row>
    <row r="23" spans="1:27" x14ac:dyDescent="0.3">
      <c r="A23" s="4" t="s">
        <v>27</v>
      </c>
      <c r="B23" s="2" t="str">
        <f>"02900023200"</f>
        <v>02900023200</v>
      </c>
      <c r="C23" s="2" t="s">
        <v>111</v>
      </c>
      <c r="D23" t="s">
        <v>59</v>
      </c>
      <c r="E23" s="2" t="s">
        <v>30</v>
      </c>
      <c r="F23" s="2">
        <v>37080</v>
      </c>
      <c r="G23" s="2" t="s">
        <v>31</v>
      </c>
      <c r="H23" t="s">
        <v>99</v>
      </c>
      <c r="I23" s="6">
        <v>41444</v>
      </c>
      <c r="J23" s="2" t="s">
        <v>112</v>
      </c>
      <c r="K23" s="2">
        <v>12004</v>
      </c>
      <c r="L23" t="s">
        <v>35</v>
      </c>
      <c r="M23" t="s">
        <v>29</v>
      </c>
      <c r="N23" t="s">
        <v>30</v>
      </c>
      <c r="O23">
        <v>37219</v>
      </c>
      <c r="P23" t="s">
        <v>113</v>
      </c>
      <c r="Q23" s="2">
        <v>1</v>
      </c>
      <c r="R23" s="2">
        <v>0</v>
      </c>
      <c r="S23" s="2">
        <v>0</v>
      </c>
      <c r="T23" t="s">
        <v>114</v>
      </c>
      <c r="U23" s="6">
        <v>23945</v>
      </c>
      <c r="V23" s="2">
        <v>47037010104</v>
      </c>
      <c r="W23" s="2" t="s">
        <v>38</v>
      </c>
      <c r="X23" s="1">
        <v>45658</v>
      </c>
      <c r="Y23" s="2">
        <v>65000</v>
      </c>
      <c r="Z23" s="2">
        <v>0</v>
      </c>
      <c r="AA23" s="2">
        <v>65000</v>
      </c>
    </row>
    <row r="24" spans="1:27" x14ac:dyDescent="0.3">
      <c r="A24" s="4" t="s">
        <v>27</v>
      </c>
      <c r="B24" s="2" t="str">
        <f>"04600003800"</f>
        <v>04600003800</v>
      </c>
      <c r="C24" s="2" t="s">
        <v>115</v>
      </c>
      <c r="D24" t="s">
        <v>40</v>
      </c>
      <c r="E24" s="2" t="s">
        <v>30</v>
      </c>
      <c r="F24" s="2">
        <v>37015</v>
      </c>
      <c r="G24" s="2" t="s">
        <v>31</v>
      </c>
      <c r="H24" t="s">
        <v>99</v>
      </c>
      <c r="I24" s="6">
        <v>37666</v>
      </c>
      <c r="J24" s="2" t="s">
        <v>116</v>
      </c>
      <c r="K24" s="2">
        <v>530</v>
      </c>
      <c r="L24" t="s">
        <v>35</v>
      </c>
      <c r="M24" t="s">
        <v>29</v>
      </c>
      <c r="N24" t="s">
        <v>30</v>
      </c>
      <c r="O24">
        <v>37219</v>
      </c>
      <c r="P24" t="s">
        <v>43</v>
      </c>
      <c r="Q24" s="2">
        <v>0.28000000000000003</v>
      </c>
      <c r="R24" s="2">
        <v>135</v>
      </c>
      <c r="S24" s="2">
        <v>90</v>
      </c>
      <c r="T24" t="s">
        <v>117</v>
      </c>
      <c r="U24" s="6">
        <v>34964</v>
      </c>
      <c r="V24" s="2">
        <v>47037013100</v>
      </c>
      <c r="W24" s="2" t="s">
        <v>38</v>
      </c>
      <c r="X24" s="1">
        <v>45658</v>
      </c>
      <c r="Y24" s="2">
        <v>31000</v>
      </c>
      <c r="Z24" s="2">
        <v>0</v>
      </c>
      <c r="AA24" s="2">
        <v>31000</v>
      </c>
    </row>
    <row r="25" spans="1:27" x14ac:dyDescent="0.3">
      <c r="A25" s="4" t="s">
        <v>27</v>
      </c>
      <c r="B25" s="2" t="str">
        <f>"06001004400"</f>
        <v>06001004400</v>
      </c>
      <c r="C25" s="2" t="s">
        <v>118</v>
      </c>
      <c r="D25" t="s">
        <v>29</v>
      </c>
      <c r="E25" s="2" t="s">
        <v>30</v>
      </c>
      <c r="F25" s="2">
        <v>37207</v>
      </c>
      <c r="G25" s="2" t="s">
        <v>64</v>
      </c>
      <c r="H25" t="s">
        <v>99</v>
      </c>
      <c r="I25" s="6">
        <v>42139</v>
      </c>
      <c r="J25" s="2" t="s">
        <v>119</v>
      </c>
      <c r="K25" s="2">
        <v>2321</v>
      </c>
      <c r="L25" t="s">
        <v>35</v>
      </c>
      <c r="M25" t="s">
        <v>29</v>
      </c>
      <c r="N25" t="s">
        <v>30</v>
      </c>
      <c r="O25">
        <v>37219</v>
      </c>
      <c r="P25" t="s">
        <v>120</v>
      </c>
      <c r="Q25" s="2">
        <v>0.04</v>
      </c>
      <c r="R25" s="2">
        <v>70</v>
      </c>
      <c r="S25" s="2">
        <v>66</v>
      </c>
      <c r="T25" t="s">
        <v>121</v>
      </c>
      <c r="U25" s="6">
        <v>21642</v>
      </c>
      <c r="V25" s="2">
        <v>47037012701</v>
      </c>
      <c r="W25" s="2" t="s">
        <v>68</v>
      </c>
      <c r="X25" s="1">
        <v>45658</v>
      </c>
      <c r="Y25" s="2">
        <v>2400</v>
      </c>
      <c r="Z25" s="2">
        <v>0</v>
      </c>
      <c r="AA25" s="2">
        <v>2400</v>
      </c>
    </row>
    <row r="26" spans="1:27" x14ac:dyDescent="0.3">
      <c r="A26" s="4" t="s">
        <v>27</v>
      </c>
      <c r="B26" s="2" t="str">
        <f>"06800007400"</f>
        <v>06800007400</v>
      </c>
      <c r="C26" s="2" t="s">
        <v>122</v>
      </c>
      <c r="D26" t="s">
        <v>29</v>
      </c>
      <c r="E26" s="2" t="s">
        <v>30</v>
      </c>
      <c r="F26" s="2">
        <v>37218</v>
      </c>
      <c r="G26" s="2" t="s">
        <v>31</v>
      </c>
      <c r="H26" t="s">
        <v>99</v>
      </c>
      <c r="I26" s="6">
        <v>39792</v>
      </c>
      <c r="J26" s="2" t="s">
        <v>123</v>
      </c>
      <c r="K26" s="2">
        <v>633</v>
      </c>
      <c r="L26" t="s">
        <v>35</v>
      </c>
      <c r="M26" t="s">
        <v>29</v>
      </c>
      <c r="N26" t="s">
        <v>30</v>
      </c>
      <c r="O26">
        <v>37219</v>
      </c>
      <c r="P26" t="s">
        <v>124</v>
      </c>
      <c r="Q26" s="2">
        <v>0.04</v>
      </c>
      <c r="R26" s="2">
        <v>31</v>
      </c>
      <c r="S26" s="2">
        <v>70</v>
      </c>
      <c r="T26" t="s">
        <v>125</v>
      </c>
      <c r="U26" s="6">
        <v>28426</v>
      </c>
      <c r="V26" s="2">
        <v>47037012802</v>
      </c>
      <c r="W26" s="2" t="s">
        <v>38</v>
      </c>
      <c r="X26" s="1">
        <v>45658</v>
      </c>
      <c r="Y26" s="2">
        <v>1900</v>
      </c>
      <c r="Z26" s="2">
        <v>0</v>
      </c>
      <c r="AA26" s="2">
        <v>1900</v>
      </c>
    </row>
    <row r="27" spans="1:27" x14ac:dyDescent="0.3">
      <c r="A27" s="4" t="s">
        <v>27</v>
      </c>
      <c r="B27" s="2" t="str">
        <f>"06900010500"</f>
        <v>06900010500</v>
      </c>
      <c r="C27" s="2" t="s">
        <v>126</v>
      </c>
      <c r="D27" t="s">
        <v>29</v>
      </c>
      <c r="E27" s="2" t="s">
        <v>30</v>
      </c>
      <c r="F27" s="2">
        <v>37218</v>
      </c>
      <c r="G27" s="2" t="s">
        <v>64</v>
      </c>
      <c r="H27" t="s">
        <v>99</v>
      </c>
      <c r="I27" s="6">
        <v>40772</v>
      </c>
      <c r="J27" s="2" t="s">
        <v>127</v>
      </c>
      <c r="K27" s="2">
        <v>364</v>
      </c>
      <c r="L27" t="s">
        <v>35</v>
      </c>
      <c r="M27" t="s">
        <v>29</v>
      </c>
      <c r="N27" t="s">
        <v>30</v>
      </c>
      <c r="O27">
        <v>37219</v>
      </c>
      <c r="P27" t="s">
        <v>128</v>
      </c>
      <c r="Q27" s="2">
        <v>0.12</v>
      </c>
      <c r="R27" s="2">
        <v>490</v>
      </c>
      <c r="S27" s="2">
        <v>80</v>
      </c>
      <c r="T27" t="s">
        <v>129</v>
      </c>
      <c r="U27" s="6">
        <v>34435</v>
      </c>
      <c r="V27" s="2">
        <v>47037013100</v>
      </c>
      <c r="W27" s="2" t="s">
        <v>68</v>
      </c>
      <c r="X27" s="1">
        <v>45658</v>
      </c>
      <c r="Y27" s="2">
        <v>600</v>
      </c>
      <c r="Z27" s="2">
        <v>0</v>
      </c>
      <c r="AA27" s="2">
        <v>600</v>
      </c>
    </row>
    <row r="28" spans="1:27" x14ac:dyDescent="0.3">
      <c r="A28" s="4" t="s">
        <v>27</v>
      </c>
      <c r="B28" s="2" t="str">
        <f>"05808000500"</f>
        <v>05808000500</v>
      </c>
      <c r="C28" s="2" t="s">
        <v>130</v>
      </c>
      <c r="D28" t="s">
        <v>29</v>
      </c>
      <c r="E28" s="2" t="s">
        <v>30</v>
      </c>
      <c r="F28" s="2">
        <v>37218</v>
      </c>
      <c r="G28" s="2" t="s">
        <v>64</v>
      </c>
      <c r="H28" t="s">
        <v>99</v>
      </c>
      <c r="I28" s="6">
        <v>41171</v>
      </c>
      <c r="J28" s="2" t="s">
        <v>131</v>
      </c>
      <c r="K28" s="2">
        <v>382</v>
      </c>
      <c r="L28" t="s">
        <v>35</v>
      </c>
      <c r="M28" t="s">
        <v>29</v>
      </c>
      <c r="N28" t="s">
        <v>30</v>
      </c>
      <c r="O28">
        <v>37219</v>
      </c>
      <c r="P28" t="s">
        <v>132</v>
      </c>
      <c r="Q28" s="2">
        <v>0.17</v>
      </c>
      <c r="R28" s="2">
        <v>0</v>
      </c>
      <c r="S28" s="2">
        <v>205</v>
      </c>
      <c r="T28" t="s">
        <v>133</v>
      </c>
      <c r="U28" s="6">
        <v>27640</v>
      </c>
      <c r="V28" s="2">
        <v>47037010105</v>
      </c>
      <c r="W28" s="2" t="s">
        <v>68</v>
      </c>
      <c r="X28" s="1">
        <v>45658</v>
      </c>
      <c r="Y28" s="2">
        <v>1200</v>
      </c>
      <c r="Z28" s="2">
        <v>0</v>
      </c>
      <c r="AA28" s="2">
        <v>1200</v>
      </c>
    </row>
    <row r="29" spans="1:27" x14ac:dyDescent="0.3">
      <c r="A29" s="4" t="s">
        <v>27</v>
      </c>
      <c r="B29" s="2" t="str">
        <f>"05905001100"</f>
        <v>05905001100</v>
      </c>
      <c r="C29" s="2" t="s">
        <v>134</v>
      </c>
      <c r="D29" t="s">
        <v>29</v>
      </c>
      <c r="E29" s="2" t="s">
        <v>30</v>
      </c>
      <c r="F29" s="2">
        <v>37218</v>
      </c>
      <c r="G29" s="2" t="s">
        <v>64</v>
      </c>
      <c r="H29" t="s">
        <v>99</v>
      </c>
      <c r="I29" s="6">
        <v>37118</v>
      </c>
      <c r="J29" s="2" t="s">
        <v>135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136</v>
      </c>
      <c r="Q29" s="2">
        <v>0.05</v>
      </c>
      <c r="R29" s="2">
        <v>100</v>
      </c>
      <c r="S29" s="2">
        <v>5</v>
      </c>
      <c r="T29" t="s">
        <v>137</v>
      </c>
      <c r="U29" s="6">
        <v>27372</v>
      </c>
      <c r="V29" s="2">
        <v>47037010105</v>
      </c>
      <c r="W29" s="2" t="s">
        <v>68</v>
      </c>
      <c r="X29" s="1">
        <v>45658</v>
      </c>
      <c r="Y29" s="2">
        <v>2000</v>
      </c>
      <c r="Z29" s="2">
        <v>0</v>
      </c>
      <c r="AA29" s="2">
        <v>2000</v>
      </c>
    </row>
    <row r="30" spans="1:27" x14ac:dyDescent="0.3">
      <c r="A30" s="4" t="s">
        <v>27</v>
      </c>
      <c r="B30" s="2" t="str">
        <f>"05905029600"</f>
        <v>05905029600</v>
      </c>
      <c r="C30" s="2" t="s">
        <v>138</v>
      </c>
      <c r="D30" t="s">
        <v>29</v>
      </c>
      <c r="E30" s="2" t="s">
        <v>30</v>
      </c>
      <c r="F30" s="2">
        <v>37218</v>
      </c>
      <c r="G30" s="2" t="s">
        <v>64</v>
      </c>
      <c r="H30" t="s">
        <v>99</v>
      </c>
      <c r="I30" s="6">
        <v>37118</v>
      </c>
      <c r="J30" s="2" t="s">
        <v>139</v>
      </c>
      <c r="K30" s="2">
        <v>0</v>
      </c>
      <c r="L30" t="s">
        <v>35</v>
      </c>
      <c r="M30" t="s">
        <v>29</v>
      </c>
      <c r="N30" t="s">
        <v>30</v>
      </c>
      <c r="O30">
        <v>37219</v>
      </c>
      <c r="P30" t="s">
        <v>140</v>
      </c>
      <c r="Q30" s="2">
        <v>0.01</v>
      </c>
      <c r="R30" s="2">
        <v>0</v>
      </c>
      <c r="S30" s="2">
        <v>13</v>
      </c>
      <c r="T30" t="s">
        <v>141</v>
      </c>
      <c r="U30" s="6">
        <v>26624</v>
      </c>
      <c r="V30" s="2">
        <v>47037010105</v>
      </c>
      <c r="W30" s="2" t="s">
        <v>68</v>
      </c>
      <c r="X30" s="1">
        <v>45658</v>
      </c>
      <c r="Y30" s="2">
        <v>2000</v>
      </c>
      <c r="Z30" s="2">
        <v>0</v>
      </c>
      <c r="AA30" s="2">
        <v>2000</v>
      </c>
    </row>
    <row r="31" spans="1:27" x14ac:dyDescent="0.3">
      <c r="A31" s="4" t="s">
        <v>27</v>
      </c>
      <c r="B31" s="2" t="str">
        <f>"06700008200"</f>
        <v>06700008200</v>
      </c>
      <c r="C31" s="2" t="s">
        <v>142</v>
      </c>
      <c r="D31" t="s">
        <v>29</v>
      </c>
      <c r="E31" s="2" t="s">
        <v>30</v>
      </c>
      <c r="F31" s="2">
        <v>37218</v>
      </c>
      <c r="G31" s="2" t="s">
        <v>64</v>
      </c>
      <c r="H31" t="s">
        <v>99</v>
      </c>
      <c r="I31" s="6">
        <v>41626</v>
      </c>
      <c r="J31" s="2" t="s">
        <v>143</v>
      </c>
      <c r="K31" s="2">
        <v>675</v>
      </c>
      <c r="L31" t="s">
        <v>35</v>
      </c>
      <c r="M31" t="s">
        <v>29</v>
      </c>
      <c r="N31" t="s">
        <v>30</v>
      </c>
      <c r="O31">
        <v>37219</v>
      </c>
      <c r="P31" t="s">
        <v>144</v>
      </c>
      <c r="Q31" s="2">
        <v>0.02</v>
      </c>
      <c r="R31" s="2">
        <v>70</v>
      </c>
      <c r="S31" s="2">
        <v>60</v>
      </c>
      <c r="T31" t="s">
        <v>145</v>
      </c>
      <c r="U31" s="6">
        <v>24169</v>
      </c>
      <c r="V31" s="2">
        <v>47037013100</v>
      </c>
      <c r="W31" s="2" t="s">
        <v>38</v>
      </c>
      <c r="X31" s="1">
        <v>45658</v>
      </c>
      <c r="Y31" s="2">
        <v>1200</v>
      </c>
      <c r="Z31" s="2">
        <v>0</v>
      </c>
      <c r="AA31" s="2">
        <v>1200</v>
      </c>
    </row>
    <row r="32" spans="1:27" x14ac:dyDescent="0.3">
      <c r="A32" s="4" t="s">
        <v>27</v>
      </c>
      <c r="B32" s="2" t="str">
        <f>"06900010300"</f>
        <v>06900010300</v>
      </c>
      <c r="C32" s="2" t="s">
        <v>146</v>
      </c>
      <c r="D32" t="s">
        <v>29</v>
      </c>
      <c r="E32" s="2" t="s">
        <v>30</v>
      </c>
      <c r="F32" s="2">
        <v>37218</v>
      </c>
      <c r="G32" s="2" t="s">
        <v>147</v>
      </c>
      <c r="H32" t="s">
        <v>148</v>
      </c>
      <c r="I32" s="6">
        <v>26830</v>
      </c>
      <c r="J32" s="2" t="s">
        <v>149</v>
      </c>
      <c r="K32" s="2" t="s">
        <v>34</v>
      </c>
      <c r="L32" t="s">
        <v>35</v>
      </c>
      <c r="M32" t="s">
        <v>29</v>
      </c>
      <c r="N32" t="s">
        <v>30</v>
      </c>
      <c r="O32">
        <v>37219</v>
      </c>
      <c r="P32" t="s">
        <v>150</v>
      </c>
      <c r="Q32" s="2">
        <v>0.8</v>
      </c>
      <c r="R32" s="2">
        <v>166</v>
      </c>
      <c r="S32" s="2">
        <v>200</v>
      </c>
      <c r="T32" t="s">
        <v>149</v>
      </c>
      <c r="U32" s="6">
        <v>26830</v>
      </c>
      <c r="V32" s="2">
        <v>47037012801</v>
      </c>
      <c r="W32" s="2" t="s">
        <v>68</v>
      </c>
      <c r="X32" s="1">
        <v>45658</v>
      </c>
      <c r="Y32" s="2">
        <v>296200</v>
      </c>
      <c r="Z32" s="2">
        <v>0</v>
      </c>
      <c r="AA32" s="2">
        <v>296200</v>
      </c>
    </row>
    <row r="33" spans="1:27" x14ac:dyDescent="0.3">
      <c r="A33" s="4" t="s">
        <v>27</v>
      </c>
      <c r="B33" s="2" t="str">
        <f>"06900022800"</f>
        <v>06900022800</v>
      </c>
      <c r="C33" s="2" t="s">
        <v>151</v>
      </c>
      <c r="D33" t="s">
        <v>29</v>
      </c>
      <c r="E33" s="2" t="s">
        <v>30</v>
      </c>
      <c r="F33" s="2">
        <v>37218</v>
      </c>
      <c r="G33" s="2" t="s">
        <v>152</v>
      </c>
      <c r="H33" t="s">
        <v>153</v>
      </c>
      <c r="I33" s="6">
        <v>36292</v>
      </c>
      <c r="J33" s="2" t="s">
        <v>154</v>
      </c>
      <c r="K33" s="2">
        <v>462000</v>
      </c>
      <c r="L33" t="s">
        <v>35</v>
      </c>
      <c r="M33" t="s">
        <v>29</v>
      </c>
      <c r="N33" t="s">
        <v>30</v>
      </c>
      <c r="O33">
        <v>37219</v>
      </c>
      <c r="P33" t="s">
        <v>155</v>
      </c>
      <c r="Q33" s="2">
        <v>3.21</v>
      </c>
      <c r="R33" s="2">
        <v>336</v>
      </c>
      <c r="S33" s="2">
        <v>250</v>
      </c>
      <c r="T33" t="s">
        <v>156</v>
      </c>
      <c r="U33" s="6">
        <v>43298</v>
      </c>
      <c r="V33" s="2">
        <v>47037012801</v>
      </c>
      <c r="W33" s="2" t="s">
        <v>68</v>
      </c>
      <c r="X33" s="1">
        <v>45658</v>
      </c>
      <c r="Y33" s="2">
        <v>950800</v>
      </c>
      <c r="Z33" s="2">
        <v>0</v>
      </c>
      <c r="AA33" s="2">
        <v>950800</v>
      </c>
    </row>
    <row r="34" spans="1:27" x14ac:dyDescent="0.3">
      <c r="A34" s="4" t="s">
        <v>27</v>
      </c>
      <c r="B34" s="2" t="str">
        <f>"08000002900"</f>
        <v>08000002900</v>
      </c>
      <c r="C34" s="2" t="s">
        <v>157</v>
      </c>
      <c r="D34" t="s">
        <v>29</v>
      </c>
      <c r="E34" s="2" t="s">
        <v>30</v>
      </c>
      <c r="F34" s="2">
        <v>37218</v>
      </c>
      <c r="G34" s="2" t="s">
        <v>31</v>
      </c>
      <c r="H34" t="s">
        <v>158</v>
      </c>
      <c r="I34" s="6">
        <v>18086</v>
      </c>
      <c r="J34" s="2" t="s">
        <v>159</v>
      </c>
      <c r="K34" s="2" t="s">
        <v>34</v>
      </c>
      <c r="L34" t="s">
        <v>35</v>
      </c>
      <c r="M34" t="s">
        <v>29</v>
      </c>
      <c r="N34" t="s">
        <v>30</v>
      </c>
      <c r="O34">
        <v>37219</v>
      </c>
      <c r="P34" t="s">
        <v>160</v>
      </c>
      <c r="Q34" s="2">
        <v>37.049999999999997</v>
      </c>
      <c r="R34" s="2">
        <v>0</v>
      </c>
      <c r="S34" s="2">
        <v>0</v>
      </c>
      <c r="T34" t="s">
        <v>161</v>
      </c>
      <c r="U34" s="6">
        <v>32549</v>
      </c>
      <c r="V34" s="2">
        <v>47037012802</v>
      </c>
      <c r="W34" s="2" t="s">
        <v>68</v>
      </c>
      <c r="X34" s="1">
        <v>45658</v>
      </c>
      <c r="Y34" s="2">
        <v>2000700</v>
      </c>
      <c r="Z34" s="2">
        <v>0</v>
      </c>
      <c r="AA34" s="2">
        <v>2000700</v>
      </c>
    </row>
    <row r="35" spans="1:27" x14ac:dyDescent="0.3">
      <c r="A35" s="4" t="s">
        <v>27</v>
      </c>
      <c r="B35" s="2" t="str">
        <f>"08012011100"</f>
        <v>08012011100</v>
      </c>
      <c r="C35" s="2" t="s">
        <v>162</v>
      </c>
      <c r="D35" t="s">
        <v>29</v>
      </c>
      <c r="E35" s="2" t="s">
        <v>30</v>
      </c>
      <c r="F35" s="2">
        <v>37218</v>
      </c>
      <c r="G35" s="2" t="s">
        <v>64</v>
      </c>
      <c r="H35" t="s">
        <v>158</v>
      </c>
      <c r="I35" s="6">
        <v>22866</v>
      </c>
      <c r="J35" s="2" t="s">
        <v>163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164</v>
      </c>
      <c r="Q35" s="2">
        <v>0.85</v>
      </c>
      <c r="R35" s="2">
        <v>0</v>
      </c>
      <c r="S35" s="2">
        <v>304</v>
      </c>
      <c r="T35" t="s">
        <v>163</v>
      </c>
      <c r="U35" s="6">
        <v>22866</v>
      </c>
      <c r="V35" s="2">
        <v>47037012802</v>
      </c>
      <c r="W35" s="2" t="s">
        <v>68</v>
      </c>
      <c r="X35" s="1">
        <v>45658</v>
      </c>
      <c r="Y35" s="2">
        <v>116400</v>
      </c>
      <c r="Z35" s="2">
        <v>0</v>
      </c>
      <c r="AA35" s="2">
        <v>116400</v>
      </c>
    </row>
    <row r="36" spans="1:27" x14ac:dyDescent="0.3">
      <c r="A36" s="4" t="s">
        <v>27</v>
      </c>
      <c r="B36" s="2" t="str">
        <f>"08000003500"</f>
        <v>08000003500</v>
      </c>
      <c r="C36" s="2" t="s">
        <v>165</v>
      </c>
      <c r="D36" t="s">
        <v>29</v>
      </c>
      <c r="E36" s="2" t="s">
        <v>30</v>
      </c>
      <c r="F36" s="2">
        <v>37218</v>
      </c>
      <c r="G36" s="2" t="s">
        <v>166</v>
      </c>
      <c r="H36" t="s">
        <v>167</v>
      </c>
      <c r="I36" s="6">
        <v>22866</v>
      </c>
      <c r="J36" s="2" t="s">
        <v>163</v>
      </c>
      <c r="K36" s="2" t="s">
        <v>34</v>
      </c>
      <c r="L36" t="s">
        <v>35</v>
      </c>
      <c r="M36" t="s">
        <v>29</v>
      </c>
      <c r="N36" t="s">
        <v>30</v>
      </c>
      <c r="O36">
        <v>37219</v>
      </c>
      <c r="P36" t="s">
        <v>168</v>
      </c>
      <c r="Q36" s="2">
        <v>494.44</v>
      </c>
      <c r="R36" s="2">
        <v>0</v>
      </c>
      <c r="S36" s="2">
        <v>0</v>
      </c>
      <c r="T36" t="s">
        <v>169</v>
      </c>
      <c r="U36" s="6">
        <v>43144</v>
      </c>
      <c r="V36" s="2">
        <v>47037012802</v>
      </c>
      <c r="W36" s="2" t="s">
        <v>68</v>
      </c>
      <c r="X36" s="1">
        <v>45658</v>
      </c>
      <c r="Y36" s="2">
        <v>16729400</v>
      </c>
      <c r="Z36" s="2">
        <v>8571100</v>
      </c>
      <c r="AA36" s="2">
        <v>8158300</v>
      </c>
    </row>
    <row r="37" spans="1:27" x14ac:dyDescent="0.3">
      <c r="A37" s="4" t="s">
        <v>27</v>
      </c>
      <c r="B37" s="2" t="str">
        <f>"02100003600"</f>
        <v>02100003600</v>
      </c>
      <c r="C37" s="2" t="s">
        <v>170</v>
      </c>
      <c r="D37" t="s">
        <v>59</v>
      </c>
      <c r="E37" s="2" t="s">
        <v>30</v>
      </c>
      <c r="F37" s="2">
        <v>37080</v>
      </c>
      <c r="G37" s="2" t="s">
        <v>152</v>
      </c>
      <c r="H37" t="s">
        <v>171</v>
      </c>
      <c r="I37" s="6">
        <v>40897</v>
      </c>
      <c r="J37" s="2" t="s">
        <v>172</v>
      </c>
      <c r="K37" s="2">
        <v>57000</v>
      </c>
      <c r="L37" t="s">
        <v>35</v>
      </c>
      <c r="M37" t="s">
        <v>29</v>
      </c>
      <c r="N37" t="s">
        <v>30</v>
      </c>
      <c r="O37">
        <v>37219</v>
      </c>
      <c r="P37" t="s">
        <v>173</v>
      </c>
      <c r="Q37" s="2">
        <v>3</v>
      </c>
      <c r="R37" s="2">
        <v>254</v>
      </c>
      <c r="S37" s="2">
        <v>514</v>
      </c>
      <c r="T37" t="s">
        <v>174</v>
      </c>
      <c r="U37" s="6">
        <v>40896</v>
      </c>
      <c r="V37" s="2">
        <v>47037010104</v>
      </c>
      <c r="W37" s="2" t="s">
        <v>38</v>
      </c>
      <c r="X37" s="1">
        <v>45658</v>
      </c>
      <c r="Y37" s="2">
        <v>156600</v>
      </c>
      <c r="Z37" s="2">
        <v>0</v>
      </c>
      <c r="AA37" s="2">
        <v>156600</v>
      </c>
    </row>
    <row r="38" spans="1:27" x14ac:dyDescent="0.3">
      <c r="A38" s="4" t="s">
        <v>27</v>
      </c>
      <c r="B38" s="2" t="str">
        <f>"06902000900"</f>
        <v>06902000900</v>
      </c>
      <c r="C38" s="2" t="s">
        <v>175</v>
      </c>
      <c r="D38" t="s">
        <v>29</v>
      </c>
      <c r="E38" s="2" t="s">
        <v>30</v>
      </c>
      <c r="F38" s="2">
        <v>37218</v>
      </c>
      <c r="G38" s="2" t="s">
        <v>64</v>
      </c>
      <c r="H38" t="s">
        <v>176</v>
      </c>
      <c r="I38" s="6">
        <v>23097</v>
      </c>
      <c r="J38" s="2" t="s">
        <v>177</v>
      </c>
      <c r="K38" s="2" t="s">
        <v>34</v>
      </c>
      <c r="L38" t="s">
        <v>178</v>
      </c>
      <c r="M38" t="s">
        <v>29</v>
      </c>
      <c r="N38" t="s">
        <v>30</v>
      </c>
      <c r="O38">
        <v>37246</v>
      </c>
      <c r="P38" t="s">
        <v>179</v>
      </c>
      <c r="Q38" s="2">
        <v>0.98</v>
      </c>
      <c r="R38" s="2">
        <v>195</v>
      </c>
      <c r="S38" s="2">
        <v>214</v>
      </c>
      <c r="T38" t="s">
        <v>177</v>
      </c>
      <c r="U38" s="6">
        <v>23097</v>
      </c>
      <c r="V38" s="2">
        <v>47037012801</v>
      </c>
      <c r="W38" s="2" t="s">
        <v>68</v>
      </c>
      <c r="X38" s="1">
        <v>45658</v>
      </c>
      <c r="Y38" s="2">
        <v>106700</v>
      </c>
      <c r="Z38" s="2">
        <v>0</v>
      </c>
      <c r="AA38" s="2">
        <v>106700</v>
      </c>
    </row>
    <row r="39" spans="1:27" x14ac:dyDescent="0.3">
      <c r="A39" s="4" t="s">
        <v>27</v>
      </c>
      <c r="B39" s="2" t="str">
        <f>"08008006300"</f>
        <v>08008006300</v>
      </c>
      <c r="C39" s="2" t="s">
        <v>180</v>
      </c>
      <c r="D39" t="s">
        <v>29</v>
      </c>
      <c r="E39" s="2" t="s">
        <v>30</v>
      </c>
      <c r="F39" s="2">
        <v>37218</v>
      </c>
      <c r="G39" s="2" t="s">
        <v>152</v>
      </c>
      <c r="H39" t="s">
        <v>176</v>
      </c>
      <c r="I39" s="6">
        <v>23078</v>
      </c>
      <c r="J39" s="2" t="s">
        <v>181</v>
      </c>
      <c r="K39" s="2" t="s">
        <v>34</v>
      </c>
      <c r="L39" t="s">
        <v>178</v>
      </c>
      <c r="M39" t="s">
        <v>29</v>
      </c>
      <c r="N39" t="s">
        <v>30</v>
      </c>
      <c r="O39">
        <v>37246</v>
      </c>
      <c r="P39" t="s">
        <v>182</v>
      </c>
      <c r="Q39" s="2">
        <v>0.16</v>
      </c>
      <c r="R39" s="2">
        <v>58</v>
      </c>
      <c r="S39" s="2">
        <v>133</v>
      </c>
      <c r="T39" t="s">
        <v>181</v>
      </c>
      <c r="U39" s="6">
        <v>23078</v>
      </c>
      <c r="V39" s="2">
        <v>47037012802</v>
      </c>
      <c r="W39" s="2" t="s">
        <v>68</v>
      </c>
      <c r="X39" s="1">
        <v>45658</v>
      </c>
      <c r="Y39" s="2">
        <v>102000</v>
      </c>
      <c r="Z39" s="2">
        <v>0</v>
      </c>
      <c r="AA39" s="2">
        <v>102000</v>
      </c>
    </row>
    <row r="40" spans="1:27" x14ac:dyDescent="0.3">
      <c r="A40" s="4" t="s">
        <v>27</v>
      </c>
      <c r="B40" s="2" t="str">
        <f>"04900005500"</f>
        <v>04900005500</v>
      </c>
      <c r="C40" s="2" t="s">
        <v>183</v>
      </c>
      <c r="D40" t="s">
        <v>29</v>
      </c>
      <c r="E40" s="2" t="s">
        <v>30</v>
      </c>
      <c r="F40" s="2">
        <v>37218</v>
      </c>
      <c r="G40" s="2" t="s">
        <v>152</v>
      </c>
      <c r="H40" t="s">
        <v>176</v>
      </c>
      <c r="I40" s="6">
        <v>29078</v>
      </c>
      <c r="J40" s="2" t="s">
        <v>184</v>
      </c>
      <c r="K40" s="2" t="s">
        <v>34</v>
      </c>
      <c r="L40" t="s">
        <v>178</v>
      </c>
      <c r="M40" t="s">
        <v>29</v>
      </c>
      <c r="N40" t="s">
        <v>30</v>
      </c>
      <c r="O40">
        <v>37246</v>
      </c>
      <c r="P40" t="s">
        <v>185</v>
      </c>
      <c r="Q40" s="2">
        <v>12.53</v>
      </c>
      <c r="R40" s="2">
        <v>0</v>
      </c>
      <c r="S40" s="2">
        <v>0</v>
      </c>
      <c r="T40" t="s">
        <v>184</v>
      </c>
      <c r="U40" s="6">
        <v>29078</v>
      </c>
      <c r="V40" s="2">
        <v>47037010105</v>
      </c>
      <c r="W40" s="2" t="s">
        <v>68</v>
      </c>
      <c r="X40" s="1">
        <v>45658</v>
      </c>
      <c r="Y40" s="2">
        <v>298800</v>
      </c>
      <c r="Z40" s="2">
        <v>0</v>
      </c>
      <c r="AA40" s="2">
        <v>298800</v>
      </c>
    </row>
    <row r="41" spans="1:27" x14ac:dyDescent="0.3">
      <c r="A41" s="4" t="s">
        <v>27</v>
      </c>
      <c r="B41" s="2" t="str">
        <f>"06912000101"</f>
        <v>06912000101</v>
      </c>
      <c r="C41" s="2" t="s">
        <v>186</v>
      </c>
      <c r="D41" t="s">
        <v>29</v>
      </c>
      <c r="E41" s="2" t="s">
        <v>30</v>
      </c>
      <c r="F41" s="2">
        <v>37218</v>
      </c>
      <c r="G41" s="2" t="s">
        <v>152</v>
      </c>
      <c r="H41" t="s">
        <v>176</v>
      </c>
      <c r="I41" s="6">
        <v>23586</v>
      </c>
      <c r="J41" s="2" t="s">
        <v>187</v>
      </c>
      <c r="K41" s="2" t="s">
        <v>34</v>
      </c>
      <c r="L41" t="s">
        <v>178</v>
      </c>
      <c r="M41" t="s">
        <v>29</v>
      </c>
      <c r="N41" t="s">
        <v>30</v>
      </c>
      <c r="O41">
        <v>37246</v>
      </c>
      <c r="P41" t="s">
        <v>188</v>
      </c>
      <c r="Q41" s="2">
        <v>5.6</v>
      </c>
      <c r="R41" s="2">
        <v>0</v>
      </c>
      <c r="S41" s="2">
        <v>0</v>
      </c>
      <c r="T41" t="s">
        <v>189</v>
      </c>
      <c r="U41" s="6">
        <v>33816</v>
      </c>
      <c r="V41" s="2">
        <v>47037012801</v>
      </c>
      <c r="W41" s="2" t="s">
        <v>68</v>
      </c>
      <c r="X41" s="1">
        <v>45658</v>
      </c>
      <c r="Y41" s="2">
        <v>424700</v>
      </c>
      <c r="Z41" s="2">
        <v>0</v>
      </c>
      <c r="AA41" s="2">
        <v>424700</v>
      </c>
    </row>
    <row r="42" spans="1:27" x14ac:dyDescent="0.3">
      <c r="A42" s="4" t="s">
        <v>27</v>
      </c>
      <c r="B42" s="2" t="str">
        <f>"06916018000"</f>
        <v>06916018000</v>
      </c>
      <c r="C42" s="2" t="s">
        <v>190</v>
      </c>
      <c r="D42" t="s">
        <v>29</v>
      </c>
      <c r="E42" s="2" t="s">
        <v>30</v>
      </c>
      <c r="F42" s="2">
        <v>37218</v>
      </c>
      <c r="G42" s="2" t="s">
        <v>152</v>
      </c>
      <c r="H42" t="s">
        <v>176</v>
      </c>
      <c r="I42" s="6">
        <v>16491</v>
      </c>
      <c r="J42" s="2" t="s">
        <v>191</v>
      </c>
      <c r="K42" s="2" t="s">
        <v>34</v>
      </c>
      <c r="L42" t="s">
        <v>178</v>
      </c>
      <c r="M42" t="s">
        <v>29</v>
      </c>
      <c r="N42" t="s">
        <v>30</v>
      </c>
      <c r="O42">
        <v>37246</v>
      </c>
      <c r="P42" t="s">
        <v>192</v>
      </c>
      <c r="Q42" s="2">
        <v>0.36</v>
      </c>
      <c r="R42" s="2">
        <v>60</v>
      </c>
      <c r="S42" s="2">
        <v>270</v>
      </c>
      <c r="T42" t="s">
        <v>191</v>
      </c>
      <c r="U42" s="6">
        <v>16491</v>
      </c>
      <c r="V42" s="2">
        <v>47037012802</v>
      </c>
      <c r="W42" s="2" t="s">
        <v>68</v>
      </c>
      <c r="X42" s="1">
        <v>45658</v>
      </c>
      <c r="Y42" s="2">
        <v>250000</v>
      </c>
      <c r="Z42" s="2">
        <v>0</v>
      </c>
      <c r="AA42" s="2">
        <v>250000</v>
      </c>
    </row>
    <row r="43" spans="1:27" x14ac:dyDescent="0.3">
      <c r="A43" s="4" t="s">
        <v>27</v>
      </c>
      <c r="B43" s="2" t="str">
        <f>"10100000100"</f>
        <v>10100000100</v>
      </c>
      <c r="C43" s="2" t="s">
        <v>193</v>
      </c>
      <c r="D43" t="s">
        <v>29</v>
      </c>
      <c r="E43" s="2" t="s">
        <v>30</v>
      </c>
      <c r="F43" s="2">
        <v>37218</v>
      </c>
      <c r="G43" s="2" t="s">
        <v>194</v>
      </c>
      <c r="H43" t="s">
        <v>195</v>
      </c>
      <c r="I43" s="6">
        <v>34782</v>
      </c>
      <c r="J43" s="2" t="s">
        <v>196</v>
      </c>
      <c r="K43" s="2">
        <v>12000000</v>
      </c>
      <c r="L43" t="s">
        <v>35</v>
      </c>
      <c r="M43" t="s">
        <v>29</v>
      </c>
      <c r="N43" t="s">
        <v>30</v>
      </c>
      <c r="O43">
        <v>37219</v>
      </c>
      <c r="P43" t="s">
        <v>197</v>
      </c>
      <c r="Q43" s="2">
        <v>808.74</v>
      </c>
      <c r="R43" s="2">
        <v>0</v>
      </c>
      <c r="S43" s="2">
        <v>0</v>
      </c>
      <c r="T43" t="s">
        <v>198</v>
      </c>
      <c r="U43" s="6">
        <v>27395</v>
      </c>
      <c r="V43" s="2">
        <v>47037013100</v>
      </c>
      <c r="W43" s="2" t="s">
        <v>38</v>
      </c>
      <c r="X43" s="1">
        <v>45658</v>
      </c>
      <c r="Y43" s="2">
        <v>7572800</v>
      </c>
      <c r="Z43" s="2">
        <v>1299000</v>
      </c>
      <c r="AA43" s="2">
        <v>6273800</v>
      </c>
    </row>
    <row r="44" spans="1:27" x14ac:dyDescent="0.3">
      <c r="A44" s="4" t="s">
        <v>27</v>
      </c>
      <c r="B44" s="2" t="str">
        <f>"05800012400"</f>
        <v>05800012400</v>
      </c>
      <c r="C44" s="2" t="s">
        <v>199</v>
      </c>
      <c r="D44" t="s">
        <v>29</v>
      </c>
      <c r="E44" s="2" t="s">
        <v>30</v>
      </c>
      <c r="F44" s="2">
        <v>37218</v>
      </c>
      <c r="G44" s="2" t="s">
        <v>200</v>
      </c>
      <c r="H44" t="s">
        <v>201</v>
      </c>
      <c r="I44" s="6">
        <v>29571</v>
      </c>
      <c r="J44" s="2" t="s">
        <v>202</v>
      </c>
      <c r="K44" s="2">
        <v>214000</v>
      </c>
      <c r="L44" t="s">
        <v>35</v>
      </c>
      <c r="M44" t="s">
        <v>29</v>
      </c>
      <c r="N44" t="s">
        <v>30</v>
      </c>
      <c r="O44">
        <v>37219</v>
      </c>
      <c r="P44" t="s">
        <v>203</v>
      </c>
      <c r="Q44" s="2">
        <v>16.440000000000001</v>
      </c>
      <c r="R44" s="2">
        <v>0</v>
      </c>
      <c r="S44" s="2">
        <v>0</v>
      </c>
      <c r="T44" t="s">
        <v>204</v>
      </c>
      <c r="U44" s="6">
        <v>27164</v>
      </c>
      <c r="V44" s="2">
        <v>47037012801</v>
      </c>
      <c r="W44" s="2" t="s">
        <v>68</v>
      </c>
      <c r="X44" s="1">
        <v>45658</v>
      </c>
      <c r="Y44" s="2">
        <v>465600</v>
      </c>
      <c r="Z44" s="2">
        <v>0</v>
      </c>
      <c r="AA44" s="2">
        <v>465600</v>
      </c>
    </row>
    <row r="45" spans="1:27" x14ac:dyDescent="0.3">
      <c r="A45" s="4" t="s">
        <v>27</v>
      </c>
      <c r="B45" s="2" t="str">
        <f>"02200013800"</f>
        <v>02200013800</v>
      </c>
      <c r="C45" s="2" t="s">
        <v>205</v>
      </c>
      <c r="D45" t="s">
        <v>59</v>
      </c>
      <c r="E45" s="2" t="s">
        <v>30</v>
      </c>
      <c r="F45" s="2">
        <v>37080</v>
      </c>
      <c r="G45" s="2" t="s">
        <v>200</v>
      </c>
      <c r="H45" t="s">
        <v>206</v>
      </c>
      <c r="I45" s="6">
        <v>32539</v>
      </c>
      <c r="J45" s="2" t="s">
        <v>207</v>
      </c>
      <c r="K45" s="2" t="s">
        <v>34</v>
      </c>
      <c r="L45" t="s">
        <v>35</v>
      </c>
      <c r="M45" t="s">
        <v>29</v>
      </c>
      <c r="N45" t="s">
        <v>30</v>
      </c>
      <c r="O45">
        <v>37219</v>
      </c>
      <c r="P45" t="s">
        <v>208</v>
      </c>
      <c r="Q45" s="2">
        <v>15.39</v>
      </c>
      <c r="R45" s="2">
        <v>0</v>
      </c>
      <c r="S45" s="2">
        <v>0</v>
      </c>
      <c r="T45" t="s">
        <v>209</v>
      </c>
      <c r="U45" s="6">
        <v>40178</v>
      </c>
      <c r="V45" s="2">
        <v>47037010104</v>
      </c>
      <c r="W45" s="2" t="s">
        <v>38</v>
      </c>
      <c r="X45" s="1">
        <v>45658</v>
      </c>
      <c r="Y45" s="2">
        <v>425400</v>
      </c>
      <c r="Z45" s="2">
        <v>0</v>
      </c>
      <c r="AA45" s="2">
        <v>425400</v>
      </c>
    </row>
    <row r="46" spans="1:27" x14ac:dyDescent="0.3">
      <c r="A46" s="4" t="s">
        <v>27</v>
      </c>
      <c r="B46" s="2" t="str">
        <f>"06903007201"</f>
        <v>06903007201</v>
      </c>
      <c r="C46" s="2" t="s">
        <v>210</v>
      </c>
      <c r="D46" t="s">
        <v>29</v>
      </c>
      <c r="E46" s="2" t="s">
        <v>30</v>
      </c>
      <c r="F46" s="2">
        <v>37218</v>
      </c>
      <c r="G46" s="2" t="s">
        <v>64</v>
      </c>
      <c r="H46" t="s">
        <v>211</v>
      </c>
      <c r="I46" s="6">
        <v>40695</v>
      </c>
      <c r="J46" s="2" t="s">
        <v>212</v>
      </c>
      <c r="K46" s="2">
        <v>0</v>
      </c>
      <c r="L46" t="s">
        <v>35</v>
      </c>
      <c r="M46" t="s">
        <v>29</v>
      </c>
      <c r="N46" t="s">
        <v>30</v>
      </c>
      <c r="O46">
        <v>37219</v>
      </c>
      <c r="P46" t="s">
        <v>213</v>
      </c>
      <c r="Q46" s="2">
        <v>0.64</v>
      </c>
      <c r="R46" s="2">
        <v>87</v>
      </c>
      <c r="S46" s="2">
        <v>316</v>
      </c>
      <c r="T46" t="s">
        <v>214</v>
      </c>
      <c r="U46" s="6">
        <v>23596</v>
      </c>
      <c r="V46" s="2">
        <v>47037012801</v>
      </c>
      <c r="W46" s="2" t="s">
        <v>68</v>
      </c>
      <c r="X46" s="1">
        <v>45658</v>
      </c>
      <c r="Y46" s="2">
        <v>1500</v>
      </c>
      <c r="Z46" s="2">
        <v>0</v>
      </c>
      <c r="AA46" s="2">
        <v>1500</v>
      </c>
    </row>
    <row r="47" spans="1:27" x14ac:dyDescent="0.3">
      <c r="A47" s="4" t="s">
        <v>27</v>
      </c>
      <c r="B47" s="2" t="str">
        <f>"06903007301"</f>
        <v>06903007301</v>
      </c>
      <c r="C47" s="2" t="s">
        <v>215</v>
      </c>
      <c r="D47" t="s">
        <v>29</v>
      </c>
      <c r="E47" s="2" t="s">
        <v>30</v>
      </c>
      <c r="F47" s="2">
        <v>37218</v>
      </c>
      <c r="G47" s="2" t="s">
        <v>64</v>
      </c>
      <c r="H47" t="s">
        <v>211</v>
      </c>
      <c r="I47" s="6">
        <v>40723</v>
      </c>
      <c r="J47" s="2" t="s">
        <v>216</v>
      </c>
      <c r="K47" s="2">
        <v>0</v>
      </c>
      <c r="L47" t="s">
        <v>35</v>
      </c>
      <c r="M47" t="s">
        <v>29</v>
      </c>
      <c r="N47" t="s">
        <v>30</v>
      </c>
      <c r="O47">
        <v>37219</v>
      </c>
      <c r="P47" t="s">
        <v>217</v>
      </c>
      <c r="Q47" s="2">
        <v>0.56999999999999995</v>
      </c>
      <c r="R47" s="2">
        <v>87</v>
      </c>
      <c r="S47" s="2">
        <v>290</v>
      </c>
      <c r="T47" t="s">
        <v>218</v>
      </c>
      <c r="U47" s="6">
        <v>23596</v>
      </c>
      <c r="V47" s="2">
        <v>47037012801</v>
      </c>
      <c r="W47" s="2" t="s">
        <v>68</v>
      </c>
      <c r="X47" s="1">
        <v>45658</v>
      </c>
      <c r="Y47" s="2">
        <v>1500</v>
      </c>
      <c r="Z47" s="2">
        <v>0</v>
      </c>
      <c r="AA47" s="2">
        <v>1500</v>
      </c>
    </row>
    <row r="48" spans="1:27" x14ac:dyDescent="0.3">
      <c r="A48" s="4" t="s">
        <v>27</v>
      </c>
      <c r="B48" s="2" t="str">
        <f>"06903007300"</f>
        <v>06903007300</v>
      </c>
      <c r="C48" s="2" t="s">
        <v>219</v>
      </c>
      <c r="D48" t="s">
        <v>29</v>
      </c>
      <c r="E48" s="2" t="s">
        <v>30</v>
      </c>
      <c r="F48" s="2">
        <v>37218</v>
      </c>
      <c r="G48" s="2" t="s">
        <v>64</v>
      </c>
      <c r="H48" t="s">
        <v>211</v>
      </c>
      <c r="I48" s="6">
        <v>40689</v>
      </c>
      <c r="J48" s="2" t="s">
        <v>220</v>
      </c>
      <c r="K48" s="2">
        <v>0</v>
      </c>
      <c r="L48" t="s">
        <v>35</v>
      </c>
      <c r="M48" t="s">
        <v>29</v>
      </c>
      <c r="N48" t="s">
        <v>30</v>
      </c>
      <c r="O48">
        <v>37219</v>
      </c>
      <c r="P48" t="s">
        <v>221</v>
      </c>
      <c r="Q48" s="2">
        <v>0.37</v>
      </c>
      <c r="R48" s="2">
        <v>76</v>
      </c>
      <c r="S48" s="2">
        <v>264</v>
      </c>
      <c r="T48" t="s">
        <v>222</v>
      </c>
      <c r="U48" s="6">
        <v>24068</v>
      </c>
      <c r="V48" s="2">
        <v>47037012801</v>
      </c>
      <c r="W48" s="2" t="s">
        <v>68</v>
      </c>
      <c r="X48" s="1">
        <v>45658</v>
      </c>
      <c r="Y48" s="2">
        <v>1500</v>
      </c>
      <c r="Z48" s="2">
        <v>0</v>
      </c>
      <c r="AA48" s="2">
        <v>1500</v>
      </c>
    </row>
    <row r="49" spans="1:27" x14ac:dyDescent="0.3">
      <c r="A49" s="4" t="s">
        <v>27</v>
      </c>
      <c r="B49" s="2" t="str">
        <f>"07000003600"</f>
        <v>07000003600</v>
      </c>
      <c r="C49" s="2" t="s">
        <v>223</v>
      </c>
      <c r="D49" t="s">
        <v>29</v>
      </c>
      <c r="E49" s="2" t="s">
        <v>30</v>
      </c>
      <c r="F49" s="2">
        <v>37218</v>
      </c>
      <c r="G49" s="2" t="s">
        <v>64</v>
      </c>
      <c r="H49" t="s">
        <v>211</v>
      </c>
      <c r="I49" s="6">
        <v>38862</v>
      </c>
      <c r="J49" s="2" t="s">
        <v>224</v>
      </c>
      <c r="K49" s="2">
        <v>50000</v>
      </c>
      <c r="L49" t="s">
        <v>35</v>
      </c>
      <c r="M49" t="s">
        <v>29</v>
      </c>
      <c r="N49" t="s">
        <v>30</v>
      </c>
      <c r="O49">
        <v>37219</v>
      </c>
      <c r="P49" t="s">
        <v>225</v>
      </c>
      <c r="Q49" s="2">
        <v>1</v>
      </c>
      <c r="R49" s="2">
        <v>0</v>
      </c>
      <c r="S49" s="2">
        <v>0</v>
      </c>
      <c r="T49" t="s">
        <v>226</v>
      </c>
      <c r="U49" s="6">
        <v>25890</v>
      </c>
      <c r="V49" s="2">
        <v>47037012801</v>
      </c>
      <c r="W49" s="2" t="s">
        <v>68</v>
      </c>
      <c r="X49" s="1">
        <v>45658</v>
      </c>
      <c r="Y49" s="2">
        <v>40000</v>
      </c>
      <c r="Z49" s="2">
        <v>0</v>
      </c>
      <c r="AA49" s="2">
        <v>40000</v>
      </c>
    </row>
    <row r="50" spans="1:27" x14ac:dyDescent="0.3">
      <c r="A50" s="4" t="s">
        <v>27</v>
      </c>
      <c r="B50" s="2" t="str">
        <f>"04000014200"</f>
        <v>04000014200</v>
      </c>
      <c r="C50" s="2" t="s">
        <v>227</v>
      </c>
      <c r="D50" t="s">
        <v>103</v>
      </c>
      <c r="E50" s="2" t="s">
        <v>30</v>
      </c>
      <c r="F50" s="2">
        <v>37189</v>
      </c>
      <c r="G50" s="2" t="s">
        <v>200</v>
      </c>
      <c r="H50" t="s">
        <v>228</v>
      </c>
      <c r="I50" s="6">
        <v>27565</v>
      </c>
      <c r="J50" s="2" t="s">
        <v>229</v>
      </c>
      <c r="K50" s="2" t="s">
        <v>34</v>
      </c>
      <c r="L50" t="s">
        <v>35</v>
      </c>
      <c r="M50" t="s">
        <v>29</v>
      </c>
      <c r="N50" t="s">
        <v>30</v>
      </c>
      <c r="O50">
        <v>37219</v>
      </c>
      <c r="P50" t="s">
        <v>230</v>
      </c>
      <c r="Q50" s="2">
        <v>20</v>
      </c>
      <c r="R50" s="2">
        <v>0</v>
      </c>
      <c r="S50" s="2">
        <v>0</v>
      </c>
      <c r="T50" t="s">
        <v>229</v>
      </c>
      <c r="U50" s="6">
        <v>27565</v>
      </c>
      <c r="V50" s="2">
        <v>47037010104</v>
      </c>
      <c r="W50" s="2" t="s">
        <v>38</v>
      </c>
      <c r="X50" s="1">
        <v>45658</v>
      </c>
      <c r="Y50" s="2">
        <v>381000</v>
      </c>
      <c r="Z50" s="2">
        <v>0</v>
      </c>
      <c r="AA50" s="2">
        <v>381000</v>
      </c>
    </row>
    <row r="51" spans="1:27" x14ac:dyDescent="0.3">
      <c r="A51" s="4" t="s">
        <v>27</v>
      </c>
      <c r="B51" s="2" t="str">
        <f>"03800002700"</f>
        <v>03800002700</v>
      </c>
      <c r="C51" s="2" t="s">
        <v>231</v>
      </c>
      <c r="D51" t="s">
        <v>59</v>
      </c>
      <c r="E51" s="2" t="s">
        <v>30</v>
      </c>
      <c r="F51" s="2">
        <v>37080</v>
      </c>
      <c r="G51" s="2" t="s">
        <v>31</v>
      </c>
      <c r="H51" t="s">
        <v>232</v>
      </c>
      <c r="I51" s="6">
        <v>40393</v>
      </c>
      <c r="J51" s="2" t="s">
        <v>233</v>
      </c>
      <c r="K51" s="2">
        <v>0</v>
      </c>
      <c r="L51" t="s">
        <v>35</v>
      </c>
      <c r="M51" t="s">
        <v>29</v>
      </c>
      <c r="N51" t="s">
        <v>30</v>
      </c>
      <c r="O51">
        <v>37219</v>
      </c>
      <c r="P51" t="s">
        <v>234</v>
      </c>
      <c r="Q51" s="2">
        <v>1600.74</v>
      </c>
      <c r="R51" s="2">
        <v>1615</v>
      </c>
      <c r="S51" s="2">
        <v>0</v>
      </c>
      <c r="T51" t="s">
        <v>235</v>
      </c>
      <c r="U51" s="6">
        <v>39968</v>
      </c>
      <c r="V51" s="2">
        <v>47037013100</v>
      </c>
      <c r="W51" s="2" t="s">
        <v>38</v>
      </c>
      <c r="X51" s="1">
        <v>45658</v>
      </c>
      <c r="Y51" s="2">
        <v>5396200</v>
      </c>
      <c r="Z51" s="2">
        <v>0</v>
      </c>
      <c r="AA51" s="2">
        <v>5396200</v>
      </c>
    </row>
    <row r="52" spans="1:27" x14ac:dyDescent="0.3">
      <c r="A52" s="4" t="s">
        <v>27</v>
      </c>
      <c r="B52" s="2" t="str">
        <f>"08008041800"</f>
        <v>08008041800</v>
      </c>
      <c r="C52" s="2" t="s">
        <v>236</v>
      </c>
      <c r="D52" t="s">
        <v>29</v>
      </c>
      <c r="E52" s="2" t="s">
        <v>30</v>
      </c>
      <c r="F52" s="2">
        <v>37218</v>
      </c>
      <c r="G52" s="2" t="s">
        <v>64</v>
      </c>
      <c r="H52" t="s">
        <v>237</v>
      </c>
      <c r="I52" s="6">
        <v>32323</v>
      </c>
      <c r="J52" s="2" t="s">
        <v>238</v>
      </c>
      <c r="K52" s="2" t="s">
        <v>34</v>
      </c>
      <c r="L52" t="s">
        <v>35</v>
      </c>
      <c r="M52" t="s">
        <v>29</v>
      </c>
      <c r="N52" t="s">
        <v>30</v>
      </c>
      <c r="O52">
        <v>37219</v>
      </c>
      <c r="P52" t="s">
        <v>239</v>
      </c>
      <c r="Q52" s="2">
        <v>0.41</v>
      </c>
      <c r="R52" s="2">
        <v>112</v>
      </c>
      <c r="S52" s="2">
        <v>131</v>
      </c>
      <c r="T52" t="s">
        <v>240</v>
      </c>
      <c r="U52" s="6">
        <v>35116</v>
      </c>
      <c r="V52" s="2">
        <v>47037012802</v>
      </c>
      <c r="W52" s="2" t="s">
        <v>68</v>
      </c>
      <c r="X52" s="1">
        <v>45658</v>
      </c>
      <c r="Y52" s="2">
        <v>98400</v>
      </c>
      <c r="Z52" s="2">
        <v>0</v>
      </c>
      <c r="AA52" s="2">
        <v>98400</v>
      </c>
    </row>
    <row r="53" spans="1:27" x14ac:dyDescent="0.3">
      <c r="A53" s="4" t="s">
        <v>27</v>
      </c>
      <c r="B53" s="2" t="str">
        <f>"02200008800"</f>
        <v>02200008800</v>
      </c>
      <c r="C53" s="2" t="s">
        <v>241</v>
      </c>
      <c r="D53" t="s">
        <v>103</v>
      </c>
      <c r="E53" s="2" t="s">
        <v>30</v>
      </c>
      <c r="F53" s="2">
        <v>37189</v>
      </c>
      <c r="G53" s="2" t="s">
        <v>152</v>
      </c>
      <c r="H53" t="s">
        <v>242</v>
      </c>
      <c r="I53" s="6">
        <v>16656</v>
      </c>
      <c r="J53" s="2" t="s">
        <v>243</v>
      </c>
      <c r="K53" s="2" t="s">
        <v>34</v>
      </c>
      <c r="L53" t="s">
        <v>35</v>
      </c>
      <c r="M53" t="s">
        <v>29</v>
      </c>
      <c r="N53" t="s">
        <v>30</v>
      </c>
      <c r="O53">
        <v>37219</v>
      </c>
      <c r="P53" t="s">
        <v>244</v>
      </c>
      <c r="Q53" s="2">
        <v>3</v>
      </c>
      <c r="R53" s="2">
        <v>0</v>
      </c>
      <c r="S53" s="2">
        <v>0</v>
      </c>
      <c r="T53" t="s">
        <v>243</v>
      </c>
      <c r="U53" s="6">
        <v>16656</v>
      </c>
      <c r="V53" s="2">
        <v>47037010104</v>
      </c>
      <c r="W53" s="2" t="s">
        <v>38</v>
      </c>
      <c r="X53" s="1">
        <v>45658</v>
      </c>
      <c r="Y53" s="2">
        <v>156600</v>
      </c>
      <c r="Z53" s="2">
        <v>0</v>
      </c>
      <c r="AA53" s="2">
        <v>156600</v>
      </c>
    </row>
    <row r="54" spans="1:27" x14ac:dyDescent="0.3">
      <c r="A54" s="4" t="s">
        <v>27</v>
      </c>
      <c r="B54" s="2" t="str">
        <f>"08100005400"</f>
        <v>08100005400</v>
      </c>
      <c r="C54" s="2" t="s">
        <v>142</v>
      </c>
      <c r="D54" t="s">
        <v>29</v>
      </c>
      <c r="E54" s="2" t="s">
        <v>30</v>
      </c>
      <c r="F54" s="2">
        <v>37218</v>
      </c>
      <c r="G54" s="2" t="s">
        <v>64</v>
      </c>
      <c r="H54" t="s">
        <v>245</v>
      </c>
      <c r="I54" s="6">
        <v>734</v>
      </c>
      <c r="J54" s="2" t="s">
        <v>246</v>
      </c>
      <c r="K54" s="2" t="s">
        <v>34</v>
      </c>
      <c r="L54" t="s">
        <v>35</v>
      </c>
      <c r="M54" t="s">
        <v>29</v>
      </c>
      <c r="N54" t="s">
        <v>30</v>
      </c>
      <c r="O54">
        <v>37219</v>
      </c>
      <c r="P54" t="s">
        <v>247</v>
      </c>
      <c r="Q54" s="2">
        <v>1.19</v>
      </c>
      <c r="R54" s="2">
        <v>290</v>
      </c>
      <c r="S54" s="2">
        <v>420</v>
      </c>
      <c r="T54" t="s">
        <v>246</v>
      </c>
      <c r="U54" s="6">
        <v>734</v>
      </c>
      <c r="V54" s="2">
        <v>47037012802</v>
      </c>
      <c r="W54" s="2" t="s">
        <v>68</v>
      </c>
      <c r="X54" s="1">
        <v>45658</v>
      </c>
      <c r="Y54" s="2">
        <v>132300</v>
      </c>
      <c r="Z54" s="2">
        <v>0</v>
      </c>
      <c r="AA54" s="2">
        <v>132300</v>
      </c>
    </row>
    <row r="55" spans="1:27" x14ac:dyDescent="0.3">
      <c r="A55" s="4" t="s">
        <v>27</v>
      </c>
      <c r="B55" s="2" t="str">
        <f>"06900002800"</f>
        <v>06900002800</v>
      </c>
      <c r="C55" s="2" t="s">
        <v>248</v>
      </c>
      <c r="D55" t="s">
        <v>29</v>
      </c>
      <c r="E55" s="2" t="s">
        <v>30</v>
      </c>
      <c r="F55" s="2">
        <v>37218</v>
      </c>
      <c r="G55" s="2" t="s">
        <v>64</v>
      </c>
      <c r="H55" t="s">
        <v>249</v>
      </c>
      <c r="I55" s="6">
        <v>40119</v>
      </c>
      <c r="J55" s="2" t="s">
        <v>250</v>
      </c>
      <c r="K55" s="2">
        <v>235000</v>
      </c>
      <c r="L55" t="s">
        <v>35</v>
      </c>
      <c r="M55" t="s">
        <v>29</v>
      </c>
      <c r="N55" t="s">
        <v>30</v>
      </c>
      <c r="O55">
        <v>37219</v>
      </c>
      <c r="P55" t="s">
        <v>251</v>
      </c>
      <c r="Q55" s="2">
        <v>32.5</v>
      </c>
      <c r="R55" s="2">
        <v>0</v>
      </c>
      <c r="S55" s="2">
        <v>0</v>
      </c>
      <c r="T55" t="s">
        <v>189</v>
      </c>
      <c r="U55" s="6">
        <v>33816</v>
      </c>
      <c r="V55" s="2">
        <v>47037012801</v>
      </c>
      <c r="W55" s="2" t="s">
        <v>68</v>
      </c>
      <c r="X55" s="1">
        <v>45658</v>
      </c>
      <c r="Y55" s="2">
        <v>143100</v>
      </c>
      <c r="Z55" s="2">
        <v>0</v>
      </c>
      <c r="AA55" s="2">
        <v>143100</v>
      </c>
    </row>
    <row r="56" spans="1:27" x14ac:dyDescent="0.3">
      <c r="A56" s="4" t="s">
        <v>27</v>
      </c>
      <c r="B56" s="2" t="str">
        <f>"04900004400"</f>
        <v>04900004400</v>
      </c>
      <c r="C56" s="2" t="s">
        <v>252</v>
      </c>
      <c r="D56" t="s">
        <v>103</v>
      </c>
      <c r="E56" s="2" t="s">
        <v>30</v>
      </c>
      <c r="F56" s="2">
        <v>37189</v>
      </c>
      <c r="G56" s="2" t="s">
        <v>253</v>
      </c>
      <c r="H56" t="s">
        <v>254</v>
      </c>
      <c r="I56" s="6">
        <v>18878</v>
      </c>
      <c r="J56" s="2" t="s">
        <v>255</v>
      </c>
      <c r="K56" s="2" t="s">
        <v>34</v>
      </c>
      <c r="L56" t="s">
        <v>35</v>
      </c>
      <c r="M56" t="s">
        <v>29</v>
      </c>
      <c r="N56" t="s">
        <v>30</v>
      </c>
      <c r="O56">
        <v>37219</v>
      </c>
      <c r="P56" t="s">
        <v>256</v>
      </c>
      <c r="Q56" s="2">
        <v>10.29</v>
      </c>
      <c r="R56" s="2">
        <v>0</v>
      </c>
      <c r="S56" s="2">
        <v>0</v>
      </c>
      <c r="T56" t="s">
        <v>255</v>
      </c>
      <c r="U56" s="6">
        <v>18878</v>
      </c>
      <c r="V56" s="2">
        <v>47037010105</v>
      </c>
      <c r="W56" s="2" t="s">
        <v>68</v>
      </c>
      <c r="X56" s="1">
        <v>45658</v>
      </c>
      <c r="Y56" s="2">
        <v>274200</v>
      </c>
      <c r="Z56" s="2">
        <v>0</v>
      </c>
      <c r="AA56" s="2">
        <v>274200</v>
      </c>
    </row>
    <row r="57" spans="1:27" x14ac:dyDescent="0.3">
      <c r="A57" s="4" t="s">
        <v>27</v>
      </c>
      <c r="B57" s="2" t="str">
        <f>"06916001000"</f>
        <v>06916001000</v>
      </c>
      <c r="C57" s="2" t="s">
        <v>257</v>
      </c>
      <c r="D57" t="s">
        <v>29</v>
      </c>
      <c r="E57" s="2" t="s">
        <v>30</v>
      </c>
      <c r="F57" s="2">
        <v>37218</v>
      </c>
      <c r="G57" s="2" t="s">
        <v>253</v>
      </c>
      <c r="H57" t="s">
        <v>258</v>
      </c>
      <c r="I57" s="6">
        <v>18402</v>
      </c>
      <c r="J57" s="2" t="s">
        <v>259</v>
      </c>
      <c r="K57" s="2" t="s">
        <v>34</v>
      </c>
      <c r="L57" t="s">
        <v>35</v>
      </c>
      <c r="M57" t="s">
        <v>29</v>
      </c>
      <c r="N57" t="s">
        <v>30</v>
      </c>
      <c r="O57">
        <v>37219</v>
      </c>
      <c r="P57" t="s">
        <v>260</v>
      </c>
      <c r="Q57" s="2">
        <v>18.86</v>
      </c>
      <c r="R57" s="2">
        <v>0</v>
      </c>
      <c r="S57" s="2">
        <v>0</v>
      </c>
      <c r="T57" t="s">
        <v>261</v>
      </c>
      <c r="U57" s="6">
        <v>43298</v>
      </c>
      <c r="V57" s="2">
        <v>47037012802</v>
      </c>
      <c r="W57" s="2" t="s">
        <v>68</v>
      </c>
      <c r="X57" s="1">
        <v>45658</v>
      </c>
      <c r="Y57" s="2">
        <v>3491600</v>
      </c>
      <c r="Z57" s="2">
        <v>0</v>
      </c>
      <c r="AA57" s="2">
        <v>3491600</v>
      </c>
    </row>
    <row r="58" spans="1:27" x14ac:dyDescent="0.3">
      <c r="A58" s="4" t="s">
        <v>27</v>
      </c>
      <c r="B58" s="2" t="str">
        <f>"06900001000"</f>
        <v>06900001000</v>
      </c>
      <c r="C58" s="2" t="s">
        <v>262</v>
      </c>
      <c r="D58" t="s">
        <v>29</v>
      </c>
      <c r="E58" s="2" t="s">
        <v>30</v>
      </c>
      <c r="F58" s="2">
        <v>37218</v>
      </c>
      <c r="G58" s="2" t="s">
        <v>253</v>
      </c>
      <c r="H58" t="s">
        <v>263</v>
      </c>
      <c r="I58" s="6">
        <v>34901</v>
      </c>
      <c r="J58" s="2" t="s">
        <v>264</v>
      </c>
      <c r="K58" s="2">
        <v>0</v>
      </c>
      <c r="L58" t="s">
        <v>35</v>
      </c>
      <c r="M58" t="s">
        <v>29</v>
      </c>
      <c r="N58" t="s">
        <v>30</v>
      </c>
      <c r="O58">
        <v>37219</v>
      </c>
      <c r="P58" t="s">
        <v>265</v>
      </c>
      <c r="Q58" s="2">
        <v>10.67</v>
      </c>
      <c r="R58" s="2">
        <v>0</v>
      </c>
      <c r="S58" s="2">
        <v>0</v>
      </c>
      <c r="T58" t="s">
        <v>266</v>
      </c>
      <c r="U58" s="6">
        <v>35034</v>
      </c>
      <c r="V58" s="2">
        <v>47037013100</v>
      </c>
      <c r="W58" s="2" t="s">
        <v>68</v>
      </c>
      <c r="X58" s="1">
        <v>45658</v>
      </c>
      <c r="Y58" s="2">
        <v>0</v>
      </c>
      <c r="Z58" s="2">
        <v>0</v>
      </c>
      <c r="AA58" s="2">
        <v>0</v>
      </c>
    </row>
    <row r="59" spans="1:27" x14ac:dyDescent="0.3">
      <c r="A59" s="4" t="s">
        <v>27</v>
      </c>
      <c r="B59" s="2" t="str">
        <f>"07013014300"</f>
        <v>07013014300</v>
      </c>
      <c r="C59" s="2" t="s">
        <v>267</v>
      </c>
      <c r="D59" t="s">
        <v>29</v>
      </c>
      <c r="E59" s="2" t="s">
        <v>30</v>
      </c>
      <c r="F59" s="2">
        <v>37218</v>
      </c>
      <c r="G59" s="2" t="s">
        <v>253</v>
      </c>
      <c r="H59" t="s">
        <v>268</v>
      </c>
      <c r="I59" s="6">
        <v>8949</v>
      </c>
      <c r="J59" s="2" t="s">
        <v>269</v>
      </c>
      <c r="K59" s="2">
        <v>0</v>
      </c>
      <c r="L59" t="s">
        <v>35</v>
      </c>
      <c r="M59" t="s">
        <v>29</v>
      </c>
      <c r="N59" t="s">
        <v>30</v>
      </c>
      <c r="O59">
        <v>37219</v>
      </c>
      <c r="P59" t="s">
        <v>270</v>
      </c>
      <c r="Q59" s="2">
        <v>4.0999999999999996</v>
      </c>
      <c r="R59" s="2">
        <v>0</v>
      </c>
      <c r="S59" s="2">
        <v>0</v>
      </c>
      <c r="T59" t="s">
        <v>269</v>
      </c>
      <c r="U59" s="6">
        <v>8949</v>
      </c>
      <c r="V59" s="2">
        <v>47037012802</v>
      </c>
      <c r="W59" s="2" t="s">
        <v>68</v>
      </c>
      <c r="X59" s="1">
        <v>45658</v>
      </c>
      <c r="Y59" s="2">
        <v>330900</v>
      </c>
      <c r="Z59" s="2">
        <v>0</v>
      </c>
      <c r="AA59" s="2">
        <v>330900</v>
      </c>
    </row>
    <row r="60" spans="1:27" x14ac:dyDescent="0.3">
      <c r="A60" s="4" t="s">
        <v>27</v>
      </c>
      <c r="B60" s="2" t="str">
        <f>"02200001900"</f>
        <v>02200001900</v>
      </c>
      <c r="C60" s="2" t="s">
        <v>271</v>
      </c>
      <c r="D60" t="s">
        <v>59</v>
      </c>
      <c r="E60" s="2" t="s">
        <v>30</v>
      </c>
      <c r="F60" s="2">
        <v>37080</v>
      </c>
      <c r="G60" s="2" t="s">
        <v>253</v>
      </c>
      <c r="H60" t="s">
        <v>272</v>
      </c>
      <c r="I60" s="6">
        <v>7898</v>
      </c>
      <c r="J60" s="2" t="s">
        <v>273</v>
      </c>
      <c r="K60" s="2" t="s">
        <v>34</v>
      </c>
      <c r="L60" t="s">
        <v>35</v>
      </c>
      <c r="M60" t="s">
        <v>29</v>
      </c>
      <c r="N60" t="s">
        <v>30</v>
      </c>
      <c r="O60">
        <v>37219</v>
      </c>
      <c r="P60" t="s">
        <v>274</v>
      </c>
      <c r="Q60" s="2">
        <v>29.3</v>
      </c>
      <c r="R60" s="2">
        <v>0</v>
      </c>
      <c r="S60" s="2">
        <v>0</v>
      </c>
      <c r="T60" t="s">
        <v>273</v>
      </c>
      <c r="U60" s="6">
        <v>7898</v>
      </c>
      <c r="V60" s="2">
        <v>47037010104</v>
      </c>
      <c r="W60" s="2" t="s">
        <v>38</v>
      </c>
      <c r="X60" s="1">
        <v>45658</v>
      </c>
      <c r="Y60" s="2">
        <v>629100</v>
      </c>
      <c r="Z60" s="2">
        <v>0</v>
      </c>
      <c r="AA60" s="2">
        <v>629100</v>
      </c>
    </row>
    <row r="61" spans="1:27" x14ac:dyDescent="0.3">
      <c r="A61" s="4" t="s">
        <v>27</v>
      </c>
      <c r="B61" s="2" t="str">
        <f>"04000012000"</f>
        <v>04000012000</v>
      </c>
      <c r="C61" s="2" t="s">
        <v>275</v>
      </c>
      <c r="D61" t="s">
        <v>103</v>
      </c>
      <c r="E61" s="2" t="s">
        <v>30</v>
      </c>
      <c r="F61" s="2">
        <v>37189</v>
      </c>
      <c r="G61" s="2" t="s">
        <v>253</v>
      </c>
      <c r="H61" t="s">
        <v>276</v>
      </c>
      <c r="I61" s="6">
        <v>27565</v>
      </c>
      <c r="J61" s="2" t="s">
        <v>229</v>
      </c>
      <c r="K61" s="2" t="s">
        <v>34</v>
      </c>
      <c r="L61" t="s">
        <v>35</v>
      </c>
      <c r="M61" t="s">
        <v>29</v>
      </c>
      <c r="N61" t="s">
        <v>30</v>
      </c>
      <c r="O61">
        <v>37219</v>
      </c>
      <c r="P61" t="s">
        <v>277</v>
      </c>
      <c r="Q61" s="2">
        <v>47.77</v>
      </c>
      <c r="R61" s="2">
        <v>0</v>
      </c>
      <c r="S61" s="2">
        <v>0</v>
      </c>
      <c r="T61" t="s">
        <v>278</v>
      </c>
      <c r="U61" s="6">
        <v>29325</v>
      </c>
      <c r="V61" s="2">
        <v>47037010104</v>
      </c>
      <c r="W61" s="2" t="s">
        <v>38</v>
      </c>
      <c r="X61" s="1">
        <v>45658</v>
      </c>
      <c r="Y61" s="2">
        <v>662900</v>
      </c>
      <c r="Z61" s="2">
        <v>0</v>
      </c>
      <c r="AA61" s="2">
        <v>662900</v>
      </c>
    </row>
    <row r="62" spans="1:27" x14ac:dyDescent="0.3">
      <c r="A62" s="4" t="s">
        <v>27</v>
      </c>
      <c r="B62" s="2" t="str">
        <f>"02200009100"</f>
        <v>02200009100</v>
      </c>
      <c r="C62" s="2" t="s">
        <v>279</v>
      </c>
      <c r="D62" t="s">
        <v>59</v>
      </c>
      <c r="E62" s="2" t="s">
        <v>30</v>
      </c>
      <c r="F62" s="2">
        <v>37080</v>
      </c>
      <c r="G62" s="2" t="s">
        <v>253</v>
      </c>
      <c r="H62" t="s">
        <v>280</v>
      </c>
      <c r="I62" s="6">
        <v>33535</v>
      </c>
      <c r="J62" s="2" t="s">
        <v>281</v>
      </c>
      <c r="K62" s="2" t="s">
        <v>34</v>
      </c>
      <c r="L62" t="s">
        <v>35</v>
      </c>
      <c r="M62" t="s">
        <v>29</v>
      </c>
      <c r="N62" t="s">
        <v>30</v>
      </c>
      <c r="O62">
        <v>37219</v>
      </c>
      <c r="P62" t="s">
        <v>282</v>
      </c>
      <c r="Q62" s="2">
        <v>1.88</v>
      </c>
      <c r="R62" s="2">
        <v>228</v>
      </c>
      <c r="S62" s="2">
        <v>148</v>
      </c>
      <c r="T62" t="s">
        <v>283</v>
      </c>
      <c r="U62" s="6">
        <v>39008</v>
      </c>
      <c r="V62" s="2">
        <v>47037010104</v>
      </c>
      <c r="W62" s="2" t="s">
        <v>38</v>
      </c>
      <c r="X62" s="1">
        <v>45658</v>
      </c>
      <c r="Y62" s="2">
        <v>104900</v>
      </c>
      <c r="Z62" s="2">
        <v>0</v>
      </c>
      <c r="AA62" s="2">
        <v>104900</v>
      </c>
    </row>
    <row r="63" spans="1:27" x14ac:dyDescent="0.3">
      <c r="A63" s="4" t="s">
        <v>27</v>
      </c>
      <c r="B63" s="2" t="str">
        <f>"04000001001"</f>
        <v>04000001001</v>
      </c>
      <c r="C63" s="2" t="s">
        <v>284</v>
      </c>
      <c r="D63" t="s">
        <v>103</v>
      </c>
      <c r="E63" s="2" t="s">
        <v>30</v>
      </c>
      <c r="F63" s="2">
        <v>37189</v>
      </c>
      <c r="G63" s="2" t="s">
        <v>152</v>
      </c>
      <c r="H63" t="s">
        <v>280</v>
      </c>
      <c r="I63" s="6">
        <v>27030</v>
      </c>
      <c r="J63" s="2" t="s">
        <v>285</v>
      </c>
      <c r="K63" s="2" t="s">
        <v>34</v>
      </c>
      <c r="L63" t="s">
        <v>35</v>
      </c>
      <c r="M63" t="s">
        <v>29</v>
      </c>
      <c r="N63" t="s">
        <v>30</v>
      </c>
      <c r="O63">
        <v>37219</v>
      </c>
      <c r="P63" t="s">
        <v>286</v>
      </c>
      <c r="Q63" s="2">
        <v>0.91</v>
      </c>
      <c r="R63" s="2">
        <v>200</v>
      </c>
      <c r="S63" s="2">
        <v>200</v>
      </c>
      <c r="T63" t="s">
        <v>287</v>
      </c>
      <c r="U63" s="6">
        <v>23498</v>
      </c>
      <c r="V63" s="2">
        <v>47037010104</v>
      </c>
      <c r="W63" s="2" t="s">
        <v>38</v>
      </c>
      <c r="X63" s="1">
        <v>45658</v>
      </c>
      <c r="Y63" s="2">
        <v>31900</v>
      </c>
      <c r="Z63" s="2">
        <v>0</v>
      </c>
      <c r="AA63" s="2">
        <v>31900</v>
      </c>
    </row>
    <row r="64" spans="1:27" x14ac:dyDescent="0.3">
      <c r="A64" s="4" t="s">
        <v>27</v>
      </c>
      <c r="B64" s="2" t="str">
        <f>"04000000101"</f>
        <v>04000000101</v>
      </c>
      <c r="C64" s="2" t="s">
        <v>89</v>
      </c>
      <c r="D64" t="s">
        <v>59</v>
      </c>
      <c r="E64" s="2" t="s">
        <v>30</v>
      </c>
      <c r="F64" s="2">
        <v>37080</v>
      </c>
      <c r="G64" s="2" t="s">
        <v>152</v>
      </c>
      <c r="H64" t="s">
        <v>280</v>
      </c>
      <c r="I64" s="6">
        <v>27030</v>
      </c>
      <c r="J64" s="2" t="s">
        <v>285</v>
      </c>
      <c r="K64" s="2" t="s">
        <v>34</v>
      </c>
      <c r="L64" t="s">
        <v>35</v>
      </c>
      <c r="M64" t="s">
        <v>29</v>
      </c>
      <c r="N64" t="s">
        <v>30</v>
      </c>
      <c r="O64">
        <v>37219</v>
      </c>
      <c r="P64" t="s">
        <v>288</v>
      </c>
      <c r="Q64" s="2">
        <v>0.12</v>
      </c>
      <c r="R64" s="2">
        <v>70</v>
      </c>
      <c r="S64" s="2">
        <v>51</v>
      </c>
      <c r="T64" t="s">
        <v>289</v>
      </c>
      <c r="U64" s="6">
        <v>23498</v>
      </c>
      <c r="V64" s="2">
        <v>47037010104</v>
      </c>
      <c r="W64" s="2" t="s">
        <v>38</v>
      </c>
      <c r="X64" s="1">
        <v>45658</v>
      </c>
      <c r="Y64" s="2">
        <v>1100</v>
      </c>
      <c r="Z64" s="2">
        <v>0</v>
      </c>
      <c r="AA64" s="2">
        <v>1100</v>
      </c>
    </row>
    <row r="65" spans="1:27" x14ac:dyDescent="0.3">
      <c r="A65" s="4" t="s">
        <v>27</v>
      </c>
      <c r="B65" s="2" t="str">
        <f>"05700008600"</f>
        <v>05700008600</v>
      </c>
      <c r="C65" s="2" t="s">
        <v>290</v>
      </c>
      <c r="D65" t="s">
        <v>40</v>
      </c>
      <c r="E65" s="2" t="s">
        <v>30</v>
      </c>
      <c r="F65" s="2">
        <v>37015</v>
      </c>
      <c r="G65" s="2" t="s">
        <v>152</v>
      </c>
      <c r="H65" t="s">
        <v>280</v>
      </c>
      <c r="I65" s="6">
        <v>27030</v>
      </c>
      <c r="J65" s="2" t="s">
        <v>285</v>
      </c>
      <c r="K65" s="2" t="s">
        <v>34</v>
      </c>
      <c r="L65" t="s">
        <v>35</v>
      </c>
      <c r="M65" t="s">
        <v>29</v>
      </c>
      <c r="N65" t="s">
        <v>30</v>
      </c>
      <c r="O65">
        <v>37219</v>
      </c>
      <c r="P65" t="s">
        <v>291</v>
      </c>
      <c r="Q65" s="2">
        <v>0.56000000000000005</v>
      </c>
      <c r="R65" s="2">
        <v>168</v>
      </c>
      <c r="S65" s="2">
        <v>172</v>
      </c>
      <c r="T65" t="s">
        <v>292</v>
      </c>
      <c r="U65" s="6">
        <v>24992</v>
      </c>
      <c r="V65" s="2">
        <v>47037013100</v>
      </c>
      <c r="W65" s="2" t="s">
        <v>38</v>
      </c>
      <c r="X65" s="1">
        <v>45658</v>
      </c>
      <c r="Y65" s="2">
        <v>4500</v>
      </c>
      <c r="Z65" s="2">
        <v>0</v>
      </c>
      <c r="AA65" s="2">
        <v>4500</v>
      </c>
    </row>
    <row r="66" spans="1:27" x14ac:dyDescent="0.3">
      <c r="A66" s="4" t="s">
        <v>27</v>
      </c>
      <c r="B66" s="2" t="str">
        <f>"06001017700"</f>
        <v>06001017700</v>
      </c>
      <c r="C66" s="2" t="s">
        <v>293</v>
      </c>
      <c r="D66" t="s">
        <v>29</v>
      </c>
      <c r="E66" s="2" t="s">
        <v>30</v>
      </c>
      <c r="F66" s="2">
        <v>37207</v>
      </c>
      <c r="G66" s="2" t="s">
        <v>64</v>
      </c>
      <c r="H66" t="s">
        <v>280</v>
      </c>
      <c r="I66" s="6">
        <v>36531</v>
      </c>
      <c r="J66" s="2" t="s">
        <v>294</v>
      </c>
      <c r="K66" s="2">
        <v>3000</v>
      </c>
      <c r="L66" t="s">
        <v>35</v>
      </c>
      <c r="M66" t="s">
        <v>29</v>
      </c>
      <c r="N66" t="s">
        <v>30</v>
      </c>
      <c r="O66">
        <v>37219</v>
      </c>
      <c r="P66" t="s">
        <v>295</v>
      </c>
      <c r="Q66" s="2">
        <v>0.41</v>
      </c>
      <c r="R66" s="2">
        <v>99</v>
      </c>
      <c r="S66" s="2">
        <v>100</v>
      </c>
      <c r="T66" t="s">
        <v>296</v>
      </c>
      <c r="U66" s="6">
        <v>26731</v>
      </c>
      <c r="V66" s="2">
        <v>47037010106</v>
      </c>
      <c r="W66" s="2" t="s">
        <v>68</v>
      </c>
      <c r="X66" s="1">
        <v>45658</v>
      </c>
      <c r="Y66" s="2">
        <v>70400</v>
      </c>
      <c r="Z66" s="2">
        <v>0</v>
      </c>
      <c r="AA66" s="2">
        <v>70400</v>
      </c>
    </row>
    <row r="67" spans="1:27" x14ac:dyDescent="0.3">
      <c r="A67" s="4" t="s">
        <v>27</v>
      </c>
      <c r="B67" s="2" t="str">
        <f>"05815009000"</f>
        <v>05815009000</v>
      </c>
      <c r="C67" s="2" t="s">
        <v>297</v>
      </c>
      <c r="D67" t="s">
        <v>29</v>
      </c>
      <c r="E67" s="2" t="s">
        <v>30</v>
      </c>
      <c r="F67" s="2">
        <v>37218</v>
      </c>
      <c r="G67" s="2" t="s">
        <v>64</v>
      </c>
      <c r="H67" t="s">
        <v>280</v>
      </c>
      <c r="I67" s="6">
        <v>40163</v>
      </c>
      <c r="J67" s="2" t="s">
        <v>298</v>
      </c>
      <c r="K67" s="2">
        <v>0</v>
      </c>
      <c r="L67" t="s">
        <v>35</v>
      </c>
      <c r="M67" t="s">
        <v>29</v>
      </c>
      <c r="N67" t="s">
        <v>30</v>
      </c>
      <c r="O67">
        <v>37219</v>
      </c>
      <c r="P67" t="s">
        <v>299</v>
      </c>
      <c r="Q67" s="2">
        <v>0.45</v>
      </c>
      <c r="R67" s="2">
        <v>55</v>
      </c>
      <c r="S67" s="2">
        <v>211</v>
      </c>
      <c r="T67" t="s">
        <v>300</v>
      </c>
      <c r="U67" s="6">
        <v>26779</v>
      </c>
      <c r="V67" s="2">
        <v>47037012801</v>
      </c>
      <c r="W67" s="2" t="s">
        <v>68</v>
      </c>
      <c r="X67" s="1">
        <v>45658</v>
      </c>
      <c r="Y67" s="2">
        <v>96300</v>
      </c>
      <c r="Z67" s="2">
        <v>0</v>
      </c>
      <c r="AA67" s="2">
        <v>96300</v>
      </c>
    </row>
    <row r="68" spans="1:27" x14ac:dyDescent="0.3">
      <c r="A68" s="4" t="s">
        <v>27</v>
      </c>
      <c r="B68" s="2" t="str">
        <f>"08000007200"</f>
        <v>08000007200</v>
      </c>
      <c r="C68" s="2" t="s">
        <v>157</v>
      </c>
      <c r="D68" t="s">
        <v>29</v>
      </c>
      <c r="E68" s="2" t="s">
        <v>30</v>
      </c>
      <c r="F68" s="2">
        <v>37218</v>
      </c>
      <c r="G68" s="2" t="s">
        <v>64</v>
      </c>
      <c r="H68" t="s">
        <v>280</v>
      </c>
      <c r="I68" s="6">
        <v>32549</v>
      </c>
      <c r="J68" s="2" t="s">
        <v>161</v>
      </c>
      <c r="K68" s="2" t="s">
        <v>34</v>
      </c>
      <c r="L68" t="s">
        <v>35</v>
      </c>
      <c r="M68" t="s">
        <v>29</v>
      </c>
      <c r="N68" t="s">
        <v>30</v>
      </c>
      <c r="O68">
        <v>37219</v>
      </c>
      <c r="P68" t="s">
        <v>301</v>
      </c>
      <c r="Q68" s="2">
        <v>23.2</v>
      </c>
      <c r="R68" s="2">
        <v>0</v>
      </c>
      <c r="S68" s="2">
        <v>0</v>
      </c>
      <c r="T68" t="s">
        <v>278</v>
      </c>
      <c r="U68" s="6">
        <v>35797</v>
      </c>
      <c r="V68" s="2">
        <v>47037012802</v>
      </c>
      <c r="W68" s="2" t="s">
        <v>68</v>
      </c>
      <c r="X68" s="1">
        <v>45658</v>
      </c>
      <c r="Y68" s="2">
        <v>723800</v>
      </c>
      <c r="Z68" s="2">
        <v>0</v>
      </c>
      <c r="AA68" s="2">
        <v>723800</v>
      </c>
    </row>
    <row r="69" spans="1:27" x14ac:dyDescent="0.3">
      <c r="A69" s="4" t="s">
        <v>27</v>
      </c>
      <c r="B69" s="2" t="str">
        <f>"08000005500"</f>
        <v>08000005500</v>
      </c>
      <c r="C69" s="2" t="s">
        <v>302</v>
      </c>
      <c r="D69" t="s">
        <v>29</v>
      </c>
      <c r="E69" s="2" t="s">
        <v>30</v>
      </c>
      <c r="F69" s="2">
        <v>37218</v>
      </c>
      <c r="G69" s="2" t="s">
        <v>152</v>
      </c>
      <c r="H69" t="s">
        <v>280</v>
      </c>
      <c r="I69" s="6">
        <v>32549</v>
      </c>
      <c r="J69" s="2" t="s">
        <v>161</v>
      </c>
      <c r="K69" s="2" t="s">
        <v>34</v>
      </c>
      <c r="L69" t="s">
        <v>35</v>
      </c>
      <c r="M69" t="s">
        <v>29</v>
      </c>
      <c r="N69" t="s">
        <v>30</v>
      </c>
      <c r="O69">
        <v>37219</v>
      </c>
      <c r="P69" t="s">
        <v>303</v>
      </c>
      <c r="Q69" s="2">
        <v>68.53</v>
      </c>
      <c r="R69" s="2">
        <v>0</v>
      </c>
      <c r="S69" s="2">
        <v>0</v>
      </c>
      <c r="T69" t="s">
        <v>278</v>
      </c>
      <c r="U69" s="6">
        <v>35797</v>
      </c>
      <c r="V69" s="2">
        <v>47037012802</v>
      </c>
      <c r="W69" s="2" t="s">
        <v>68</v>
      </c>
      <c r="X69" s="1">
        <v>45658</v>
      </c>
      <c r="Y69" s="2">
        <v>1703200</v>
      </c>
      <c r="Z69" s="2">
        <v>0</v>
      </c>
      <c r="AA69" s="2">
        <v>1703200</v>
      </c>
    </row>
    <row r="70" spans="1:27" x14ac:dyDescent="0.3">
      <c r="A70" s="4" t="s">
        <v>27</v>
      </c>
      <c r="B70" s="2" t="str">
        <f>"08000005600"</f>
        <v>08000005600</v>
      </c>
      <c r="C70" s="2" t="s">
        <v>157</v>
      </c>
      <c r="D70" t="s">
        <v>29</v>
      </c>
      <c r="E70" s="2" t="s">
        <v>30</v>
      </c>
      <c r="F70" s="2">
        <v>37218</v>
      </c>
      <c r="G70" s="2" t="s">
        <v>152</v>
      </c>
      <c r="H70" t="s">
        <v>280</v>
      </c>
      <c r="I70" s="6">
        <v>32549</v>
      </c>
      <c r="J70" s="2" t="s">
        <v>161</v>
      </c>
      <c r="K70" s="2">
        <v>0</v>
      </c>
      <c r="L70" t="s">
        <v>35</v>
      </c>
      <c r="M70" t="s">
        <v>29</v>
      </c>
      <c r="N70" t="s">
        <v>30</v>
      </c>
      <c r="O70">
        <v>37219</v>
      </c>
      <c r="P70" t="s">
        <v>304</v>
      </c>
      <c r="Q70" s="2">
        <v>1.85</v>
      </c>
      <c r="R70" s="2">
        <v>0</v>
      </c>
      <c r="S70" s="2">
        <v>0</v>
      </c>
      <c r="T70" t="s">
        <v>161</v>
      </c>
      <c r="U70" s="6">
        <v>32549</v>
      </c>
      <c r="V70" s="2">
        <v>47037012802</v>
      </c>
      <c r="W70" s="2" t="s">
        <v>68</v>
      </c>
      <c r="X70" s="1">
        <v>45658</v>
      </c>
      <c r="Y70" s="2">
        <v>172000</v>
      </c>
      <c r="Z70" s="2">
        <v>0</v>
      </c>
      <c r="AA70" s="2">
        <v>172000</v>
      </c>
    </row>
    <row r="71" spans="1:27" x14ac:dyDescent="0.3">
      <c r="A71" s="4" t="s">
        <v>27</v>
      </c>
      <c r="B71" s="2" t="str">
        <f>"08000005700"</f>
        <v>08000005700</v>
      </c>
      <c r="C71" s="2" t="s">
        <v>157</v>
      </c>
      <c r="D71" t="s">
        <v>29</v>
      </c>
      <c r="E71" s="2" t="s">
        <v>30</v>
      </c>
      <c r="F71" s="2">
        <v>37218</v>
      </c>
      <c r="G71" s="2" t="s">
        <v>152</v>
      </c>
      <c r="H71" t="s">
        <v>280</v>
      </c>
      <c r="I71" s="6">
        <v>32549</v>
      </c>
      <c r="J71" s="2" t="s">
        <v>161</v>
      </c>
      <c r="K71" s="2">
        <v>0</v>
      </c>
      <c r="L71" t="s">
        <v>35</v>
      </c>
      <c r="M71" t="s">
        <v>29</v>
      </c>
      <c r="N71" t="s">
        <v>30</v>
      </c>
      <c r="O71">
        <v>37219</v>
      </c>
      <c r="P71" t="s">
        <v>305</v>
      </c>
      <c r="Q71" s="2">
        <v>3.7</v>
      </c>
      <c r="R71" s="2">
        <v>0</v>
      </c>
      <c r="S71" s="2">
        <v>0</v>
      </c>
      <c r="T71" t="s">
        <v>161</v>
      </c>
      <c r="U71" s="6">
        <v>32549</v>
      </c>
      <c r="V71" s="2">
        <v>47037012802</v>
      </c>
      <c r="W71" s="2" t="s">
        <v>68</v>
      </c>
      <c r="X71" s="1">
        <v>45658</v>
      </c>
      <c r="Y71" s="2">
        <v>222000</v>
      </c>
      <c r="Z71" s="2">
        <v>0</v>
      </c>
      <c r="AA71" s="2">
        <v>222000</v>
      </c>
    </row>
    <row r="72" spans="1:27" x14ac:dyDescent="0.3">
      <c r="A72" s="4" t="s">
        <v>27</v>
      </c>
      <c r="B72" s="2" t="str">
        <f>"08012007400"</f>
        <v>08012007400</v>
      </c>
      <c r="C72" s="2" t="s">
        <v>306</v>
      </c>
      <c r="D72" t="s">
        <v>29</v>
      </c>
      <c r="E72" s="2" t="s">
        <v>30</v>
      </c>
      <c r="F72" s="2">
        <v>37218</v>
      </c>
      <c r="G72" s="2" t="s">
        <v>152</v>
      </c>
      <c r="H72" t="s">
        <v>280</v>
      </c>
      <c r="I72" s="6">
        <v>23175</v>
      </c>
      <c r="J72" s="2" t="s">
        <v>307</v>
      </c>
      <c r="K72" s="2" t="s">
        <v>34</v>
      </c>
      <c r="L72" t="s">
        <v>35</v>
      </c>
      <c r="M72" t="s">
        <v>29</v>
      </c>
      <c r="N72" t="s">
        <v>30</v>
      </c>
      <c r="O72">
        <v>37219</v>
      </c>
      <c r="P72" t="s">
        <v>308</v>
      </c>
      <c r="Q72" s="2">
        <v>0.16</v>
      </c>
      <c r="R72" s="2">
        <v>55</v>
      </c>
      <c r="S72" s="2">
        <v>125</v>
      </c>
      <c r="T72" t="s">
        <v>307</v>
      </c>
      <c r="U72" s="6">
        <v>23175</v>
      </c>
      <c r="V72" s="2">
        <v>47037012802</v>
      </c>
      <c r="W72" s="2" t="s">
        <v>68</v>
      </c>
      <c r="X72" s="1">
        <v>45658</v>
      </c>
      <c r="Y72" s="2">
        <v>102000</v>
      </c>
      <c r="Z72" s="2">
        <v>0</v>
      </c>
      <c r="AA72" s="2">
        <v>102000</v>
      </c>
    </row>
    <row r="73" spans="1:27" x14ac:dyDescent="0.3">
      <c r="A73" s="4" t="s">
        <v>27</v>
      </c>
      <c r="B73" s="2" t="str">
        <f>"06001017600"</f>
        <v>06001017600</v>
      </c>
      <c r="C73" s="2" t="s">
        <v>309</v>
      </c>
      <c r="D73" t="s">
        <v>29</v>
      </c>
      <c r="E73" s="2" t="s">
        <v>30</v>
      </c>
      <c r="F73" s="2">
        <v>37207</v>
      </c>
      <c r="G73" s="2" t="s">
        <v>64</v>
      </c>
      <c r="H73" t="s">
        <v>280</v>
      </c>
      <c r="I73" s="6">
        <v>37697</v>
      </c>
      <c r="J73" s="2" t="s">
        <v>310</v>
      </c>
      <c r="K73" s="2" t="s">
        <v>34</v>
      </c>
      <c r="L73" t="s">
        <v>35</v>
      </c>
      <c r="M73" t="s">
        <v>29</v>
      </c>
      <c r="N73" t="s">
        <v>30</v>
      </c>
      <c r="O73">
        <v>37219</v>
      </c>
      <c r="P73" t="s">
        <v>311</v>
      </c>
      <c r="Q73" s="2">
        <v>0.42</v>
      </c>
      <c r="R73" s="2">
        <v>83</v>
      </c>
      <c r="S73" s="2">
        <v>160</v>
      </c>
      <c r="T73" t="s">
        <v>312</v>
      </c>
      <c r="U73" s="6">
        <v>26109</v>
      </c>
      <c r="V73" s="2">
        <v>47037010106</v>
      </c>
      <c r="W73" s="2" t="s">
        <v>68</v>
      </c>
      <c r="X73" s="1">
        <v>45658</v>
      </c>
      <c r="Y73" s="2">
        <v>70400</v>
      </c>
      <c r="Z73" s="2">
        <v>0</v>
      </c>
      <c r="AA73" s="2">
        <v>70400</v>
      </c>
    </row>
    <row r="74" spans="1:27" x14ac:dyDescent="0.3">
      <c r="A74" s="4" t="s">
        <v>27</v>
      </c>
      <c r="B74" s="2" t="str">
        <f>"05800017300"</f>
        <v>05800017300</v>
      </c>
      <c r="C74" s="2" t="s">
        <v>313</v>
      </c>
      <c r="D74" t="s">
        <v>29</v>
      </c>
      <c r="E74" s="2" t="s">
        <v>30</v>
      </c>
      <c r="F74" s="2">
        <v>37218</v>
      </c>
      <c r="G74" s="2" t="s">
        <v>64</v>
      </c>
      <c r="H74" t="s">
        <v>280</v>
      </c>
      <c r="I74" s="6">
        <v>43613</v>
      </c>
      <c r="J74" s="2" t="s">
        <v>314</v>
      </c>
      <c r="K74" s="2" t="s">
        <v>34</v>
      </c>
      <c r="L74" t="s">
        <v>315</v>
      </c>
      <c r="M74" t="s">
        <v>29</v>
      </c>
      <c r="N74" t="s">
        <v>30</v>
      </c>
      <c r="O74">
        <v>37208</v>
      </c>
      <c r="P74" t="s">
        <v>316</v>
      </c>
      <c r="Q74" s="2">
        <v>1.64</v>
      </c>
      <c r="R74" s="2">
        <v>0</v>
      </c>
      <c r="S74" s="2">
        <v>0</v>
      </c>
      <c r="T74" t="s">
        <v>317</v>
      </c>
      <c r="U74" s="6">
        <v>25917</v>
      </c>
      <c r="V74" s="2">
        <v>47037013100</v>
      </c>
      <c r="W74" s="2" t="s">
        <v>68</v>
      </c>
      <c r="X74" s="1">
        <v>45658</v>
      </c>
      <c r="Y74" s="2">
        <v>75000</v>
      </c>
      <c r="Z74" s="2">
        <v>0</v>
      </c>
      <c r="AA74" s="2">
        <v>75000</v>
      </c>
    </row>
    <row r="75" spans="1:27" x14ac:dyDescent="0.3">
      <c r="A75" s="4" t="s">
        <v>27</v>
      </c>
      <c r="B75" s="2" t="str">
        <f>"06001017400"</f>
        <v>06001017400</v>
      </c>
      <c r="C75" s="2" t="s">
        <v>318</v>
      </c>
      <c r="D75" t="s">
        <v>29</v>
      </c>
      <c r="E75" s="2" t="s">
        <v>30</v>
      </c>
      <c r="F75" s="2">
        <v>37207</v>
      </c>
      <c r="G75" s="2" t="s">
        <v>64</v>
      </c>
      <c r="H75" t="s">
        <v>280</v>
      </c>
      <c r="I75" s="6">
        <v>36531</v>
      </c>
      <c r="J75" s="2" t="s">
        <v>319</v>
      </c>
      <c r="K75" s="2">
        <v>3000</v>
      </c>
      <c r="L75" t="s">
        <v>35</v>
      </c>
      <c r="M75" t="s">
        <v>29</v>
      </c>
      <c r="N75" t="s">
        <v>30</v>
      </c>
      <c r="O75">
        <v>37219</v>
      </c>
      <c r="P75" t="s">
        <v>320</v>
      </c>
      <c r="Q75" s="2">
        <v>0.11</v>
      </c>
      <c r="R75" s="2">
        <v>63</v>
      </c>
      <c r="S75" s="2">
        <v>112</v>
      </c>
      <c r="T75" t="s">
        <v>321</v>
      </c>
      <c r="U75" s="6">
        <v>22066</v>
      </c>
      <c r="V75" s="2">
        <v>47037010106</v>
      </c>
      <c r="W75" s="2" t="s">
        <v>68</v>
      </c>
      <c r="X75" s="1">
        <v>45658</v>
      </c>
      <c r="Y75" s="2">
        <v>1500</v>
      </c>
      <c r="Z75" s="2">
        <v>0</v>
      </c>
      <c r="AA75" s="2">
        <v>1500</v>
      </c>
    </row>
    <row r="76" spans="1:27" x14ac:dyDescent="0.3">
      <c r="A76" s="4" t="s">
        <v>27</v>
      </c>
      <c r="B76" s="2" t="str">
        <f>"06001017500"</f>
        <v>06001017500</v>
      </c>
      <c r="C76" s="2" t="s">
        <v>322</v>
      </c>
      <c r="D76" t="s">
        <v>29</v>
      </c>
      <c r="E76" s="2" t="s">
        <v>30</v>
      </c>
      <c r="F76" s="2">
        <v>37207</v>
      </c>
      <c r="G76" s="2" t="s">
        <v>64</v>
      </c>
      <c r="H76" t="s">
        <v>280</v>
      </c>
      <c r="I76" s="6">
        <v>36706</v>
      </c>
      <c r="J76" s="2" t="s">
        <v>323</v>
      </c>
      <c r="K76" s="2">
        <v>75000</v>
      </c>
      <c r="L76" t="s">
        <v>35</v>
      </c>
      <c r="M76" t="s">
        <v>29</v>
      </c>
      <c r="N76" t="s">
        <v>30</v>
      </c>
      <c r="O76">
        <v>37219</v>
      </c>
      <c r="P76" t="s">
        <v>324</v>
      </c>
      <c r="Q76" s="2">
        <v>0.2</v>
      </c>
      <c r="R76" s="2">
        <v>84</v>
      </c>
      <c r="S76" s="2">
        <v>76</v>
      </c>
      <c r="T76" t="s">
        <v>325</v>
      </c>
      <c r="U76" s="6">
        <v>26721</v>
      </c>
      <c r="V76" s="2">
        <v>47037010106</v>
      </c>
      <c r="W76" s="2" t="s">
        <v>68</v>
      </c>
      <c r="X76" s="1">
        <v>45658</v>
      </c>
      <c r="Y76" s="2">
        <v>67000</v>
      </c>
      <c r="Z76" s="2">
        <v>0</v>
      </c>
      <c r="AA76" s="2">
        <v>67000</v>
      </c>
    </row>
    <row r="77" spans="1:27" x14ac:dyDescent="0.3">
      <c r="A77" s="4" t="s">
        <v>27</v>
      </c>
      <c r="B77" s="2" t="str">
        <f>"06001019200"</f>
        <v>06001019200</v>
      </c>
      <c r="C77" s="2" t="s">
        <v>326</v>
      </c>
      <c r="D77" t="s">
        <v>29</v>
      </c>
      <c r="E77" s="2" t="s">
        <v>30</v>
      </c>
      <c r="F77" s="2">
        <v>37207</v>
      </c>
      <c r="G77" s="2" t="s">
        <v>64</v>
      </c>
      <c r="H77" t="s">
        <v>280</v>
      </c>
      <c r="I77" s="6">
        <v>36047</v>
      </c>
      <c r="J77" s="2" t="s">
        <v>327</v>
      </c>
      <c r="K77" s="2">
        <v>66000</v>
      </c>
      <c r="L77" t="s">
        <v>35</v>
      </c>
      <c r="M77" t="s">
        <v>29</v>
      </c>
      <c r="N77" t="s">
        <v>30</v>
      </c>
      <c r="O77">
        <v>37219</v>
      </c>
      <c r="P77" t="s">
        <v>328</v>
      </c>
      <c r="Q77" s="2">
        <v>4.3899999999999997</v>
      </c>
      <c r="R77" s="2">
        <v>999</v>
      </c>
      <c r="S77" s="2">
        <v>139</v>
      </c>
      <c r="T77" t="s">
        <v>278</v>
      </c>
      <c r="U77" s="6">
        <v>36581</v>
      </c>
      <c r="V77" s="2">
        <v>47037010106</v>
      </c>
      <c r="W77" s="2" t="s">
        <v>68</v>
      </c>
      <c r="X77" s="1">
        <v>45658</v>
      </c>
      <c r="Y77" s="2">
        <v>20000</v>
      </c>
      <c r="Z77" s="2">
        <v>0</v>
      </c>
      <c r="AA77" s="2">
        <v>20000</v>
      </c>
    </row>
    <row r="78" spans="1:27" x14ac:dyDescent="0.3">
      <c r="A78" s="4" t="s">
        <v>27</v>
      </c>
      <c r="B78" s="2" t="str">
        <f>"08000002301"</f>
        <v>08000002301</v>
      </c>
      <c r="C78" s="2" t="s">
        <v>329</v>
      </c>
      <c r="D78" t="s">
        <v>29</v>
      </c>
      <c r="E78" s="2" t="s">
        <v>30</v>
      </c>
      <c r="F78" s="2">
        <v>37218</v>
      </c>
      <c r="G78" s="2" t="s">
        <v>330</v>
      </c>
      <c r="H78" t="s">
        <v>280</v>
      </c>
      <c r="I78" s="6">
        <v>41159</v>
      </c>
      <c r="J78" s="2" t="s">
        <v>331</v>
      </c>
      <c r="K78" s="2" t="s">
        <v>34</v>
      </c>
      <c r="L78" t="s">
        <v>35</v>
      </c>
      <c r="M78" t="s">
        <v>29</v>
      </c>
      <c r="N78" t="s">
        <v>30</v>
      </c>
      <c r="O78">
        <v>37219</v>
      </c>
      <c r="P78" t="s">
        <v>332</v>
      </c>
      <c r="Q78" s="2">
        <v>17.32</v>
      </c>
      <c r="R78" s="2">
        <v>360</v>
      </c>
      <c r="S78" s="2">
        <v>0</v>
      </c>
      <c r="T78" t="s">
        <v>333</v>
      </c>
      <c r="U78" s="6">
        <v>44306</v>
      </c>
      <c r="V78" s="2">
        <v>47037012802</v>
      </c>
      <c r="W78" s="2" t="s">
        <v>68</v>
      </c>
      <c r="X78" s="1">
        <v>45658</v>
      </c>
      <c r="Y78" s="2">
        <v>5883600</v>
      </c>
      <c r="Z78" s="2">
        <v>4324800</v>
      </c>
      <c r="AA78" s="2">
        <v>1558800</v>
      </c>
    </row>
    <row r="79" spans="1:27" x14ac:dyDescent="0.3">
      <c r="A79" s="4" t="s">
        <v>27</v>
      </c>
      <c r="B79" s="2" t="str">
        <f>"08101006000"</f>
        <v>08101006000</v>
      </c>
      <c r="C79" s="2" t="s">
        <v>334</v>
      </c>
      <c r="D79" t="s">
        <v>29</v>
      </c>
      <c r="E79" s="2" t="s">
        <v>30</v>
      </c>
      <c r="F79" s="2">
        <v>37218</v>
      </c>
      <c r="G79" s="2" t="s">
        <v>64</v>
      </c>
      <c r="H79" t="s">
        <v>280</v>
      </c>
      <c r="I79" s="6">
        <v>24313</v>
      </c>
      <c r="J79" s="2" t="s">
        <v>335</v>
      </c>
      <c r="K79" s="2">
        <v>0</v>
      </c>
      <c r="L79" t="s">
        <v>35</v>
      </c>
      <c r="M79" t="s">
        <v>29</v>
      </c>
      <c r="N79" t="s">
        <v>30</v>
      </c>
      <c r="O79">
        <v>37219</v>
      </c>
      <c r="P79" t="s">
        <v>336</v>
      </c>
      <c r="Q79" s="2">
        <v>0.48</v>
      </c>
      <c r="R79" s="2">
        <v>200</v>
      </c>
      <c r="S79" s="2">
        <v>155</v>
      </c>
      <c r="T79" t="s">
        <v>335</v>
      </c>
      <c r="U79" s="6">
        <v>24313</v>
      </c>
      <c r="V79" s="2">
        <v>47037012802</v>
      </c>
      <c r="W79" s="2" t="s">
        <v>68</v>
      </c>
      <c r="X79" s="1">
        <v>45658</v>
      </c>
      <c r="Y79" s="2">
        <v>101000</v>
      </c>
      <c r="Z79" s="2">
        <v>0</v>
      </c>
      <c r="AA79" s="2">
        <v>101000</v>
      </c>
    </row>
    <row r="80" spans="1:27" x14ac:dyDescent="0.3">
      <c r="A80" s="4" t="s">
        <v>27</v>
      </c>
      <c r="B80" s="2" t="str">
        <f>"04900013800"</f>
        <v>04900013800</v>
      </c>
      <c r="C80" s="2" t="s">
        <v>337</v>
      </c>
      <c r="D80" t="s">
        <v>29</v>
      </c>
      <c r="E80" s="2" t="s">
        <v>30</v>
      </c>
      <c r="F80" s="2">
        <v>37218</v>
      </c>
      <c r="G80" s="2" t="s">
        <v>64</v>
      </c>
      <c r="H80" t="s">
        <v>280</v>
      </c>
      <c r="I80" s="6">
        <v>40934</v>
      </c>
      <c r="J80" s="2" t="s">
        <v>338</v>
      </c>
      <c r="K80" s="2">
        <v>0</v>
      </c>
      <c r="L80" t="s">
        <v>35</v>
      </c>
      <c r="M80" t="s">
        <v>29</v>
      </c>
      <c r="N80" t="s">
        <v>30</v>
      </c>
      <c r="O80">
        <v>37219</v>
      </c>
      <c r="P80" t="s">
        <v>339</v>
      </c>
      <c r="Q80" s="2">
        <v>1.83</v>
      </c>
      <c r="R80" s="2">
        <v>0</v>
      </c>
      <c r="S80" s="2">
        <v>0</v>
      </c>
      <c r="T80" t="s">
        <v>340</v>
      </c>
      <c r="U80" s="6">
        <v>26946</v>
      </c>
      <c r="V80" s="2">
        <v>47037010106</v>
      </c>
      <c r="W80" s="2" t="s">
        <v>68</v>
      </c>
      <c r="X80" s="1">
        <v>45658</v>
      </c>
      <c r="Y80" s="2">
        <v>6400</v>
      </c>
      <c r="Z80" s="2">
        <v>0</v>
      </c>
      <c r="AA80" s="2">
        <v>6400</v>
      </c>
    </row>
    <row r="81" spans="1:27" x14ac:dyDescent="0.3">
      <c r="A81" s="4" t="s">
        <v>27</v>
      </c>
      <c r="B81" s="2" t="str">
        <f>"04900013807"</f>
        <v>04900013807</v>
      </c>
      <c r="C81" s="2" t="s">
        <v>341</v>
      </c>
      <c r="D81" t="s">
        <v>29</v>
      </c>
      <c r="E81" s="2" t="s">
        <v>30</v>
      </c>
      <c r="F81" s="2">
        <v>37218</v>
      </c>
      <c r="G81" s="2" t="s">
        <v>64</v>
      </c>
      <c r="H81" t="s">
        <v>280</v>
      </c>
      <c r="I81" s="6">
        <v>43087</v>
      </c>
      <c r="J81" s="2" t="s">
        <v>342</v>
      </c>
      <c r="K81" s="2" t="s">
        <v>34</v>
      </c>
      <c r="L81" t="s">
        <v>343</v>
      </c>
      <c r="M81" t="s">
        <v>29</v>
      </c>
      <c r="N81" t="s">
        <v>30</v>
      </c>
      <c r="O81">
        <v>37201</v>
      </c>
      <c r="P81" t="s">
        <v>344</v>
      </c>
      <c r="Q81" s="2">
        <v>1.1000000000000001</v>
      </c>
      <c r="R81" s="2">
        <v>0</v>
      </c>
      <c r="S81" s="2">
        <v>0</v>
      </c>
      <c r="T81" t="s">
        <v>345</v>
      </c>
      <c r="U81" s="6">
        <v>26655</v>
      </c>
      <c r="V81" s="2">
        <v>47037010106</v>
      </c>
      <c r="W81" s="2" t="s">
        <v>68</v>
      </c>
      <c r="X81" s="1">
        <v>45658</v>
      </c>
      <c r="Y81" s="2">
        <v>143700</v>
      </c>
      <c r="Z81" s="2">
        <v>0</v>
      </c>
      <c r="AA81" s="2">
        <v>143700</v>
      </c>
    </row>
    <row r="82" spans="1:27" x14ac:dyDescent="0.3">
      <c r="A82" s="4" t="s">
        <v>27</v>
      </c>
      <c r="B82" s="2" t="str">
        <f>"06903004200"</f>
        <v>06903004200</v>
      </c>
      <c r="C82" s="2" t="s">
        <v>346</v>
      </c>
      <c r="D82" t="s">
        <v>29</v>
      </c>
      <c r="E82" s="2" t="s">
        <v>30</v>
      </c>
      <c r="F82" s="2">
        <v>37218</v>
      </c>
      <c r="G82" s="2" t="s">
        <v>64</v>
      </c>
      <c r="H82" t="s">
        <v>280</v>
      </c>
      <c r="I82" s="6">
        <v>40682</v>
      </c>
      <c r="J82" s="2" t="s">
        <v>347</v>
      </c>
      <c r="K82" s="2">
        <v>0</v>
      </c>
      <c r="L82" t="s">
        <v>35</v>
      </c>
      <c r="M82" t="s">
        <v>29</v>
      </c>
      <c r="N82" t="s">
        <v>30</v>
      </c>
      <c r="O82">
        <v>37219</v>
      </c>
      <c r="P82" t="s">
        <v>348</v>
      </c>
      <c r="Q82" s="2">
        <v>1.23</v>
      </c>
      <c r="R82" s="2">
        <v>200</v>
      </c>
      <c r="S82" s="2">
        <v>307</v>
      </c>
      <c r="T82" t="s">
        <v>349</v>
      </c>
      <c r="U82" s="6">
        <v>24931</v>
      </c>
      <c r="V82" s="2">
        <v>47037012801</v>
      </c>
      <c r="W82" s="2" t="s">
        <v>68</v>
      </c>
      <c r="X82" s="1">
        <v>45658</v>
      </c>
      <c r="Y82" s="2">
        <v>1800</v>
      </c>
      <c r="Z82" s="2">
        <v>0</v>
      </c>
      <c r="AA82" s="2">
        <v>1800</v>
      </c>
    </row>
    <row r="83" spans="1:27" x14ac:dyDescent="0.3">
      <c r="A83" s="4" t="s">
        <v>27</v>
      </c>
      <c r="B83" s="2" t="str">
        <f>"06903004100"</f>
        <v>06903004100</v>
      </c>
      <c r="C83" s="2" t="s">
        <v>350</v>
      </c>
      <c r="D83" t="s">
        <v>29</v>
      </c>
      <c r="E83" s="2" t="s">
        <v>30</v>
      </c>
      <c r="F83" s="2">
        <v>37218</v>
      </c>
      <c r="G83" s="2" t="s">
        <v>64</v>
      </c>
      <c r="H83" t="s">
        <v>280</v>
      </c>
      <c r="I83" s="6">
        <v>41226</v>
      </c>
      <c r="J83" s="2" t="s">
        <v>351</v>
      </c>
      <c r="K83" s="2">
        <v>0</v>
      </c>
      <c r="L83" t="s">
        <v>35</v>
      </c>
      <c r="M83" t="s">
        <v>29</v>
      </c>
      <c r="N83" t="s">
        <v>30</v>
      </c>
      <c r="O83">
        <v>37219</v>
      </c>
      <c r="P83" t="s">
        <v>352</v>
      </c>
      <c r="Q83" s="2">
        <v>0.91</v>
      </c>
      <c r="R83" s="2">
        <v>354</v>
      </c>
      <c r="S83" s="2">
        <v>116</v>
      </c>
      <c r="T83" t="s">
        <v>353</v>
      </c>
      <c r="U83" s="6">
        <v>24296</v>
      </c>
      <c r="V83" s="2">
        <v>47037012801</v>
      </c>
      <c r="W83" s="2" t="s">
        <v>68</v>
      </c>
      <c r="X83" s="1">
        <v>45658</v>
      </c>
      <c r="Y83" s="2">
        <v>103500</v>
      </c>
      <c r="Z83" s="2">
        <v>0</v>
      </c>
      <c r="AA83" s="2">
        <v>103500</v>
      </c>
    </row>
    <row r="84" spans="1:27" x14ac:dyDescent="0.3">
      <c r="A84" s="4" t="s">
        <v>27</v>
      </c>
      <c r="B84" s="2" t="str">
        <f>"06900008800"</f>
        <v>06900008800</v>
      </c>
      <c r="C84" s="2" t="s">
        <v>354</v>
      </c>
      <c r="D84" t="s">
        <v>29</v>
      </c>
      <c r="E84" s="2" t="s">
        <v>30</v>
      </c>
      <c r="F84" s="2">
        <v>37218</v>
      </c>
      <c r="G84" s="2" t="s">
        <v>31</v>
      </c>
      <c r="H84" t="s">
        <v>280</v>
      </c>
      <c r="I84" s="6">
        <v>24204</v>
      </c>
      <c r="J84" s="2" t="s">
        <v>355</v>
      </c>
      <c r="K84" s="2" t="s">
        <v>34</v>
      </c>
      <c r="L84" t="s">
        <v>35</v>
      </c>
      <c r="M84" t="s">
        <v>29</v>
      </c>
      <c r="N84" t="s">
        <v>30</v>
      </c>
      <c r="O84">
        <v>37219</v>
      </c>
      <c r="P84" t="s">
        <v>356</v>
      </c>
      <c r="Q84" s="2">
        <v>0.83</v>
      </c>
      <c r="R84" s="2">
        <v>100</v>
      </c>
      <c r="S84" s="2">
        <v>475</v>
      </c>
      <c r="T84" t="s">
        <v>355</v>
      </c>
      <c r="U84" s="6">
        <v>24204</v>
      </c>
      <c r="V84" s="2">
        <v>47037012802</v>
      </c>
      <c r="W84" s="2" t="s">
        <v>68</v>
      </c>
      <c r="X84" s="1">
        <v>45658</v>
      </c>
      <c r="Y84" s="2">
        <v>80000</v>
      </c>
      <c r="Z84" s="2">
        <v>0</v>
      </c>
      <c r="AA84" s="2">
        <v>80000</v>
      </c>
    </row>
    <row r="85" spans="1:27" x14ac:dyDescent="0.3">
      <c r="A85" s="4" t="s">
        <v>27</v>
      </c>
      <c r="B85" s="2" t="str">
        <f>"06915002900"</f>
        <v>06915002900</v>
      </c>
      <c r="C85" s="2" t="s">
        <v>357</v>
      </c>
      <c r="D85" t="s">
        <v>29</v>
      </c>
      <c r="E85" s="2" t="s">
        <v>30</v>
      </c>
      <c r="F85" s="2">
        <v>37218</v>
      </c>
      <c r="G85" s="2" t="s">
        <v>64</v>
      </c>
      <c r="H85" t="s">
        <v>280</v>
      </c>
      <c r="I85" s="6">
        <v>24203</v>
      </c>
      <c r="J85" s="2" t="s">
        <v>358</v>
      </c>
      <c r="K85" s="2" t="s">
        <v>34</v>
      </c>
      <c r="L85" t="s">
        <v>35</v>
      </c>
      <c r="M85" t="s">
        <v>29</v>
      </c>
      <c r="N85" t="s">
        <v>30</v>
      </c>
      <c r="O85">
        <v>37219</v>
      </c>
      <c r="P85" t="s">
        <v>359</v>
      </c>
      <c r="Q85" s="2">
        <v>0.19</v>
      </c>
      <c r="R85" s="2">
        <v>30</v>
      </c>
      <c r="S85" s="2">
        <v>222</v>
      </c>
      <c r="T85" t="s">
        <v>358</v>
      </c>
      <c r="U85" s="6">
        <v>24203</v>
      </c>
      <c r="V85" s="2">
        <v>47037012802</v>
      </c>
      <c r="W85" s="2" t="s">
        <v>68</v>
      </c>
      <c r="X85" s="1">
        <v>45658</v>
      </c>
      <c r="Y85" s="2">
        <v>294500</v>
      </c>
      <c r="Z85" s="2">
        <v>0</v>
      </c>
      <c r="AA85" s="2">
        <v>294500</v>
      </c>
    </row>
    <row r="86" spans="1:27" x14ac:dyDescent="0.3">
      <c r="A86" s="4" t="s">
        <v>27</v>
      </c>
      <c r="B86" s="2" t="str">
        <f>"06900007900"</f>
        <v>06900007900</v>
      </c>
      <c r="C86" s="2" t="s">
        <v>360</v>
      </c>
      <c r="D86" t="s">
        <v>29</v>
      </c>
      <c r="E86" s="2" t="s">
        <v>30</v>
      </c>
      <c r="F86" s="2">
        <v>37218</v>
      </c>
      <c r="G86" s="2" t="s">
        <v>31</v>
      </c>
      <c r="H86" t="s">
        <v>280</v>
      </c>
      <c r="I86" s="6">
        <v>40834</v>
      </c>
      <c r="J86" s="2" t="s">
        <v>361</v>
      </c>
      <c r="K86" s="2">
        <v>0</v>
      </c>
      <c r="L86" t="s">
        <v>35</v>
      </c>
      <c r="M86" t="s">
        <v>29</v>
      </c>
      <c r="N86" t="s">
        <v>30</v>
      </c>
      <c r="O86">
        <v>37219</v>
      </c>
      <c r="P86" t="s">
        <v>362</v>
      </c>
      <c r="Q86" s="2">
        <v>22.17</v>
      </c>
      <c r="R86" s="2">
        <v>0</v>
      </c>
      <c r="S86" s="2">
        <v>0</v>
      </c>
      <c r="T86" t="s">
        <v>189</v>
      </c>
      <c r="U86" s="6">
        <v>33816</v>
      </c>
      <c r="V86" s="2">
        <v>47037012802</v>
      </c>
      <c r="W86" s="2" t="s">
        <v>68</v>
      </c>
      <c r="X86" s="1">
        <v>45658</v>
      </c>
      <c r="Y86" s="2">
        <v>411700</v>
      </c>
      <c r="Z86" s="2">
        <v>0</v>
      </c>
      <c r="AA86" s="2">
        <v>411700</v>
      </c>
    </row>
    <row r="87" spans="1:27" x14ac:dyDescent="0.3">
      <c r="A87" s="4" t="s">
        <v>27</v>
      </c>
      <c r="B87" s="2" t="str">
        <f>"04900009200"</f>
        <v>04900009200</v>
      </c>
      <c r="C87" s="2" t="s">
        <v>363</v>
      </c>
      <c r="D87" t="s">
        <v>103</v>
      </c>
      <c r="E87" s="2" t="s">
        <v>30</v>
      </c>
      <c r="F87" s="2">
        <v>37189</v>
      </c>
      <c r="G87" s="2" t="s">
        <v>64</v>
      </c>
      <c r="H87" t="s">
        <v>280</v>
      </c>
      <c r="I87" s="6">
        <v>40982</v>
      </c>
      <c r="J87" s="2" t="s">
        <v>364</v>
      </c>
      <c r="K87" s="2">
        <v>0</v>
      </c>
      <c r="L87" t="s">
        <v>35</v>
      </c>
      <c r="M87" t="s">
        <v>29</v>
      </c>
      <c r="N87" t="s">
        <v>30</v>
      </c>
      <c r="O87">
        <v>37219</v>
      </c>
      <c r="P87" t="s">
        <v>365</v>
      </c>
      <c r="Q87" s="2">
        <v>0.35</v>
      </c>
      <c r="R87" s="2">
        <v>64</v>
      </c>
      <c r="S87" s="2">
        <v>224</v>
      </c>
      <c r="T87" t="s">
        <v>366</v>
      </c>
      <c r="U87" s="6">
        <v>36173</v>
      </c>
      <c r="V87" s="2">
        <v>47037010106</v>
      </c>
      <c r="W87" s="2" t="s">
        <v>68</v>
      </c>
      <c r="X87" s="1">
        <v>45658</v>
      </c>
      <c r="Y87" s="2">
        <v>125300</v>
      </c>
      <c r="Z87" s="2">
        <v>0</v>
      </c>
      <c r="AA87" s="2">
        <v>125300</v>
      </c>
    </row>
    <row r="88" spans="1:27" x14ac:dyDescent="0.3">
      <c r="A88" s="4" t="s">
        <v>27</v>
      </c>
      <c r="B88" s="2" t="str">
        <f>"04900009000"</f>
        <v>04900009000</v>
      </c>
      <c r="C88" s="2" t="s">
        <v>367</v>
      </c>
      <c r="D88" t="s">
        <v>103</v>
      </c>
      <c r="E88" s="2" t="s">
        <v>30</v>
      </c>
      <c r="F88" s="2">
        <v>37189</v>
      </c>
      <c r="G88" s="2" t="s">
        <v>64</v>
      </c>
      <c r="H88" t="s">
        <v>280</v>
      </c>
      <c r="I88" s="6">
        <v>41128</v>
      </c>
      <c r="J88" s="2" t="s">
        <v>368</v>
      </c>
      <c r="K88" s="2">
        <v>0</v>
      </c>
      <c r="L88" t="s">
        <v>35</v>
      </c>
      <c r="M88" t="s">
        <v>29</v>
      </c>
      <c r="N88" t="s">
        <v>30</v>
      </c>
      <c r="O88">
        <v>37219</v>
      </c>
      <c r="P88" t="s">
        <v>339</v>
      </c>
      <c r="Q88" s="2">
        <v>0.36</v>
      </c>
      <c r="R88" s="2">
        <v>124</v>
      </c>
      <c r="S88" s="2">
        <v>195</v>
      </c>
      <c r="T88" t="s">
        <v>369</v>
      </c>
      <c r="U88" s="6">
        <v>34295</v>
      </c>
      <c r="V88" s="2">
        <v>47037010106</v>
      </c>
      <c r="W88" s="2" t="s">
        <v>68</v>
      </c>
      <c r="X88" s="1">
        <v>45658</v>
      </c>
      <c r="Y88" s="2">
        <v>125300</v>
      </c>
      <c r="Z88" s="2">
        <v>0</v>
      </c>
      <c r="AA88" s="2">
        <v>125300</v>
      </c>
    </row>
    <row r="89" spans="1:27" x14ac:dyDescent="0.3">
      <c r="A89" s="4" t="s">
        <v>27</v>
      </c>
      <c r="B89" s="2" t="str">
        <f>"04900009300"</f>
        <v>04900009300</v>
      </c>
      <c r="C89" s="2" t="s">
        <v>370</v>
      </c>
      <c r="D89" t="s">
        <v>103</v>
      </c>
      <c r="E89" s="2" t="s">
        <v>30</v>
      </c>
      <c r="F89" s="2">
        <v>37189</v>
      </c>
      <c r="G89" s="2" t="s">
        <v>64</v>
      </c>
      <c r="H89" t="s">
        <v>280</v>
      </c>
      <c r="I89" s="6">
        <v>40938</v>
      </c>
      <c r="J89" s="2" t="s">
        <v>371</v>
      </c>
      <c r="K89" s="2">
        <v>0</v>
      </c>
      <c r="L89" t="s">
        <v>35</v>
      </c>
      <c r="M89" t="s">
        <v>29</v>
      </c>
      <c r="N89" t="s">
        <v>30</v>
      </c>
      <c r="O89">
        <v>37219</v>
      </c>
      <c r="P89" t="s">
        <v>339</v>
      </c>
      <c r="Q89" s="2">
        <v>0.87</v>
      </c>
      <c r="R89" s="2">
        <v>186</v>
      </c>
      <c r="S89" s="2">
        <v>200</v>
      </c>
      <c r="T89" t="s">
        <v>372</v>
      </c>
      <c r="U89" s="6">
        <v>23827</v>
      </c>
      <c r="V89" s="2">
        <v>47037010106</v>
      </c>
      <c r="W89" s="2" t="s">
        <v>68</v>
      </c>
      <c r="X89" s="1">
        <v>45658</v>
      </c>
      <c r="Y89" s="2">
        <v>3500</v>
      </c>
      <c r="Z89" s="2">
        <v>0</v>
      </c>
      <c r="AA89" s="2">
        <v>3500</v>
      </c>
    </row>
    <row r="90" spans="1:27" x14ac:dyDescent="0.3">
      <c r="A90" s="4" t="s">
        <v>27</v>
      </c>
      <c r="B90" s="2" t="str">
        <f>"04700017000"</f>
        <v>04700017000</v>
      </c>
      <c r="C90" s="2" t="s">
        <v>373</v>
      </c>
      <c r="D90" t="s">
        <v>29</v>
      </c>
      <c r="E90" s="2" t="s">
        <v>30</v>
      </c>
      <c r="F90" s="2">
        <v>37218</v>
      </c>
      <c r="G90" s="2" t="s">
        <v>31</v>
      </c>
      <c r="H90" t="s">
        <v>374</v>
      </c>
      <c r="I90" s="6">
        <v>39443</v>
      </c>
      <c r="J90" s="2" t="s">
        <v>375</v>
      </c>
      <c r="K90" s="2">
        <v>0</v>
      </c>
      <c r="L90" t="s">
        <v>35</v>
      </c>
      <c r="M90" t="s">
        <v>29</v>
      </c>
      <c r="N90" t="s">
        <v>30</v>
      </c>
      <c r="O90">
        <v>37219</v>
      </c>
      <c r="P90" t="s">
        <v>376</v>
      </c>
      <c r="Q90" s="2">
        <v>170.82</v>
      </c>
      <c r="R90" s="2">
        <v>135</v>
      </c>
      <c r="S90" s="2">
        <v>0</v>
      </c>
      <c r="T90" t="s">
        <v>377</v>
      </c>
      <c r="U90" s="6">
        <v>39072</v>
      </c>
      <c r="V90" s="2">
        <v>47037013100</v>
      </c>
      <c r="W90" s="2" t="s">
        <v>38</v>
      </c>
      <c r="X90" s="1">
        <v>45658</v>
      </c>
      <c r="Y90" s="2">
        <v>598000</v>
      </c>
      <c r="Z90" s="2">
        <v>0</v>
      </c>
      <c r="AA90" s="2">
        <v>598000</v>
      </c>
    </row>
    <row r="91" spans="1:27" x14ac:dyDescent="0.3">
      <c r="A91" s="4" t="s">
        <v>27</v>
      </c>
      <c r="B91" s="2" t="str">
        <f>"04700017100"</f>
        <v>04700017100</v>
      </c>
      <c r="C91" s="2" t="s">
        <v>28</v>
      </c>
      <c r="D91" t="s">
        <v>29</v>
      </c>
      <c r="E91" s="2" t="s">
        <v>30</v>
      </c>
      <c r="F91" s="2">
        <v>37218</v>
      </c>
      <c r="G91" s="2" t="s">
        <v>194</v>
      </c>
      <c r="H91" t="s">
        <v>374</v>
      </c>
      <c r="I91" s="6">
        <v>39443</v>
      </c>
      <c r="J91" s="2" t="s">
        <v>375</v>
      </c>
      <c r="K91" s="2">
        <v>0</v>
      </c>
      <c r="L91" t="s">
        <v>35</v>
      </c>
      <c r="M91" t="s">
        <v>29</v>
      </c>
      <c r="N91" t="s">
        <v>30</v>
      </c>
      <c r="O91">
        <v>37219</v>
      </c>
      <c r="P91" t="s">
        <v>376</v>
      </c>
      <c r="Q91" s="2">
        <v>18.329999999999998</v>
      </c>
      <c r="R91" s="2">
        <v>100</v>
      </c>
      <c r="S91" s="2">
        <v>0</v>
      </c>
      <c r="T91" t="s">
        <v>377</v>
      </c>
      <c r="U91" s="6">
        <v>39072</v>
      </c>
      <c r="V91" s="2">
        <v>47037013100</v>
      </c>
      <c r="W91" s="2" t="s">
        <v>38</v>
      </c>
      <c r="X91" s="1">
        <v>45658</v>
      </c>
      <c r="Y91" s="2">
        <v>314200</v>
      </c>
      <c r="Z91" s="2">
        <v>50000</v>
      </c>
      <c r="AA91" s="2">
        <v>264200</v>
      </c>
    </row>
    <row r="92" spans="1:27" x14ac:dyDescent="0.3">
      <c r="A92" s="4" t="s">
        <v>27</v>
      </c>
      <c r="B92" s="2" t="str">
        <f>"07001004700"</f>
        <v>07001004700</v>
      </c>
      <c r="C92" s="2" t="s">
        <v>378</v>
      </c>
      <c r="D92" t="s">
        <v>29</v>
      </c>
      <c r="E92" s="2" t="s">
        <v>30</v>
      </c>
      <c r="F92" s="2">
        <v>37218</v>
      </c>
      <c r="G92" s="2" t="s">
        <v>64</v>
      </c>
      <c r="H92" t="s">
        <v>379</v>
      </c>
      <c r="I92" s="6">
        <v>43993</v>
      </c>
      <c r="J92" s="2" t="s">
        <v>380</v>
      </c>
      <c r="K92" s="2" t="s">
        <v>34</v>
      </c>
      <c r="L92" t="s">
        <v>315</v>
      </c>
      <c r="M92" t="s">
        <v>29</v>
      </c>
      <c r="N92" t="s">
        <v>30</v>
      </c>
      <c r="O92">
        <v>37208</v>
      </c>
      <c r="P92" t="s">
        <v>381</v>
      </c>
      <c r="Q92" s="2">
        <v>1.32</v>
      </c>
      <c r="R92" s="2">
        <v>91</v>
      </c>
      <c r="S92" s="2">
        <v>622</v>
      </c>
      <c r="T92" t="s">
        <v>382</v>
      </c>
      <c r="U92" s="6">
        <v>25386</v>
      </c>
      <c r="V92" s="2">
        <v>47037012801</v>
      </c>
      <c r="W92" s="2" t="s">
        <v>68</v>
      </c>
      <c r="X92" s="1">
        <v>45658</v>
      </c>
      <c r="Y92" s="2">
        <v>61300</v>
      </c>
      <c r="Z92" s="2">
        <v>0</v>
      </c>
      <c r="AA92" s="2">
        <v>61300</v>
      </c>
    </row>
    <row r="93" spans="1:27" x14ac:dyDescent="0.3">
      <c r="A93" s="4" t="s">
        <v>27</v>
      </c>
      <c r="B93" s="2" t="str">
        <f>"04900013809"</f>
        <v>04900013809</v>
      </c>
      <c r="C93" s="2" t="s">
        <v>383</v>
      </c>
      <c r="D93" t="s">
        <v>29</v>
      </c>
      <c r="E93" s="2" t="s">
        <v>30</v>
      </c>
      <c r="F93" s="2">
        <v>37218</v>
      </c>
      <c r="G93" s="2" t="s">
        <v>64</v>
      </c>
      <c r="H93" t="s">
        <v>379</v>
      </c>
      <c r="I93" s="6">
        <v>43943</v>
      </c>
      <c r="J93" s="2" t="s">
        <v>384</v>
      </c>
      <c r="K93" s="2" t="s">
        <v>34</v>
      </c>
      <c r="L93" t="s">
        <v>315</v>
      </c>
      <c r="M93" t="s">
        <v>29</v>
      </c>
      <c r="N93" t="s">
        <v>30</v>
      </c>
      <c r="O93">
        <v>37208</v>
      </c>
      <c r="P93" t="s">
        <v>344</v>
      </c>
      <c r="Q93" s="2">
        <v>1.06</v>
      </c>
      <c r="R93" s="2">
        <v>0</v>
      </c>
      <c r="S93" s="2">
        <v>0</v>
      </c>
      <c r="T93" t="s">
        <v>385</v>
      </c>
      <c r="U93" s="6">
        <v>26837</v>
      </c>
      <c r="V93" s="2">
        <v>47037010106</v>
      </c>
      <c r="W93" s="2" t="s">
        <v>68</v>
      </c>
      <c r="X93" s="1">
        <v>45658</v>
      </c>
      <c r="Y93" s="2">
        <v>141300</v>
      </c>
      <c r="Z93" s="2">
        <v>0</v>
      </c>
      <c r="AA93" s="2">
        <v>141300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25DC-2908-4E1E-912F-BBC2B566927B}">
  <sheetPr>
    <tabColor rgb="FF002060"/>
  </sheetPr>
  <dimension ref="A1:AA119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19</v>
      </c>
      <c r="B2" s="2" t="str">
        <f>"09208010500"</f>
        <v>09208010500</v>
      </c>
      <c r="C2" s="2" t="s">
        <v>4865</v>
      </c>
      <c r="D2" t="s">
        <v>29</v>
      </c>
      <c r="E2" s="2" t="s">
        <v>30</v>
      </c>
      <c r="F2" s="2">
        <v>37203</v>
      </c>
      <c r="G2" s="2" t="s">
        <v>2490</v>
      </c>
      <c r="H2" t="s">
        <v>32</v>
      </c>
      <c r="I2" s="6">
        <v>42941</v>
      </c>
      <c r="J2" s="2" t="s">
        <v>4866</v>
      </c>
      <c r="K2" s="2" t="s">
        <v>34</v>
      </c>
      <c r="L2" t="s">
        <v>35</v>
      </c>
      <c r="M2" t="s">
        <v>29</v>
      </c>
      <c r="N2" t="s">
        <v>30</v>
      </c>
      <c r="O2">
        <v>37219</v>
      </c>
      <c r="P2" t="s">
        <v>4867</v>
      </c>
      <c r="Q2" s="2">
        <v>0.2</v>
      </c>
      <c r="R2" s="2">
        <v>50</v>
      </c>
      <c r="S2" s="2">
        <v>160</v>
      </c>
      <c r="T2" t="s">
        <v>4868</v>
      </c>
      <c r="U2" s="6">
        <v>24979</v>
      </c>
      <c r="V2" s="2">
        <v>47037014400</v>
      </c>
      <c r="W2" s="2" t="s">
        <v>68</v>
      </c>
      <c r="X2" s="1">
        <v>45658</v>
      </c>
      <c r="Y2" s="2">
        <v>739300</v>
      </c>
      <c r="Z2" s="2">
        <v>19300</v>
      </c>
      <c r="AA2" s="2">
        <v>720000</v>
      </c>
    </row>
    <row r="3" spans="1:27" x14ac:dyDescent="0.3">
      <c r="A3" s="3">
        <v>19</v>
      </c>
      <c r="B3" s="2" t="str">
        <f>"09208010400"</f>
        <v>09208010400</v>
      </c>
      <c r="C3" s="2" t="s">
        <v>4869</v>
      </c>
      <c r="D3" t="s">
        <v>29</v>
      </c>
      <c r="E3" s="2" t="s">
        <v>30</v>
      </c>
      <c r="F3" s="2">
        <v>37203</v>
      </c>
      <c r="G3" s="2" t="s">
        <v>41</v>
      </c>
      <c r="H3" t="s">
        <v>32</v>
      </c>
      <c r="I3" s="6">
        <v>42941</v>
      </c>
      <c r="J3" s="2" t="s">
        <v>4866</v>
      </c>
      <c r="K3" s="2" t="s">
        <v>34</v>
      </c>
      <c r="L3" t="s">
        <v>35</v>
      </c>
      <c r="M3" t="s">
        <v>29</v>
      </c>
      <c r="N3" t="s">
        <v>30</v>
      </c>
      <c r="O3">
        <v>37219</v>
      </c>
      <c r="P3" t="s">
        <v>4870</v>
      </c>
      <c r="Q3" s="2">
        <v>0.16</v>
      </c>
      <c r="R3" s="2">
        <v>39</v>
      </c>
      <c r="S3" s="2">
        <v>160</v>
      </c>
      <c r="T3" t="s">
        <v>4871</v>
      </c>
      <c r="U3" s="6">
        <v>24784</v>
      </c>
      <c r="V3" s="2">
        <v>47037014400</v>
      </c>
      <c r="W3" s="2" t="s">
        <v>68</v>
      </c>
      <c r="X3" s="1">
        <v>45658</v>
      </c>
      <c r="Y3" s="2">
        <v>561600</v>
      </c>
      <c r="Z3" s="2">
        <v>0</v>
      </c>
      <c r="AA3" s="2">
        <v>561600</v>
      </c>
    </row>
    <row r="4" spans="1:27" x14ac:dyDescent="0.3">
      <c r="A4" s="3">
        <v>19</v>
      </c>
      <c r="B4" s="2" t="str">
        <f>"09311011000"</f>
        <v>09311011000</v>
      </c>
      <c r="C4" s="2" t="s">
        <v>4872</v>
      </c>
      <c r="D4" t="s">
        <v>29</v>
      </c>
      <c r="E4" s="2" t="s">
        <v>30</v>
      </c>
      <c r="F4" s="2">
        <v>37210</v>
      </c>
      <c r="G4" s="2" t="s">
        <v>1485</v>
      </c>
      <c r="H4" t="s">
        <v>32</v>
      </c>
      <c r="I4" s="6">
        <v>42356</v>
      </c>
      <c r="J4" s="2" t="s">
        <v>4873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4874</v>
      </c>
      <c r="Q4" s="2">
        <v>0.75</v>
      </c>
      <c r="R4" s="2">
        <v>300</v>
      </c>
      <c r="S4" s="2">
        <v>182</v>
      </c>
      <c r="T4" t="s">
        <v>4875</v>
      </c>
      <c r="U4" s="6">
        <v>19917</v>
      </c>
      <c r="V4" s="2">
        <v>47037019500</v>
      </c>
      <c r="W4" s="2" t="s">
        <v>68</v>
      </c>
      <c r="X4" s="1">
        <v>45658</v>
      </c>
      <c r="Y4" s="2">
        <v>84400</v>
      </c>
      <c r="Z4" s="2">
        <v>0</v>
      </c>
      <c r="AA4" s="2">
        <v>84400</v>
      </c>
    </row>
    <row r="5" spans="1:27" x14ac:dyDescent="0.3">
      <c r="A5" s="3">
        <v>19</v>
      </c>
      <c r="B5" s="2" t="str">
        <f>"09311011100"</f>
        <v>09311011100</v>
      </c>
      <c r="C5" s="2" t="s">
        <v>4872</v>
      </c>
      <c r="D5" t="s">
        <v>29</v>
      </c>
      <c r="E5" s="2" t="s">
        <v>30</v>
      </c>
      <c r="F5" s="2">
        <v>37210</v>
      </c>
      <c r="G5" s="2" t="s">
        <v>41</v>
      </c>
      <c r="H5" t="s">
        <v>32</v>
      </c>
      <c r="I5" s="6">
        <v>42356</v>
      </c>
      <c r="J5" s="2" t="s">
        <v>4873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4876</v>
      </c>
      <c r="Q5" s="2">
        <v>6.77</v>
      </c>
      <c r="R5" s="2">
        <v>0</v>
      </c>
      <c r="S5" s="2">
        <v>0</v>
      </c>
      <c r="T5" t="s">
        <v>4877</v>
      </c>
      <c r="U5" s="6">
        <v>25454</v>
      </c>
      <c r="V5" s="2">
        <v>47037019500</v>
      </c>
      <c r="W5" s="2" t="s">
        <v>68</v>
      </c>
      <c r="X5" s="1">
        <v>45658</v>
      </c>
      <c r="Y5" s="2">
        <v>761600</v>
      </c>
      <c r="Z5" s="2">
        <v>0</v>
      </c>
      <c r="AA5" s="2">
        <v>761600</v>
      </c>
    </row>
    <row r="6" spans="1:27" x14ac:dyDescent="0.3">
      <c r="A6" s="3">
        <v>19</v>
      </c>
      <c r="B6" s="2" t="str">
        <f>"09311024300"</f>
        <v>09311024300</v>
      </c>
      <c r="C6" s="2" t="s">
        <v>4872</v>
      </c>
      <c r="D6" t="s">
        <v>29</v>
      </c>
      <c r="E6" s="2" t="s">
        <v>30</v>
      </c>
      <c r="F6" s="2">
        <v>37210</v>
      </c>
      <c r="G6" s="2" t="s">
        <v>1485</v>
      </c>
      <c r="H6" t="s">
        <v>32</v>
      </c>
      <c r="I6" s="6">
        <v>42356</v>
      </c>
      <c r="J6" s="2" t="s">
        <v>4873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4878</v>
      </c>
      <c r="Q6" s="2">
        <v>1.79</v>
      </c>
      <c r="R6" s="2">
        <v>0</v>
      </c>
      <c r="S6" s="2">
        <v>0</v>
      </c>
      <c r="T6" t="s">
        <v>4879</v>
      </c>
      <c r="U6" s="6">
        <v>30105</v>
      </c>
      <c r="V6" s="2">
        <v>47037019500</v>
      </c>
      <c r="W6" s="2" t="s">
        <v>68</v>
      </c>
      <c r="X6" s="1">
        <v>45658</v>
      </c>
      <c r="Y6" s="2">
        <v>201400</v>
      </c>
      <c r="Z6" s="2">
        <v>0</v>
      </c>
      <c r="AA6" s="2">
        <v>201400</v>
      </c>
    </row>
    <row r="7" spans="1:27" x14ac:dyDescent="0.3">
      <c r="A7" s="3">
        <v>19</v>
      </c>
      <c r="B7" s="2" t="str">
        <f>"09311011200"</f>
        <v>09311011200</v>
      </c>
      <c r="C7" s="2" t="s">
        <v>4880</v>
      </c>
      <c r="D7" t="s">
        <v>29</v>
      </c>
      <c r="E7" s="2" t="s">
        <v>30</v>
      </c>
      <c r="F7" s="2">
        <v>37210</v>
      </c>
      <c r="G7" s="2" t="s">
        <v>2490</v>
      </c>
      <c r="H7" t="s">
        <v>32</v>
      </c>
      <c r="I7" s="6">
        <v>42356</v>
      </c>
      <c r="J7" s="2" t="s">
        <v>4873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4881</v>
      </c>
      <c r="Q7" s="2">
        <v>3.57</v>
      </c>
      <c r="R7" s="2">
        <v>0</v>
      </c>
      <c r="S7" s="2">
        <v>0</v>
      </c>
      <c r="T7" t="s">
        <v>4882</v>
      </c>
      <c r="U7" s="6">
        <v>30105</v>
      </c>
      <c r="V7" s="2">
        <v>47037019500</v>
      </c>
      <c r="W7" s="2" t="s">
        <v>68</v>
      </c>
      <c r="X7" s="1">
        <v>45658</v>
      </c>
      <c r="Y7" s="2">
        <v>599200</v>
      </c>
      <c r="Z7" s="2">
        <v>63700</v>
      </c>
      <c r="AA7" s="2">
        <v>535500</v>
      </c>
    </row>
    <row r="8" spans="1:27" x14ac:dyDescent="0.3">
      <c r="A8" s="3">
        <v>19</v>
      </c>
      <c r="B8" s="2" t="str">
        <f>"09312001600"</f>
        <v>09312001600</v>
      </c>
      <c r="C8" s="2" t="s">
        <v>4872</v>
      </c>
      <c r="D8" t="s">
        <v>29</v>
      </c>
      <c r="E8" s="2" t="s">
        <v>30</v>
      </c>
      <c r="F8" s="2">
        <v>37210</v>
      </c>
      <c r="G8" s="2" t="s">
        <v>41</v>
      </c>
      <c r="H8" t="s">
        <v>32</v>
      </c>
      <c r="I8" s="6">
        <v>42356</v>
      </c>
      <c r="J8" s="2" t="s">
        <v>4873</v>
      </c>
      <c r="K8" s="2">
        <v>0</v>
      </c>
      <c r="L8" t="s">
        <v>35</v>
      </c>
      <c r="M8" t="s">
        <v>29</v>
      </c>
      <c r="N8" t="s">
        <v>30</v>
      </c>
      <c r="O8">
        <v>37219</v>
      </c>
      <c r="P8" t="s">
        <v>4881</v>
      </c>
      <c r="Q8" s="2">
        <v>0.2</v>
      </c>
      <c r="R8" s="2">
        <v>195</v>
      </c>
      <c r="S8" s="2">
        <v>160</v>
      </c>
      <c r="T8" t="s">
        <v>4879</v>
      </c>
      <c r="U8" s="6">
        <v>30105</v>
      </c>
      <c r="V8" s="2">
        <v>47037019500</v>
      </c>
      <c r="W8" s="2" t="s">
        <v>68</v>
      </c>
      <c r="X8" s="1">
        <v>45658</v>
      </c>
      <c r="Y8" s="2">
        <v>40000</v>
      </c>
      <c r="Z8" s="2">
        <v>0</v>
      </c>
      <c r="AA8" s="2">
        <v>40000</v>
      </c>
    </row>
    <row r="9" spans="1:27" x14ac:dyDescent="0.3">
      <c r="A9" s="3">
        <v>19</v>
      </c>
      <c r="B9" s="2" t="str">
        <f>"09315000500"</f>
        <v>09315000500</v>
      </c>
      <c r="C9" s="2" t="s">
        <v>4883</v>
      </c>
      <c r="D9" t="s">
        <v>29</v>
      </c>
      <c r="E9" s="2" t="s">
        <v>30</v>
      </c>
      <c r="F9" s="2">
        <v>37210</v>
      </c>
      <c r="G9" s="2" t="s">
        <v>41</v>
      </c>
      <c r="H9" t="s">
        <v>32</v>
      </c>
      <c r="I9" s="6">
        <v>41890</v>
      </c>
      <c r="J9" s="2" t="s">
        <v>4884</v>
      </c>
      <c r="K9" s="2">
        <v>0</v>
      </c>
      <c r="L9" t="s">
        <v>35</v>
      </c>
      <c r="M9" t="s">
        <v>29</v>
      </c>
      <c r="N9" t="s">
        <v>30</v>
      </c>
      <c r="O9">
        <v>37219</v>
      </c>
      <c r="P9" t="s">
        <v>4885</v>
      </c>
      <c r="Q9" s="2">
        <v>0.22</v>
      </c>
      <c r="R9" s="2">
        <v>60</v>
      </c>
      <c r="S9" s="2">
        <v>165</v>
      </c>
      <c r="T9" t="s">
        <v>4886</v>
      </c>
      <c r="U9" s="6">
        <v>5786</v>
      </c>
      <c r="V9" s="2">
        <v>47037019500</v>
      </c>
      <c r="W9" s="2" t="s">
        <v>68</v>
      </c>
      <c r="X9" s="1">
        <v>45658</v>
      </c>
      <c r="Y9" s="2">
        <v>2632500</v>
      </c>
      <c r="Z9" s="2">
        <v>0</v>
      </c>
      <c r="AA9" s="2">
        <v>2632500</v>
      </c>
    </row>
    <row r="10" spans="1:27" x14ac:dyDescent="0.3">
      <c r="A10" s="3">
        <v>19</v>
      </c>
      <c r="B10" s="2" t="str">
        <f>"09305020300"</f>
        <v>09305020300</v>
      </c>
      <c r="C10" s="2" t="s">
        <v>4887</v>
      </c>
      <c r="D10" t="s">
        <v>29</v>
      </c>
      <c r="E10" s="2" t="s">
        <v>30</v>
      </c>
      <c r="F10" s="2">
        <v>37203</v>
      </c>
      <c r="G10" s="2" t="s">
        <v>41</v>
      </c>
      <c r="H10" t="s">
        <v>32</v>
      </c>
      <c r="I10" s="6">
        <v>43972</v>
      </c>
      <c r="J10" s="2" t="s">
        <v>4888</v>
      </c>
      <c r="K10" s="2">
        <v>0</v>
      </c>
      <c r="L10" t="s">
        <v>4889</v>
      </c>
      <c r="M10" t="s">
        <v>29</v>
      </c>
      <c r="N10" t="s">
        <v>30</v>
      </c>
      <c r="O10">
        <v>37219</v>
      </c>
      <c r="P10" t="s">
        <v>4890</v>
      </c>
      <c r="Q10" s="2">
        <v>0.14000000000000001</v>
      </c>
      <c r="R10" s="2">
        <v>13</v>
      </c>
      <c r="S10" s="2">
        <v>451</v>
      </c>
      <c r="T10" t="s">
        <v>4891</v>
      </c>
      <c r="U10" s="6">
        <v>42856</v>
      </c>
      <c r="V10" s="2">
        <v>47037019400</v>
      </c>
      <c r="W10" s="2" t="s">
        <v>68</v>
      </c>
      <c r="X10" s="1">
        <v>45658</v>
      </c>
      <c r="Y10" s="2">
        <v>800400</v>
      </c>
      <c r="Z10" s="2">
        <v>0</v>
      </c>
      <c r="AA10" s="2">
        <v>800400</v>
      </c>
    </row>
    <row r="11" spans="1:27" x14ac:dyDescent="0.3">
      <c r="A11" s="3">
        <v>19</v>
      </c>
      <c r="B11" s="2" t="str">
        <f>"09307004600"</f>
        <v>09307004600</v>
      </c>
      <c r="C11" s="2" t="s">
        <v>4892</v>
      </c>
      <c r="D11" t="s">
        <v>29</v>
      </c>
      <c r="E11" s="2" t="s">
        <v>30</v>
      </c>
      <c r="F11" s="2">
        <v>37213</v>
      </c>
      <c r="G11" s="2" t="s">
        <v>2490</v>
      </c>
      <c r="H11" t="s">
        <v>32</v>
      </c>
      <c r="I11" s="6">
        <v>45163</v>
      </c>
      <c r="J11" s="2" t="s">
        <v>4893</v>
      </c>
      <c r="K11" s="2" t="s">
        <v>34</v>
      </c>
      <c r="L11" t="s">
        <v>85</v>
      </c>
      <c r="M11" t="s">
        <v>29</v>
      </c>
      <c r="N11" t="s">
        <v>30</v>
      </c>
      <c r="O11">
        <v>37219</v>
      </c>
      <c r="P11" t="s">
        <v>4894</v>
      </c>
      <c r="Q11" s="2">
        <v>3.42</v>
      </c>
      <c r="R11" s="2">
        <v>0</v>
      </c>
      <c r="S11" s="2">
        <v>0</v>
      </c>
      <c r="T11" t="s">
        <v>4895</v>
      </c>
      <c r="U11" s="6">
        <v>40448</v>
      </c>
      <c r="V11" s="2">
        <v>47037019300</v>
      </c>
      <c r="W11" s="2" t="s">
        <v>68</v>
      </c>
      <c r="X11" s="1">
        <v>45658</v>
      </c>
      <c r="Y11" s="2">
        <v>14930600</v>
      </c>
      <c r="Z11" s="2">
        <v>405500</v>
      </c>
      <c r="AA11" s="2">
        <v>14525100</v>
      </c>
    </row>
    <row r="12" spans="1:27" x14ac:dyDescent="0.3">
      <c r="A12" s="3">
        <v>19</v>
      </c>
      <c r="B12" s="2" t="str">
        <f>"09303015300"</f>
        <v>09303015300</v>
      </c>
      <c r="C12" s="2" t="s">
        <v>4896</v>
      </c>
      <c r="D12" t="s">
        <v>29</v>
      </c>
      <c r="E12" s="2" t="s">
        <v>30</v>
      </c>
      <c r="F12" s="2">
        <v>37213</v>
      </c>
      <c r="G12" s="2" t="s">
        <v>2490</v>
      </c>
      <c r="H12" t="s">
        <v>32</v>
      </c>
      <c r="I12" s="6">
        <v>45163</v>
      </c>
      <c r="J12" s="2" t="s">
        <v>4893</v>
      </c>
      <c r="K12" s="2" t="s">
        <v>34</v>
      </c>
      <c r="L12" t="s">
        <v>85</v>
      </c>
      <c r="M12" t="s">
        <v>29</v>
      </c>
      <c r="N12" t="s">
        <v>30</v>
      </c>
      <c r="O12">
        <v>37219</v>
      </c>
      <c r="P12" t="s">
        <v>4897</v>
      </c>
      <c r="Q12" s="2">
        <v>4.16</v>
      </c>
      <c r="R12" s="2">
        <v>119</v>
      </c>
      <c r="S12" s="2">
        <v>616</v>
      </c>
      <c r="T12" t="s">
        <v>4898</v>
      </c>
      <c r="U12" s="6">
        <v>36381</v>
      </c>
      <c r="V12" s="2">
        <v>47037019300</v>
      </c>
      <c r="W12" s="2" t="s">
        <v>68</v>
      </c>
      <c r="X12" s="1">
        <v>45658</v>
      </c>
      <c r="Y12" s="2">
        <v>18072600</v>
      </c>
      <c r="Z12" s="2">
        <v>404600</v>
      </c>
      <c r="AA12" s="2">
        <v>17668000</v>
      </c>
    </row>
    <row r="13" spans="1:27" x14ac:dyDescent="0.3">
      <c r="A13" s="3">
        <v>19</v>
      </c>
      <c r="B13" s="2" t="str">
        <f>"08215003000"</f>
        <v>08215003000</v>
      </c>
      <c r="C13" s="2" t="s">
        <v>4899</v>
      </c>
      <c r="D13" t="s">
        <v>29</v>
      </c>
      <c r="E13" s="2" t="s">
        <v>30</v>
      </c>
      <c r="F13" s="2">
        <v>37213</v>
      </c>
      <c r="G13" s="2" t="s">
        <v>2490</v>
      </c>
      <c r="H13" t="s">
        <v>32</v>
      </c>
      <c r="I13" s="6">
        <v>45163</v>
      </c>
      <c r="J13" s="2" t="s">
        <v>4893</v>
      </c>
      <c r="K13" s="2" t="s">
        <v>34</v>
      </c>
      <c r="L13" t="s">
        <v>85</v>
      </c>
      <c r="M13" t="s">
        <v>29</v>
      </c>
      <c r="N13" t="s">
        <v>30</v>
      </c>
      <c r="O13">
        <v>37219</v>
      </c>
      <c r="P13" t="s">
        <v>4900</v>
      </c>
      <c r="Q13" s="2">
        <v>2.5499999999999998</v>
      </c>
      <c r="R13" s="2">
        <v>312</v>
      </c>
      <c r="S13" s="2">
        <v>302</v>
      </c>
      <c r="T13" t="s">
        <v>4901</v>
      </c>
      <c r="U13" s="6">
        <v>36381</v>
      </c>
      <c r="V13" s="2">
        <v>47037019300</v>
      </c>
      <c r="W13" s="2" t="s">
        <v>68</v>
      </c>
      <c r="X13" s="1">
        <v>45658</v>
      </c>
      <c r="Y13" s="2">
        <v>13329600</v>
      </c>
      <c r="Z13" s="2">
        <v>0</v>
      </c>
      <c r="AA13" s="2">
        <v>13329600</v>
      </c>
    </row>
    <row r="14" spans="1:27" x14ac:dyDescent="0.3">
      <c r="A14" s="3">
        <v>19</v>
      </c>
      <c r="B14" s="2" t="str">
        <f>"09303017100"</f>
        <v>09303017100</v>
      </c>
      <c r="C14" s="2" t="s">
        <v>4902</v>
      </c>
      <c r="D14" t="s">
        <v>29</v>
      </c>
      <c r="E14" s="2" t="s">
        <v>30</v>
      </c>
      <c r="F14" s="2">
        <v>37213</v>
      </c>
      <c r="G14" s="2" t="s">
        <v>1485</v>
      </c>
      <c r="H14" t="s">
        <v>32</v>
      </c>
      <c r="I14" s="6">
        <v>45163</v>
      </c>
      <c r="J14" s="2" t="s">
        <v>4893</v>
      </c>
      <c r="K14" s="2" t="s">
        <v>34</v>
      </c>
      <c r="L14" t="s">
        <v>85</v>
      </c>
      <c r="M14" t="s">
        <v>29</v>
      </c>
      <c r="N14" t="s">
        <v>30</v>
      </c>
      <c r="O14">
        <v>37219</v>
      </c>
      <c r="P14" t="s">
        <v>4903</v>
      </c>
      <c r="Q14" s="2">
        <v>1.3</v>
      </c>
      <c r="R14" s="2">
        <v>316</v>
      </c>
      <c r="S14" s="2">
        <v>162</v>
      </c>
      <c r="T14" t="s">
        <v>4901</v>
      </c>
      <c r="U14" s="6">
        <v>36381</v>
      </c>
      <c r="V14" s="2">
        <v>47037019300</v>
      </c>
      <c r="W14" s="2" t="s">
        <v>68</v>
      </c>
      <c r="X14" s="1">
        <v>45658</v>
      </c>
      <c r="Y14" s="2">
        <v>8494200</v>
      </c>
      <c r="Z14" s="2">
        <v>0</v>
      </c>
      <c r="AA14" s="2">
        <v>8494200</v>
      </c>
    </row>
    <row r="15" spans="1:27" x14ac:dyDescent="0.3">
      <c r="A15" s="3">
        <v>19</v>
      </c>
      <c r="B15" s="2" t="str">
        <f>"09307001000"</f>
        <v>09307001000</v>
      </c>
      <c r="C15" s="2" t="s">
        <v>4904</v>
      </c>
      <c r="D15" t="s">
        <v>29</v>
      </c>
      <c r="E15" s="2" t="s">
        <v>30</v>
      </c>
      <c r="F15" s="2">
        <v>37213</v>
      </c>
      <c r="G15" s="2" t="s">
        <v>2490</v>
      </c>
      <c r="H15" t="s">
        <v>32</v>
      </c>
      <c r="I15" s="6">
        <v>45163</v>
      </c>
      <c r="J15" s="2" t="s">
        <v>4893</v>
      </c>
      <c r="K15" s="2" t="s">
        <v>34</v>
      </c>
      <c r="L15" t="s">
        <v>85</v>
      </c>
      <c r="M15" t="s">
        <v>29</v>
      </c>
      <c r="N15" t="s">
        <v>30</v>
      </c>
      <c r="O15">
        <v>37219</v>
      </c>
      <c r="P15" t="s">
        <v>4905</v>
      </c>
      <c r="Q15" s="2">
        <v>1.74</v>
      </c>
      <c r="R15" s="2">
        <v>116</v>
      </c>
      <c r="S15" s="2">
        <v>78</v>
      </c>
      <c r="T15" t="s">
        <v>4898</v>
      </c>
      <c r="U15" s="6">
        <v>36381</v>
      </c>
      <c r="V15" s="2">
        <v>47037019300</v>
      </c>
      <c r="W15" s="2" t="s">
        <v>68</v>
      </c>
      <c r="X15" s="1">
        <v>45658</v>
      </c>
      <c r="Y15" s="2">
        <v>9299900</v>
      </c>
      <c r="Z15" s="2">
        <v>204500</v>
      </c>
      <c r="AA15" s="2">
        <v>9095400</v>
      </c>
    </row>
    <row r="16" spans="1:27" x14ac:dyDescent="0.3">
      <c r="A16" s="3">
        <v>19</v>
      </c>
      <c r="B16" s="2" t="str">
        <f>"09307005100"</f>
        <v>09307005100</v>
      </c>
      <c r="C16" s="2" t="s">
        <v>4906</v>
      </c>
      <c r="D16" t="s">
        <v>29</v>
      </c>
      <c r="E16" s="2" t="s">
        <v>30</v>
      </c>
      <c r="F16" s="2">
        <v>37213</v>
      </c>
      <c r="G16" s="2" t="s">
        <v>2490</v>
      </c>
      <c r="H16" t="s">
        <v>32</v>
      </c>
      <c r="I16" s="6">
        <v>45163</v>
      </c>
      <c r="J16" s="2" t="s">
        <v>4893</v>
      </c>
      <c r="K16" s="2" t="s">
        <v>34</v>
      </c>
      <c r="L16" t="s">
        <v>85</v>
      </c>
      <c r="M16" t="s">
        <v>29</v>
      </c>
      <c r="N16" t="s">
        <v>30</v>
      </c>
      <c r="O16">
        <v>37219</v>
      </c>
      <c r="P16" t="s">
        <v>4907</v>
      </c>
      <c r="Q16" s="2">
        <v>1.9</v>
      </c>
      <c r="R16" s="2">
        <v>323</v>
      </c>
      <c r="S16" s="2">
        <v>400</v>
      </c>
      <c r="T16" t="s">
        <v>4908</v>
      </c>
      <c r="U16" s="6">
        <v>40444</v>
      </c>
      <c r="V16" s="2">
        <v>47037019300</v>
      </c>
      <c r="W16" s="2" t="s">
        <v>68</v>
      </c>
      <c r="X16" s="1">
        <v>45658</v>
      </c>
      <c r="Y16" s="2">
        <v>10146600</v>
      </c>
      <c r="Z16" s="2">
        <v>214200</v>
      </c>
      <c r="AA16" s="2">
        <v>9932400</v>
      </c>
    </row>
    <row r="17" spans="1:27" x14ac:dyDescent="0.3">
      <c r="A17" s="3">
        <v>19</v>
      </c>
      <c r="B17" s="2" t="str">
        <f>"09303011500"</f>
        <v>09303011500</v>
      </c>
      <c r="C17" s="2" t="s">
        <v>4909</v>
      </c>
      <c r="D17" t="s">
        <v>29</v>
      </c>
      <c r="E17" s="2" t="s">
        <v>30</v>
      </c>
      <c r="F17" s="2">
        <v>37213</v>
      </c>
      <c r="G17" s="2" t="s">
        <v>2490</v>
      </c>
      <c r="H17" t="s">
        <v>32</v>
      </c>
      <c r="I17" s="6">
        <v>45163</v>
      </c>
      <c r="J17" s="2" t="s">
        <v>4893</v>
      </c>
      <c r="K17" s="2" t="s">
        <v>34</v>
      </c>
      <c r="L17" t="s">
        <v>85</v>
      </c>
      <c r="M17" t="s">
        <v>29</v>
      </c>
      <c r="N17" t="s">
        <v>30</v>
      </c>
      <c r="O17">
        <v>37219</v>
      </c>
      <c r="P17" t="s">
        <v>4910</v>
      </c>
      <c r="Q17" s="2">
        <v>5.8</v>
      </c>
      <c r="R17" s="2">
        <v>0</v>
      </c>
      <c r="S17" s="2">
        <v>0</v>
      </c>
      <c r="T17" t="s">
        <v>4895</v>
      </c>
      <c r="U17" s="6">
        <v>40448</v>
      </c>
      <c r="V17" s="2">
        <v>47037019300</v>
      </c>
      <c r="W17" s="2" t="s">
        <v>68</v>
      </c>
      <c r="X17" s="1">
        <v>45658</v>
      </c>
      <c r="Y17" s="2">
        <v>25314900</v>
      </c>
      <c r="Z17" s="2">
        <v>681500</v>
      </c>
      <c r="AA17" s="2">
        <v>24633400</v>
      </c>
    </row>
    <row r="18" spans="1:27" x14ac:dyDescent="0.3">
      <c r="A18" s="3">
        <v>19</v>
      </c>
      <c r="B18" s="2" t="str">
        <f>"09303002200"</f>
        <v>09303002200</v>
      </c>
      <c r="C18" s="2" t="s">
        <v>4911</v>
      </c>
      <c r="D18" t="s">
        <v>29</v>
      </c>
      <c r="E18" s="2" t="s">
        <v>30</v>
      </c>
      <c r="F18" s="2">
        <v>37213</v>
      </c>
      <c r="G18" s="2" t="s">
        <v>2490</v>
      </c>
      <c r="H18" t="s">
        <v>32</v>
      </c>
      <c r="I18" s="6">
        <v>45163</v>
      </c>
      <c r="J18" s="2" t="s">
        <v>4893</v>
      </c>
      <c r="K18" s="2">
        <v>0</v>
      </c>
      <c r="L18" t="s">
        <v>85</v>
      </c>
      <c r="M18" t="s">
        <v>29</v>
      </c>
      <c r="N18" t="s">
        <v>30</v>
      </c>
      <c r="O18">
        <v>37219</v>
      </c>
      <c r="P18" t="s">
        <v>4912</v>
      </c>
      <c r="Q18" s="2">
        <v>6.75</v>
      </c>
      <c r="R18" s="2">
        <v>764</v>
      </c>
      <c r="S18" s="2">
        <v>388</v>
      </c>
      <c r="T18" t="s">
        <v>4913</v>
      </c>
      <c r="U18" s="6">
        <v>45400</v>
      </c>
      <c r="V18" s="2">
        <v>47047037019300</v>
      </c>
      <c r="W18" s="2" t="s">
        <v>68</v>
      </c>
      <c r="X18" s="1">
        <v>45658</v>
      </c>
      <c r="Y18" s="2">
        <v>28667900</v>
      </c>
      <c r="Z18" s="2">
        <v>0</v>
      </c>
      <c r="AA18" s="2">
        <v>28667900</v>
      </c>
    </row>
    <row r="19" spans="1:27" x14ac:dyDescent="0.3">
      <c r="A19" s="3">
        <v>19</v>
      </c>
      <c r="B19" s="2" t="str">
        <f>"09303017400"</f>
        <v>09303017400</v>
      </c>
      <c r="C19" s="2" t="s">
        <v>4914</v>
      </c>
      <c r="D19" t="s">
        <v>29</v>
      </c>
      <c r="E19" s="2" t="s">
        <v>30</v>
      </c>
      <c r="F19" s="2">
        <v>37213</v>
      </c>
      <c r="G19" s="2" t="s">
        <v>2490</v>
      </c>
      <c r="H19" t="s">
        <v>32</v>
      </c>
      <c r="I19" s="6">
        <v>45163</v>
      </c>
      <c r="J19" s="2" t="s">
        <v>4893</v>
      </c>
      <c r="K19" s="2">
        <v>0</v>
      </c>
      <c r="L19" t="s">
        <v>85</v>
      </c>
      <c r="M19" t="s">
        <v>29</v>
      </c>
      <c r="N19" t="s">
        <v>30</v>
      </c>
      <c r="O19">
        <v>37219</v>
      </c>
      <c r="P19" t="s">
        <v>4915</v>
      </c>
      <c r="Q19" s="2">
        <v>24.81</v>
      </c>
      <c r="R19" s="2">
        <v>1067</v>
      </c>
      <c r="S19" s="2">
        <v>873</v>
      </c>
      <c r="T19" t="s">
        <v>4913</v>
      </c>
      <c r="U19" s="6">
        <v>45400</v>
      </c>
      <c r="V19" s="2">
        <v>47047037019300</v>
      </c>
      <c r="W19" s="2" t="s">
        <v>68</v>
      </c>
      <c r="X19" s="1">
        <v>45658</v>
      </c>
      <c r="Y19" s="2">
        <v>40527200</v>
      </c>
      <c r="Z19" s="2">
        <v>0</v>
      </c>
      <c r="AA19" s="2">
        <v>40527200</v>
      </c>
    </row>
    <row r="20" spans="1:27" x14ac:dyDescent="0.3">
      <c r="A20" s="3">
        <v>19</v>
      </c>
      <c r="B20" s="2" t="str">
        <f>"09301009800"</f>
        <v>09301009800</v>
      </c>
      <c r="C20" s="2" t="s">
        <v>4916</v>
      </c>
      <c r="D20" t="s">
        <v>29</v>
      </c>
      <c r="E20" s="2" t="s">
        <v>30</v>
      </c>
      <c r="F20" s="2">
        <v>37203</v>
      </c>
      <c r="G20" s="2" t="s">
        <v>41</v>
      </c>
      <c r="H20" t="s">
        <v>32</v>
      </c>
      <c r="I20" s="6">
        <v>43955</v>
      </c>
      <c r="J20" s="2" t="s">
        <v>4917</v>
      </c>
      <c r="K20" s="2">
        <v>0</v>
      </c>
      <c r="L20" t="s">
        <v>4889</v>
      </c>
      <c r="M20" t="s">
        <v>29</v>
      </c>
      <c r="N20" t="s">
        <v>30</v>
      </c>
      <c r="O20">
        <v>37219</v>
      </c>
      <c r="P20" t="s">
        <v>4918</v>
      </c>
      <c r="Q20" s="2">
        <v>0.26</v>
      </c>
      <c r="R20" s="2">
        <v>30</v>
      </c>
      <c r="S20" s="2">
        <v>489</v>
      </c>
      <c r="T20" t="s">
        <v>4891</v>
      </c>
      <c r="U20" s="6">
        <v>42856</v>
      </c>
      <c r="V20" s="2">
        <v>47037019400</v>
      </c>
      <c r="W20" s="2" t="s">
        <v>68</v>
      </c>
      <c r="X20" s="1">
        <v>45658</v>
      </c>
      <c r="Y20" s="2">
        <v>1486500</v>
      </c>
      <c r="Z20" s="2">
        <v>0</v>
      </c>
      <c r="AA20" s="2">
        <v>1486500</v>
      </c>
    </row>
    <row r="21" spans="1:27" x14ac:dyDescent="0.3">
      <c r="A21" s="3">
        <v>19</v>
      </c>
      <c r="B21" s="2" t="str">
        <f>"08116013803"</f>
        <v>08116013803</v>
      </c>
      <c r="C21" s="2" t="s">
        <v>4919</v>
      </c>
      <c r="D21" t="s">
        <v>29</v>
      </c>
      <c r="E21" s="2" t="s">
        <v>30</v>
      </c>
      <c r="F21" s="2">
        <v>37208</v>
      </c>
      <c r="G21" s="2" t="s">
        <v>64</v>
      </c>
      <c r="H21" t="s">
        <v>32</v>
      </c>
      <c r="I21" s="6">
        <v>35342</v>
      </c>
      <c r="J21" s="2" t="s">
        <v>4920</v>
      </c>
      <c r="K21" s="2">
        <v>297</v>
      </c>
      <c r="L21" t="s">
        <v>35</v>
      </c>
      <c r="M21" t="s">
        <v>29</v>
      </c>
      <c r="N21" t="s">
        <v>30</v>
      </c>
      <c r="O21">
        <v>37219</v>
      </c>
      <c r="P21" t="s">
        <v>4921</v>
      </c>
      <c r="Q21" s="2">
        <v>0.04</v>
      </c>
      <c r="R21" s="2">
        <v>37</v>
      </c>
      <c r="S21" s="2">
        <v>57</v>
      </c>
      <c r="T21" t="s">
        <v>4922</v>
      </c>
      <c r="U21" s="6">
        <v>22605</v>
      </c>
      <c r="V21" s="2">
        <v>47037019400</v>
      </c>
      <c r="W21" s="2" t="s">
        <v>68</v>
      </c>
      <c r="X21" s="1">
        <v>45658</v>
      </c>
      <c r="Y21" s="2">
        <v>22800</v>
      </c>
      <c r="Z21" s="2">
        <v>0</v>
      </c>
      <c r="AA21" s="2">
        <v>22800</v>
      </c>
    </row>
    <row r="22" spans="1:27" x14ac:dyDescent="0.3">
      <c r="A22" s="3">
        <v>19</v>
      </c>
      <c r="B22" s="2" t="str">
        <f>"08116013802"</f>
        <v>08116013802</v>
      </c>
      <c r="C22" s="2" t="s">
        <v>4923</v>
      </c>
      <c r="D22" t="s">
        <v>29</v>
      </c>
      <c r="E22" s="2" t="s">
        <v>30</v>
      </c>
      <c r="F22" s="2">
        <v>37208</v>
      </c>
      <c r="G22" s="2" t="s">
        <v>64</v>
      </c>
      <c r="H22" t="s">
        <v>32</v>
      </c>
      <c r="I22" s="6">
        <v>35291</v>
      </c>
      <c r="J22" s="2" t="s">
        <v>4924</v>
      </c>
      <c r="K22" s="2">
        <v>255</v>
      </c>
      <c r="L22" t="s">
        <v>35</v>
      </c>
      <c r="M22" t="s">
        <v>29</v>
      </c>
      <c r="N22" t="s">
        <v>30</v>
      </c>
      <c r="O22">
        <v>37219</v>
      </c>
      <c r="P22" t="s">
        <v>4925</v>
      </c>
      <c r="Q22" s="2">
        <v>7.0000000000000007E-2</v>
      </c>
      <c r="R22" s="2">
        <v>49</v>
      </c>
      <c r="S22" s="2">
        <v>63</v>
      </c>
      <c r="T22" t="s">
        <v>4922</v>
      </c>
      <c r="U22" s="6">
        <v>22605</v>
      </c>
      <c r="V22" s="2">
        <v>47037019400</v>
      </c>
      <c r="W22" s="2" t="s">
        <v>68</v>
      </c>
      <c r="X22" s="1">
        <v>45658</v>
      </c>
      <c r="Y22" s="2">
        <v>27600</v>
      </c>
      <c r="Z22" s="2">
        <v>0</v>
      </c>
      <c r="AA22" s="2">
        <v>27600</v>
      </c>
    </row>
    <row r="23" spans="1:27" x14ac:dyDescent="0.3">
      <c r="A23" s="3">
        <v>19</v>
      </c>
      <c r="B23" s="2" t="str">
        <f>"09307005400"</f>
        <v>09307005400</v>
      </c>
      <c r="C23" s="2" t="s">
        <v>4926</v>
      </c>
      <c r="D23" t="s">
        <v>29</v>
      </c>
      <c r="E23" s="2" t="s">
        <v>30</v>
      </c>
      <c r="F23" s="2">
        <v>37213</v>
      </c>
      <c r="G23" s="2" t="s">
        <v>41</v>
      </c>
      <c r="H23" t="s">
        <v>32</v>
      </c>
      <c r="I23" s="6">
        <v>41240</v>
      </c>
      <c r="J23" s="2" t="s">
        <v>4927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4928</v>
      </c>
      <c r="Q23" s="2">
        <v>2.93</v>
      </c>
      <c r="R23" s="2">
        <v>0</v>
      </c>
      <c r="S23" s="2">
        <v>0</v>
      </c>
      <c r="T23" t="s">
        <v>4895</v>
      </c>
      <c r="U23" s="6">
        <v>40448</v>
      </c>
      <c r="V23" s="2">
        <v>47037019300</v>
      </c>
      <c r="W23" s="2" t="s">
        <v>68</v>
      </c>
      <c r="X23" s="1">
        <v>45658</v>
      </c>
      <c r="Y23" s="2">
        <v>15315600</v>
      </c>
      <c r="Z23" s="2">
        <v>0</v>
      </c>
      <c r="AA23" s="2">
        <v>15315600</v>
      </c>
    </row>
    <row r="24" spans="1:27" x14ac:dyDescent="0.3">
      <c r="A24" s="3">
        <v>19</v>
      </c>
      <c r="B24" s="2" t="str">
        <f>"09302008700"</f>
        <v>09302008700</v>
      </c>
      <c r="C24" s="2" t="s">
        <v>4929</v>
      </c>
      <c r="D24" t="s">
        <v>29</v>
      </c>
      <c r="E24" s="2" t="s">
        <v>30</v>
      </c>
      <c r="F24" s="2">
        <v>37213</v>
      </c>
      <c r="G24" s="2" t="s">
        <v>2490</v>
      </c>
      <c r="H24" t="s">
        <v>32</v>
      </c>
      <c r="I24" s="6">
        <v>45163</v>
      </c>
      <c r="J24" s="2" t="s">
        <v>4893</v>
      </c>
      <c r="K24" s="2" t="s">
        <v>34</v>
      </c>
      <c r="L24" t="s">
        <v>85</v>
      </c>
      <c r="M24" t="s">
        <v>29</v>
      </c>
      <c r="N24" t="s">
        <v>30</v>
      </c>
      <c r="O24">
        <v>37219</v>
      </c>
      <c r="P24" t="s">
        <v>4930</v>
      </c>
      <c r="Q24" s="2">
        <v>6.49</v>
      </c>
      <c r="R24" s="2">
        <v>0</v>
      </c>
      <c r="S24" s="2">
        <v>0</v>
      </c>
      <c r="T24" t="s">
        <v>4898</v>
      </c>
      <c r="U24" s="6">
        <v>36381</v>
      </c>
      <c r="V24" s="2">
        <v>47037019300</v>
      </c>
      <c r="W24" s="2" t="s">
        <v>68</v>
      </c>
      <c r="X24" s="1">
        <v>45658</v>
      </c>
      <c r="Y24" s="2">
        <v>28326300</v>
      </c>
      <c r="Z24" s="2">
        <v>762600</v>
      </c>
      <c r="AA24" s="2">
        <v>27563700</v>
      </c>
    </row>
    <row r="25" spans="1:27" x14ac:dyDescent="0.3">
      <c r="A25" s="3">
        <v>19</v>
      </c>
      <c r="B25" s="2" t="str">
        <f>"09302006800"</f>
        <v>09302006800</v>
      </c>
      <c r="C25" s="2" t="s">
        <v>4931</v>
      </c>
      <c r="D25" t="s">
        <v>29</v>
      </c>
      <c r="E25" s="2" t="s">
        <v>30</v>
      </c>
      <c r="F25" s="2">
        <v>37213</v>
      </c>
      <c r="G25" s="2" t="s">
        <v>2490</v>
      </c>
      <c r="H25" t="s">
        <v>32</v>
      </c>
      <c r="I25" s="6">
        <v>45163</v>
      </c>
      <c r="J25" s="2" t="s">
        <v>4893</v>
      </c>
      <c r="K25" s="2">
        <v>0</v>
      </c>
      <c r="L25" t="s">
        <v>85</v>
      </c>
      <c r="M25" t="s">
        <v>29</v>
      </c>
      <c r="N25" t="s">
        <v>30</v>
      </c>
      <c r="O25">
        <v>37219</v>
      </c>
      <c r="P25" t="s">
        <v>4932</v>
      </c>
      <c r="Q25" s="2">
        <v>5.78</v>
      </c>
      <c r="R25" s="2">
        <v>0</v>
      </c>
      <c r="S25" s="2">
        <v>0</v>
      </c>
      <c r="T25" t="s">
        <v>4901</v>
      </c>
      <c r="U25" s="6">
        <v>36381</v>
      </c>
      <c r="V25" s="2">
        <v>47037019300</v>
      </c>
      <c r="W25" s="2" t="s">
        <v>68</v>
      </c>
      <c r="X25" s="1">
        <v>45658</v>
      </c>
      <c r="Y25" s="2">
        <v>25227800</v>
      </c>
      <c r="Z25" s="2">
        <v>679200</v>
      </c>
      <c r="AA25" s="2">
        <v>24548600</v>
      </c>
    </row>
    <row r="26" spans="1:27" x14ac:dyDescent="0.3">
      <c r="A26" s="3">
        <v>19</v>
      </c>
      <c r="B26" s="2" t="str">
        <f>"09303006600"</f>
        <v>09303006600</v>
      </c>
      <c r="C26" s="2" t="s">
        <v>4933</v>
      </c>
      <c r="D26" t="s">
        <v>29</v>
      </c>
      <c r="E26" s="2" t="s">
        <v>30</v>
      </c>
      <c r="F26" s="2">
        <v>37213</v>
      </c>
      <c r="G26" s="2" t="s">
        <v>200</v>
      </c>
      <c r="H26" t="s">
        <v>32</v>
      </c>
      <c r="I26" s="6">
        <v>45163</v>
      </c>
      <c r="J26" s="2" t="s">
        <v>4893</v>
      </c>
      <c r="K26" s="2">
        <v>0</v>
      </c>
      <c r="L26" t="s">
        <v>85</v>
      </c>
      <c r="M26" t="s">
        <v>29</v>
      </c>
      <c r="N26" t="s">
        <v>30</v>
      </c>
      <c r="O26">
        <v>37219</v>
      </c>
      <c r="P26" t="s">
        <v>4934</v>
      </c>
      <c r="Q26" s="2">
        <v>29.95</v>
      </c>
      <c r="R26" s="2">
        <v>1128</v>
      </c>
      <c r="S26" s="2">
        <v>1063</v>
      </c>
      <c r="T26" t="s">
        <v>4913</v>
      </c>
      <c r="U26" s="6">
        <v>45400</v>
      </c>
      <c r="V26" s="2">
        <v>47047037019300</v>
      </c>
      <c r="W26" s="2" t="s">
        <v>68</v>
      </c>
      <c r="X26" s="1">
        <v>45658</v>
      </c>
      <c r="Y26" s="2">
        <v>48923300</v>
      </c>
      <c r="Z26" s="2">
        <v>0</v>
      </c>
      <c r="AA26" s="2">
        <v>48923300</v>
      </c>
    </row>
    <row r="27" spans="1:27" x14ac:dyDescent="0.3">
      <c r="A27" s="3">
        <v>19</v>
      </c>
      <c r="B27" s="2" t="str">
        <f>"09314056000"</f>
        <v>09314056000</v>
      </c>
      <c r="C27" s="2" t="s">
        <v>4935</v>
      </c>
      <c r="D27" t="s">
        <v>29</v>
      </c>
      <c r="E27" s="2" t="s">
        <v>30</v>
      </c>
      <c r="F27" s="2">
        <v>37203</v>
      </c>
      <c r="G27" s="2" t="s">
        <v>41</v>
      </c>
      <c r="H27" t="s">
        <v>32</v>
      </c>
      <c r="I27" s="6">
        <v>41807</v>
      </c>
      <c r="J27" s="2" t="s">
        <v>4936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4937</v>
      </c>
      <c r="Q27" s="2">
        <v>0.28999999999999998</v>
      </c>
      <c r="R27" s="2">
        <v>79</v>
      </c>
      <c r="S27" s="2">
        <v>113</v>
      </c>
      <c r="T27" t="s">
        <v>4938</v>
      </c>
      <c r="U27" s="6">
        <v>43165</v>
      </c>
      <c r="V27" s="2">
        <v>47037019500</v>
      </c>
      <c r="W27" s="2" t="s">
        <v>68</v>
      </c>
      <c r="X27" s="1">
        <v>45658</v>
      </c>
      <c r="Y27" s="2">
        <v>1579000</v>
      </c>
      <c r="Z27" s="2">
        <v>0</v>
      </c>
      <c r="AA27" s="2">
        <v>1579000</v>
      </c>
    </row>
    <row r="28" spans="1:27" x14ac:dyDescent="0.3">
      <c r="A28" s="3">
        <v>19</v>
      </c>
      <c r="B28" s="2" t="str">
        <f>"09314045500"</f>
        <v>09314045500</v>
      </c>
      <c r="C28" s="2" t="s">
        <v>4939</v>
      </c>
      <c r="D28" t="s">
        <v>29</v>
      </c>
      <c r="E28" s="2" t="s">
        <v>30</v>
      </c>
      <c r="F28" s="2">
        <v>37203</v>
      </c>
      <c r="G28" s="2" t="s">
        <v>41</v>
      </c>
      <c r="H28" t="s">
        <v>32</v>
      </c>
      <c r="I28" s="6">
        <v>41956</v>
      </c>
      <c r="J28" s="2" t="s">
        <v>4940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4941</v>
      </c>
      <c r="Q28" s="2">
        <v>0.19</v>
      </c>
      <c r="R28" s="2">
        <v>210</v>
      </c>
      <c r="S28" s="2">
        <v>110</v>
      </c>
      <c r="T28" t="s">
        <v>4942</v>
      </c>
      <c r="U28" s="6">
        <v>42510</v>
      </c>
      <c r="V28" s="2">
        <v>47037019500</v>
      </c>
      <c r="W28" s="2" t="s">
        <v>68</v>
      </c>
      <c r="X28" s="1">
        <v>45658</v>
      </c>
      <c r="Y28" s="2">
        <v>2069000</v>
      </c>
      <c r="Z28" s="2">
        <v>0</v>
      </c>
      <c r="AA28" s="2">
        <v>2069000</v>
      </c>
    </row>
    <row r="29" spans="1:27" x14ac:dyDescent="0.3">
      <c r="A29" s="3">
        <v>19</v>
      </c>
      <c r="B29" s="2" t="str">
        <f>"08108023200"</f>
        <v>08108023200</v>
      </c>
      <c r="C29" s="2" t="s">
        <v>4943</v>
      </c>
      <c r="D29" t="s">
        <v>29</v>
      </c>
      <c r="E29" s="2" t="s">
        <v>30</v>
      </c>
      <c r="F29" s="2">
        <v>37208</v>
      </c>
      <c r="G29" s="2" t="s">
        <v>64</v>
      </c>
      <c r="H29" t="s">
        <v>99</v>
      </c>
      <c r="I29" s="6">
        <v>28460</v>
      </c>
      <c r="J29" s="2" t="s">
        <v>4944</v>
      </c>
      <c r="K29" s="2">
        <v>347</v>
      </c>
      <c r="L29" t="s">
        <v>35</v>
      </c>
      <c r="M29" t="s">
        <v>29</v>
      </c>
      <c r="N29" t="s">
        <v>30</v>
      </c>
      <c r="O29">
        <v>37219</v>
      </c>
      <c r="P29" t="s">
        <v>4945</v>
      </c>
      <c r="Q29" s="2">
        <v>0.05</v>
      </c>
      <c r="R29" s="2">
        <v>27</v>
      </c>
      <c r="S29" s="2">
        <v>49</v>
      </c>
      <c r="T29" t="s">
        <v>4946</v>
      </c>
      <c r="U29" s="6">
        <v>14697</v>
      </c>
      <c r="V29" s="2">
        <v>47037019400</v>
      </c>
      <c r="W29" s="2" t="s">
        <v>68</v>
      </c>
      <c r="X29" s="1">
        <v>45658</v>
      </c>
      <c r="Y29" s="2">
        <v>61300</v>
      </c>
      <c r="Z29" s="2">
        <v>0</v>
      </c>
      <c r="AA29" s="2">
        <v>61300</v>
      </c>
    </row>
    <row r="30" spans="1:27" x14ac:dyDescent="0.3">
      <c r="A30" s="3">
        <v>19</v>
      </c>
      <c r="B30" s="2" t="str">
        <f>"08112013300"</f>
        <v>08112013300</v>
      </c>
      <c r="C30" s="2" t="s">
        <v>4947</v>
      </c>
      <c r="D30" t="s">
        <v>29</v>
      </c>
      <c r="E30" s="2" t="s">
        <v>30</v>
      </c>
      <c r="F30" s="2">
        <v>37208</v>
      </c>
      <c r="G30" s="2" t="s">
        <v>64</v>
      </c>
      <c r="H30" t="s">
        <v>99</v>
      </c>
      <c r="I30" s="6">
        <v>28110</v>
      </c>
      <c r="J30" s="2" t="s">
        <v>4948</v>
      </c>
      <c r="K30" s="2">
        <v>305</v>
      </c>
      <c r="L30" t="s">
        <v>35</v>
      </c>
      <c r="M30" t="s">
        <v>29</v>
      </c>
      <c r="N30" t="s">
        <v>30</v>
      </c>
      <c r="O30">
        <v>37219</v>
      </c>
      <c r="P30" t="s">
        <v>4949</v>
      </c>
      <c r="Q30" s="2">
        <v>0.01</v>
      </c>
      <c r="R30" s="2">
        <v>35</v>
      </c>
      <c r="S30" s="2">
        <v>38</v>
      </c>
      <c r="T30" t="s">
        <v>4950</v>
      </c>
      <c r="U30" s="6">
        <v>22836</v>
      </c>
      <c r="V30" s="2">
        <v>47037019400</v>
      </c>
      <c r="W30" s="2" t="s">
        <v>68</v>
      </c>
      <c r="X30" s="1">
        <v>45658</v>
      </c>
      <c r="Y30" s="2">
        <v>8500</v>
      </c>
      <c r="Z30" s="2">
        <v>0</v>
      </c>
      <c r="AA30" s="2">
        <v>8500</v>
      </c>
    </row>
    <row r="31" spans="1:27" x14ac:dyDescent="0.3">
      <c r="A31" s="3">
        <v>19</v>
      </c>
      <c r="B31" s="2" t="str">
        <f>"09207032300"</f>
        <v>09207032300</v>
      </c>
      <c r="C31" s="2" t="s">
        <v>4951</v>
      </c>
      <c r="D31" t="s">
        <v>29</v>
      </c>
      <c r="E31" s="2" t="s">
        <v>30</v>
      </c>
      <c r="F31" s="2">
        <v>37203</v>
      </c>
      <c r="G31" s="2" t="s">
        <v>1485</v>
      </c>
      <c r="H31" t="s">
        <v>99</v>
      </c>
      <c r="I31" s="6">
        <v>32856</v>
      </c>
      <c r="J31" s="2" t="s">
        <v>4952</v>
      </c>
      <c r="K31" s="2">
        <v>257</v>
      </c>
      <c r="L31" t="s">
        <v>35</v>
      </c>
      <c r="M31" t="s">
        <v>29</v>
      </c>
      <c r="N31" t="s">
        <v>30</v>
      </c>
      <c r="O31">
        <v>37219</v>
      </c>
      <c r="P31" t="s">
        <v>4953</v>
      </c>
      <c r="Q31" s="2">
        <v>0.01</v>
      </c>
      <c r="R31" s="2">
        <v>30</v>
      </c>
      <c r="S31" s="2">
        <v>20</v>
      </c>
      <c r="T31" t="s">
        <v>4954</v>
      </c>
      <c r="U31" s="6">
        <v>29986</v>
      </c>
      <c r="V31" s="2">
        <v>47037014200</v>
      </c>
      <c r="W31" s="2" t="s">
        <v>68</v>
      </c>
      <c r="X31" s="1">
        <v>45658</v>
      </c>
      <c r="Y31" s="2">
        <v>14100</v>
      </c>
      <c r="Z31" s="2">
        <v>0</v>
      </c>
      <c r="AA31" s="2">
        <v>14100</v>
      </c>
    </row>
    <row r="32" spans="1:27" x14ac:dyDescent="0.3">
      <c r="A32" s="3">
        <v>19</v>
      </c>
      <c r="B32" s="2" t="str">
        <f>"09310019300"</f>
        <v>09310019300</v>
      </c>
      <c r="C32" s="2" t="s">
        <v>4955</v>
      </c>
      <c r="D32" t="s">
        <v>29</v>
      </c>
      <c r="E32" s="2" t="s">
        <v>30</v>
      </c>
      <c r="F32" s="2">
        <v>37203</v>
      </c>
      <c r="G32" s="2" t="s">
        <v>152</v>
      </c>
      <c r="H32" t="s">
        <v>4956</v>
      </c>
      <c r="I32" s="6">
        <v>41479</v>
      </c>
      <c r="J32" s="2" t="s">
        <v>4957</v>
      </c>
      <c r="K32" s="2">
        <v>0</v>
      </c>
      <c r="L32" t="s">
        <v>35</v>
      </c>
      <c r="M32" t="s">
        <v>29</v>
      </c>
      <c r="N32" t="s">
        <v>30</v>
      </c>
      <c r="O32">
        <v>37219</v>
      </c>
      <c r="P32" t="s">
        <v>4958</v>
      </c>
      <c r="Q32" s="2">
        <v>0.13</v>
      </c>
      <c r="R32" s="2">
        <v>157</v>
      </c>
      <c r="S32" s="2">
        <v>31</v>
      </c>
      <c r="T32" t="s">
        <v>4959</v>
      </c>
      <c r="U32" s="6">
        <v>41445</v>
      </c>
      <c r="V32" s="2">
        <v>47037019500</v>
      </c>
      <c r="W32" s="2" t="s">
        <v>4960</v>
      </c>
      <c r="X32" s="1">
        <v>45658</v>
      </c>
      <c r="Y32" s="2">
        <v>3432600</v>
      </c>
      <c r="Z32" s="2">
        <v>0</v>
      </c>
      <c r="AA32" s="2">
        <v>3432600</v>
      </c>
    </row>
    <row r="33" spans="1:27" x14ac:dyDescent="0.3">
      <c r="A33" s="3">
        <v>19</v>
      </c>
      <c r="B33" s="2" t="str">
        <f>"09310048300"</f>
        <v>09310048300</v>
      </c>
      <c r="C33" s="2" t="s">
        <v>4961</v>
      </c>
      <c r="D33" t="s">
        <v>29</v>
      </c>
      <c r="E33" s="2" t="s">
        <v>30</v>
      </c>
      <c r="F33" s="2">
        <v>37203</v>
      </c>
      <c r="G33" s="2" t="s">
        <v>152</v>
      </c>
      <c r="H33" t="s">
        <v>4956</v>
      </c>
      <c r="I33" s="6">
        <v>40289</v>
      </c>
      <c r="J33" s="2" t="s">
        <v>4962</v>
      </c>
      <c r="K33" s="2">
        <v>0</v>
      </c>
      <c r="L33" t="s">
        <v>4963</v>
      </c>
      <c r="M33" t="s">
        <v>29</v>
      </c>
      <c r="N33" t="s">
        <v>30</v>
      </c>
      <c r="O33">
        <v>37201</v>
      </c>
      <c r="P33" t="s">
        <v>4964</v>
      </c>
      <c r="Q33" s="2">
        <v>11.87</v>
      </c>
      <c r="R33" s="2">
        <v>607</v>
      </c>
      <c r="S33" s="2">
        <v>699</v>
      </c>
      <c r="T33" t="s">
        <v>4965</v>
      </c>
      <c r="U33" s="6">
        <v>42906</v>
      </c>
      <c r="V33" s="2">
        <v>47037019500</v>
      </c>
      <c r="W33" s="2" t="s">
        <v>4960</v>
      </c>
      <c r="X33" s="1">
        <v>45658</v>
      </c>
      <c r="Y33" s="2">
        <v>1052685500</v>
      </c>
      <c r="Z33" s="2">
        <v>664892700</v>
      </c>
      <c r="AA33" s="2">
        <v>387792800</v>
      </c>
    </row>
    <row r="34" spans="1:27" x14ac:dyDescent="0.3">
      <c r="A34" s="3">
        <v>19</v>
      </c>
      <c r="B34" s="2" t="str">
        <f>"09310047300"</f>
        <v>09310047300</v>
      </c>
      <c r="C34" s="2" t="s">
        <v>4966</v>
      </c>
      <c r="D34" t="s">
        <v>29</v>
      </c>
      <c r="E34" s="2" t="s">
        <v>30</v>
      </c>
      <c r="F34" s="2">
        <v>37203</v>
      </c>
      <c r="G34" s="2" t="s">
        <v>152</v>
      </c>
      <c r="H34" t="s">
        <v>4956</v>
      </c>
      <c r="I34" s="6">
        <v>40289</v>
      </c>
      <c r="J34" s="2" t="s">
        <v>4962</v>
      </c>
      <c r="K34" s="2">
        <v>0</v>
      </c>
      <c r="L34" t="s">
        <v>4963</v>
      </c>
      <c r="M34" t="s">
        <v>29</v>
      </c>
      <c r="N34" t="s">
        <v>30</v>
      </c>
      <c r="O34">
        <v>37201</v>
      </c>
      <c r="P34" t="s">
        <v>4967</v>
      </c>
      <c r="Q34" s="2">
        <v>7.18</v>
      </c>
      <c r="R34" s="2">
        <v>445</v>
      </c>
      <c r="S34" s="2">
        <v>691</v>
      </c>
      <c r="T34" t="s">
        <v>4965</v>
      </c>
      <c r="U34" s="6">
        <v>42906</v>
      </c>
      <c r="V34" s="2">
        <v>47037019500</v>
      </c>
      <c r="W34" s="2" t="s">
        <v>4960</v>
      </c>
      <c r="X34" s="1">
        <v>45658</v>
      </c>
      <c r="Y34" s="2">
        <v>234570800</v>
      </c>
      <c r="Z34" s="2">
        <v>0</v>
      </c>
      <c r="AA34" s="2">
        <v>234570800</v>
      </c>
    </row>
    <row r="35" spans="1:27" x14ac:dyDescent="0.3">
      <c r="A35" s="3">
        <v>19</v>
      </c>
      <c r="B35" s="2" t="str">
        <f>"08214003800"</f>
        <v>08214003800</v>
      </c>
      <c r="C35" s="2" t="s">
        <v>4968</v>
      </c>
      <c r="D35" t="s">
        <v>29</v>
      </c>
      <c r="E35" s="2" t="s">
        <v>30</v>
      </c>
      <c r="F35" s="2">
        <v>37201</v>
      </c>
      <c r="G35" s="2" t="s">
        <v>2490</v>
      </c>
      <c r="H35" t="s">
        <v>4969</v>
      </c>
      <c r="I35" s="6">
        <v>26854</v>
      </c>
      <c r="J35" s="2" t="s">
        <v>4970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4971</v>
      </c>
      <c r="Q35" s="2">
        <v>1.04</v>
      </c>
      <c r="R35" s="2">
        <v>364</v>
      </c>
      <c r="S35" s="2">
        <v>142</v>
      </c>
      <c r="T35" t="s">
        <v>4970</v>
      </c>
      <c r="U35" s="6">
        <v>26854</v>
      </c>
      <c r="V35" s="2">
        <v>47037019500</v>
      </c>
      <c r="W35" s="2" t="s">
        <v>68</v>
      </c>
      <c r="X35" s="1">
        <v>45658</v>
      </c>
      <c r="Y35" s="2">
        <v>5829900</v>
      </c>
      <c r="Z35" s="2">
        <v>31200</v>
      </c>
      <c r="AA35" s="2">
        <v>5798700</v>
      </c>
    </row>
    <row r="36" spans="1:27" x14ac:dyDescent="0.3">
      <c r="A36" s="3">
        <v>19</v>
      </c>
      <c r="B36" s="2" t="str">
        <f>"08214002200"</f>
        <v>08214002200</v>
      </c>
      <c r="C36" s="2" t="s">
        <v>4972</v>
      </c>
      <c r="D36" t="s">
        <v>29</v>
      </c>
      <c r="E36" s="2" t="s">
        <v>30</v>
      </c>
      <c r="F36" s="2">
        <v>37201</v>
      </c>
      <c r="G36" s="2" t="s">
        <v>147</v>
      </c>
      <c r="H36" t="s">
        <v>4969</v>
      </c>
      <c r="I36" s="6">
        <v>26854</v>
      </c>
      <c r="J36" s="2" t="s">
        <v>4970</v>
      </c>
      <c r="K36" s="2" t="s">
        <v>34</v>
      </c>
      <c r="L36" t="s">
        <v>35</v>
      </c>
      <c r="M36" t="s">
        <v>29</v>
      </c>
      <c r="N36" t="s">
        <v>30</v>
      </c>
      <c r="O36">
        <v>37219</v>
      </c>
      <c r="P36" t="s">
        <v>4973</v>
      </c>
      <c r="Q36" s="2">
        <v>0.51</v>
      </c>
      <c r="R36" s="2">
        <v>300</v>
      </c>
      <c r="S36" s="2">
        <v>75</v>
      </c>
      <c r="T36" t="s">
        <v>4974</v>
      </c>
      <c r="U36" s="6">
        <v>44783</v>
      </c>
      <c r="V36" s="2">
        <v>47037019500</v>
      </c>
      <c r="W36" s="2" t="s">
        <v>68</v>
      </c>
      <c r="X36" s="1">
        <v>45658</v>
      </c>
      <c r="Y36" s="2">
        <v>20443600</v>
      </c>
      <c r="Z36" s="2">
        <v>16000400</v>
      </c>
      <c r="AA36" s="2">
        <v>4443200</v>
      </c>
    </row>
    <row r="37" spans="1:27" x14ac:dyDescent="0.3">
      <c r="A37" s="3">
        <v>19</v>
      </c>
      <c r="B37" s="2" t="str">
        <f>"09302004900"</f>
        <v>09302004900</v>
      </c>
      <c r="C37" s="2" t="s">
        <v>4975</v>
      </c>
      <c r="D37" t="s">
        <v>29</v>
      </c>
      <c r="E37" s="2" t="s">
        <v>30</v>
      </c>
      <c r="F37" s="2">
        <v>37201</v>
      </c>
      <c r="G37" s="2" t="s">
        <v>41</v>
      </c>
      <c r="H37" t="s">
        <v>4969</v>
      </c>
      <c r="I37" s="6">
        <v>26854</v>
      </c>
      <c r="J37" s="2" t="s">
        <v>4970</v>
      </c>
      <c r="K37" s="2">
        <v>0</v>
      </c>
      <c r="L37" t="s">
        <v>35</v>
      </c>
      <c r="M37" t="s">
        <v>29</v>
      </c>
      <c r="N37" t="s">
        <v>30</v>
      </c>
      <c r="O37">
        <v>37219</v>
      </c>
      <c r="P37" t="s">
        <v>4976</v>
      </c>
      <c r="Q37" s="2">
        <v>0.2</v>
      </c>
      <c r="R37" s="2">
        <v>61</v>
      </c>
      <c r="S37" s="2">
        <v>137</v>
      </c>
      <c r="T37" t="s">
        <v>4970</v>
      </c>
      <c r="U37" s="6">
        <v>26854</v>
      </c>
      <c r="V37" s="2">
        <v>47037019500</v>
      </c>
      <c r="W37" s="2" t="s">
        <v>68</v>
      </c>
      <c r="X37" s="1">
        <v>45658</v>
      </c>
      <c r="Y37" s="2">
        <v>1671400</v>
      </c>
      <c r="Z37" s="2">
        <v>0</v>
      </c>
      <c r="AA37" s="2">
        <v>1671400</v>
      </c>
    </row>
    <row r="38" spans="1:27" x14ac:dyDescent="0.3">
      <c r="A38" s="3">
        <v>19</v>
      </c>
      <c r="B38" s="2" t="str">
        <f>"09302005200"</f>
        <v>09302005200</v>
      </c>
      <c r="C38" s="2" t="s">
        <v>4977</v>
      </c>
      <c r="D38" t="s">
        <v>29</v>
      </c>
      <c r="E38" s="2" t="s">
        <v>30</v>
      </c>
      <c r="F38" s="2">
        <v>37201</v>
      </c>
      <c r="G38" s="2" t="s">
        <v>152</v>
      </c>
      <c r="H38" t="s">
        <v>4969</v>
      </c>
      <c r="I38" s="6">
        <v>26854</v>
      </c>
      <c r="J38" s="2" t="s">
        <v>4970</v>
      </c>
      <c r="K38" s="2" t="s">
        <v>34</v>
      </c>
      <c r="L38" t="s">
        <v>35</v>
      </c>
      <c r="M38" t="s">
        <v>29</v>
      </c>
      <c r="N38" t="s">
        <v>30</v>
      </c>
      <c r="O38">
        <v>37219</v>
      </c>
      <c r="P38" t="s">
        <v>4978</v>
      </c>
      <c r="Q38" s="2">
        <v>2.2000000000000002</v>
      </c>
      <c r="R38" s="2">
        <v>317</v>
      </c>
      <c r="S38" s="2">
        <v>300</v>
      </c>
      <c r="T38" t="s">
        <v>4974</v>
      </c>
      <c r="U38" s="6">
        <v>44783</v>
      </c>
      <c r="V38" s="2">
        <v>47037019500</v>
      </c>
      <c r="W38" s="2" t="s">
        <v>68</v>
      </c>
      <c r="X38" s="1">
        <v>45658</v>
      </c>
      <c r="Y38" s="2">
        <v>19166400</v>
      </c>
      <c r="Z38" s="2">
        <v>0</v>
      </c>
      <c r="AA38" s="2">
        <v>19166400</v>
      </c>
    </row>
    <row r="39" spans="1:27" x14ac:dyDescent="0.3">
      <c r="A39" s="3">
        <v>19</v>
      </c>
      <c r="B39" s="2" t="str">
        <f>"09303000300"</f>
        <v>09303000300</v>
      </c>
      <c r="C39" s="2" t="s">
        <v>4979</v>
      </c>
      <c r="D39" t="s">
        <v>29</v>
      </c>
      <c r="E39" s="2" t="s">
        <v>30</v>
      </c>
      <c r="F39" s="2">
        <v>37213</v>
      </c>
      <c r="G39" s="2" t="s">
        <v>152</v>
      </c>
      <c r="H39" t="s">
        <v>4980</v>
      </c>
      <c r="I39" s="6">
        <v>33480</v>
      </c>
      <c r="J39" s="2" t="s">
        <v>4981</v>
      </c>
      <c r="K39" s="2">
        <v>290000</v>
      </c>
      <c r="L39" t="s">
        <v>35</v>
      </c>
      <c r="M39" t="s">
        <v>29</v>
      </c>
      <c r="N39" t="s">
        <v>30</v>
      </c>
      <c r="O39">
        <v>37219</v>
      </c>
      <c r="P39" t="s">
        <v>4982</v>
      </c>
      <c r="Q39" s="2">
        <v>3.45</v>
      </c>
      <c r="R39" s="2">
        <v>370</v>
      </c>
      <c r="S39" s="2">
        <v>385</v>
      </c>
      <c r="T39" t="s">
        <v>4913</v>
      </c>
      <c r="U39" s="6">
        <v>45400</v>
      </c>
      <c r="V39" s="2">
        <v>47047037019300</v>
      </c>
      <c r="W39" s="2" t="s">
        <v>68</v>
      </c>
      <c r="X39" s="1">
        <v>45658</v>
      </c>
      <c r="Y39" s="2">
        <v>18033800</v>
      </c>
      <c r="Z39" s="2">
        <v>0</v>
      </c>
      <c r="AA39" s="2">
        <v>18033800</v>
      </c>
    </row>
    <row r="40" spans="1:27" x14ac:dyDescent="0.3">
      <c r="A40" s="3">
        <v>19</v>
      </c>
      <c r="B40" s="2" t="str">
        <f>"09306113300"</f>
        <v>09306113300</v>
      </c>
      <c r="C40" s="2" t="s">
        <v>4983</v>
      </c>
      <c r="D40" t="s">
        <v>29</v>
      </c>
      <c r="E40" s="2" t="s">
        <v>30</v>
      </c>
      <c r="F40" s="2">
        <v>37219</v>
      </c>
      <c r="G40" s="2" t="s">
        <v>152</v>
      </c>
      <c r="H40" t="s">
        <v>4984</v>
      </c>
      <c r="I40" s="6">
        <v>32030</v>
      </c>
      <c r="J40" s="2" t="s">
        <v>4985</v>
      </c>
      <c r="K40" s="2" t="s">
        <v>34</v>
      </c>
      <c r="L40" t="s">
        <v>35</v>
      </c>
      <c r="M40" t="s">
        <v>29</v>
      </c>
      <c r="N40" t="s">
        <v>30</v>
      </c>
      <c r="O40">
        <v>37219</v>
      </c>
      <c r="P40" t="s">
        <v>4986</v>
      </c>
      <c r="Q40" s="2">
        <v>3.81</v>
      </c>
      <c r="R40" s="2">
        <v>358</v>
      </c>
      <c r="S40" s="2">
        <v>453</v>
      </c>
      <c r="T40" t="s">
        <v>4987</v>
      </c>
      <c r="U40" s="6">
        <v>36411</v>
      </c>
      <c r="V40" s="2">
        <v>47037019500</v>
      </c>
      <c r="W40" s="2" t="s">
        <v>4960</v>
      </c>
      <c r="X40" s="1">
        <v>45658</v>
      </c>
      <c r="Y40" s="2">
        <v>132771200</v>
      </c>
      <c r="Z40" s="2">
        <v>0</v>
      </c>
      <c r="AA40" s="2">
        <v>132771200</v>
      </c>
    </row>
    <row r="41" spans="1:27" x14ac:dyDescent="0.3">
      <c r="A41" s="3">
        <v>19</v>
      </c>
      <c r="B41" s="2" t="str">
        <f>"08116020300"</f>
        <v>08116020300</v>
      </c>
      <c r="C41" s="2" t="s">
        <v>4988</v>
      </c>
      <c r="D41" t="s">
        <v>29</v>
      </c>
      <c r="E41" s="2" t="s">
        <v>30</v>
      </c>
      <c r="F41" s="2">
        <v>37208</v>
      </c>
      <c r="G41" s="2" t="s">
        <v>901</v>
      </c>
      <c r="H41" t="s">
        <v>4989</v>
      </c>
      <c r="I41" s="6">
        <v>21689</v>
      </c>
      <c r="J41" s="2" t="s">
        <v>1512</v>
      </c>
      <c r="K41" s="2" t="s">
        <v>34</v>
      </c>
      <c r="L41" t="s">
        <v>35</v>
      </c>
      <c r="M41" t="s">
        <v>29</v>
      </c>
      <c r="N41" t="s">
        <v>30</v>
      </c>
      <c r="O41">
        <v>37219</v>
      </c>
      <c r="P41" t="s">
        <v>4990</v>
      </c>
      <c r="Q41" s="2">
        <v>0.38</v>
      </c>
      <c r="R41" s="2">
        <v>100</v>
      </c>
      <c r="S41" s="2">
        <v>151</v>
      </c>
      <c r="T41" t="s">
        <v>1512</v>
      </c>
      <c r="U41" s="6">
        <v>21689</v>
      </c>
      <c r="V41" s="2">
        <v>47037019400</v>
      </c>
      <c r="W41" s="2" t="s">
        <v>68</v>
      </c>
      <c r="X41" s="1">
        <v>45658</v>
      </c>
      <c r="Y41" s="2">
        <v>373800</v>
      </c>
      <c r="Z41" s="2">
        <v>0</v>
      </c>
      <c r="AA41" s="2">
        <v>373800</v>
      </c>
    </row>
    <row r="42" spans="1:27" x14ac:dyDescent="0.3">
      <c r="A42" s="3">
        <v>19</v>
      </c>
      <c r="B42" s="2" t="str">
        <f>"09302011000"</f>
        <v>09302011000</v>
      </c>
      <c r="C42" s="2" t="s">
        <v>4991</v>
      </c>
      <c r="D42" t="s">
        <v>29</v>
      </c>
      <c r="E42" s="2" t="s">
        <v>30</v>
      </c>
      <c r="F42" s="2">
        <v>37201</v>
      </c>
      <c r="G42" s="2" t="s">
        <v>200</v>
      </c>
      <c r="H42" t="s">
        <v>1668</v>
      </c>
      <c r="I42" s="6">
        <v>28285</v>
      </c>
      <c r="J42" s="2" t="s">
        <v>4992</v>
      </c>
      <c r="K42" s="2" t="s">
        <v>34</v>
      </c>
      <c r="L42" t="s">
        <v>35</v>
      </c>
      <c r="M42" t="s">
        <v>29</v>
      </c>
      <c r="N42" t="s">
        <v>30</v>
      </c>
      <c r="O42">
        <v>37219</v>
      </c>
      <c r="P42" t="s">
        <v>4993</v>
      </c>
      <c r="Q42" s="2">
        <v>0.23</v>
      </c>
      <c r="R42" s="2">
        <v>96</v>
      </c>
      <c r="S42" s="2">
        <v>107</v>
      </c>
      <c r="T42" t="s">
        <v>4994</v>
      </c>
      <c r="U42" s="6">
        <v>27710</v>
      </c>
      <c r="V42" s="2">
        <v>47037019500</v>
      </c>
      <c r="W42" s="2" t="s">
        <v>68</v>
      </c>
      <c r="X42" s="1">
        <v>45658</v>
      </c>
      <c r="Y42" s="2">
        <v>1001900</v>
      </c>
      <c r="Z42" s="2">
        <v>0</v>
      </c>
      <c r="AA42" s="2">
        <v>1001900</v>
      </c>
    </row>
    <row r="43" spans="1:27" x14ac:dyDescent="0.3">
      <c r="A43" s="3">
        <v>19</v>
      </c>
      <c r="B43" s="2" t="str">
        <f>"09302010900"</f>
        <v>09302010900</v>
      </c>
      <c r="C43" s="2" t="s">
        <v>4991</v>
      </c>
      <c r="D43" t="s">
        <v>29</v>
      </c>
      <c r="E43" s="2" t="s">
        <v>30</v>
      </c>
      <c r="F43" s="2">
        <v>37201</v>
      </c>
      <c r="G43" s="2" t="s">
        <v>200</v>
      </c>
      <c r="H43" t="s">
        <v>1668</v>
      </c>
      <c r="I43" s="6">
        <v>28285</v>
      </c>
      <c r="J43" s="2" t="s">
        <v>4992</v>
      </c>
      <c r="K43" s="2" t="s">
        <v>34</v>
      </c>
      <c r="L43" t="s">
        <v>35</v>
      </c>
      <c r="M43" t="s">
        <v>29</v>
      </c>
      <c r="N43" t="s">
        <v>30</v>
      </c>
      <c r="O43">
        <v>37219</v>
      </c>
      <c r="P43" t="s">
        <v>4995</v>
      </c>
      <c r="Q43" s="2">
        <v>0.72</v>
      </c>
      <c r="R43" s="2">
        <v>252</v>
      </c>
      <c r="S43" s="2">
        <v>122</v>
      </c>
      <c r="T43" t="s">
        <v>4996</v>
      </c>
      <c r="U43" s="6">
        <v>27440</v>
      </c>
      <c r="V43" s="2">
        <v>47037019500</v>
      </c>
      <c r="W43" s="2" t="s">
        <v>4960</v>
      </c>
      <c r="X43" s="1">
        <v>45658</v>
      </c>
      <c r="Y43" s="2">
        <v>6272600</v>
      </c>
      <c r="Z43" s="2">
        <v>0</v>
      </c>
      <c r="AA43" s="2">
        <v>6272600</v>
      </c>
    </row>
    <row r="44" spans="1:27" x14ac:dyDescent="0.3">
      <c r="A44" s="3">
        <v>19</v>
      </c>
      <c r="B44" s="2" t="str">
        <f>"09302403400"</f>
        <v>09302403400</v>
      </c>
      <c r="C44" s="2" t="s">
        <v>4997</v>
      </c>
      <c r="D44" t="s">
        <v>29</v>
      </c>
      <c r="E44" s="2" t="s">
        <v>30</v>
      </c>
      <c r="F44" s="2">
        <v>37201</v>
      </c>
      <c r="G44" s="2" t="s">
        <v>41</v>
      </c>
      <c r="H44" t="s">
        <v>1668</v>
      </c>
      <c r="I44" s="6">
        <v>28285</v>
      </c>
      <c r="J44" s="2" t="s">
        <v>4992</v>
      </c>
      <c r="K44" s="2" t="s">
        <v>34</v>
      </c>
      <c r="L44" t="s">
        <v>35</v>
      </c>
      <c r="M44" t="s">
        <v>29</v>
      </c>
      <c r="N44" t="s">
        <v>30</v>
      </c>
      <c r="O44">
        <v>37219</v>
      </c>
      <c r="P44" t="s">
        <v>4998</v>
      </c>
      <c r="Q44" s="2">
        <v>0.68</v>
      </c>
      <c r="R44" s="2">
        <v>549</v>
      </c>
      <c r="S44" s="2">
        <v>35</v>
      </c>
      <c r="T44" t="s">
        <v>4999</v>
      </c>
      <c r="U44" s="6">
        <v>26273</v>
      </c>
      <c r="V44" s="2">
        <v>47037019500</v>
      </c>
      <c r="W44" s="2" t="s">
        <v>4960</v>
      </c>
      <c r="X44" s="1">
        <v>45658</v>
      </c>
      <c r="Y44" s="2">
        <v>3702500</v>
      </c>
      <c r="Z44" s="2">
        <v>0</v>
      </c>
      <c r="AA44" s="2">
        <v>3702500</v>
      </c>
    </row>
    <row r="45" spans="1:27" x14ac:dyDescent="0.3">
      <c r="A45" s="3">
        <v>19</v>
      </c>
      <c r="B45" s="2" t="str">
        <f>"09302005600"</f>
        <v>09302005600</v>
      </c>
      <c r="C45" s="2" t="s">
        <v>5000</v>
      </c>
      <c r="D45" t="s">
        <v>29</v>
      </c>
      <c r="E45" s="2" t="s">
        <v>30</v>
      </c>
      <c r="F45" s="2">
        <v>37201</v>
      </c>
      <c r="G45" s="2" t="s">
        <v>152</v>
      </c>
      <c r="H45" t="s">
        <v>5001</v>
      </c>
      <c r="I45" s="6">
        <v>27395</v>
      </c>
      <c r="J45" s="2" t="s">
        <v>278</v>
      </c>
      <c r="K45" s="2" t="s">
        <v>34</v>
      </c>
      <c r="L45" t="s">
        <v>35</v>
      </c>
      <c r="M45" t="s">
        <v>29</v>
      </c>
      <c r="N45" t="s">
        <v>30</v>
      </c>
      <c r="O45">
        <v>37219</v>
      </c>
      <c r="P45" t="s">
        <v>5002</v>
      </c>
      <c r="Q45" s="2">
        <v>6.35</v>
      </c>
      <c r="R45" s="2">
        <v>354</v>
      </c>
      <c r="S45" s="2">
        <v>505</v>
      </c>
      <c r="T45" t="s">
        <v>5003</v>
      </c>
      <c r="U45" s="6">
        <v>38491</v>
      </c>
      <c r="V45" s="2">
        <v>47037019500</v>
      </c>
      <c r="W45" s="2" t="s">
        <v>4960</v>
      </c>
      <c r="X45" s="1">
        <v>45658</v>
      </c>
      <c r="Y45" s="2">
        <v>138303000</v>
      </c>
      <c r="Z45" s="2">
        <v>0</v>
      </c>
      <c r="AA45" s="2">
        <v>138303000</v>
      </c>
    </row>
    <row r="46" spans="1:27" x14ac:dyDescent="0.3">
      <c r="A46" s="3">
        <v>19</v>
      </c>
      <c r="B46" s="2" t="str">
        <f>"09311002700"</f>
        <v>09311002700</v>
      </c>
      <c r="C46" s="2" t="s">
        <v>5004</v>
      </c>
      <c r="D46" t="s">
        <v>29</v>
      </c>
      <c r="E46" s="2" t="s">
        <v>30</v>
      </c>
      <c r="F46" s="2">
        <v>37210</v>
      </c>
      <c r="G46" s="2" t="s">
        <v>152</v>
      </c>
      <c r="H46" t="s">
        <v>5005</v>
      </c>
      <c r="I46" s="6">
        <v>37516</v>
      </c>
      <c r="J46" s="2" t="s">
        <v>5006</v>
      </c>
      <c r="K46" s="2">
        <v>1392266</v>
      </c>
      <c r="L46" t="s">
        <v>35</v>
      </c>
      <c r="M46" t="s">
        <v>29</v>
      </c>
      <c r="N46" t="s">
        <v>30</v>
      </c>
      <c r="O46">
        <v>37219</v>
      </c>
      <c r="P46" t="s">
        <v>5007</v>
      </c>
      <c r="Q46" s="2">
        <v>1.95</v>
      </c>
      <c r="R46" s="2">
        <v>189</v>
      </c>
      <c r="S46" s="2">
        <v>406</v>
      </c>
      <c r="T46" t="s">
        <v>5008</v>
      </c>
      <c r="U46" s="6">
        <v>45058</v>
      </c>
      <c r="V46" s="2">
        <v>47037019500</v>
      </c>
      <c r="W46" s="2" t="s">
        <v>4960</v>
      </c>
      <c r="X46" s="1">
        <v>45658</v>
      </c>
      <c r="Y46" s="2">
        <v>27606200</v>
      </c>
      <c r="Z46" s="2">
        <v>0</v>
      </c>
      <c r="AA46" s="2">
        <v>27606200</v>
      </c>
    </row>
    <row r="47" spans="1:27" x14ac:dyDescent="0.3">
      <c r="A47" s="3">
        <v>19</v>
      </c>
      <c r="B47" s="2" t="str">
        <f>"09306000100"</f>
        <v>09306000100</v>
      </c>
      <c r="C47" s="2" t="s">
        <v>5009</v>
      </c>
      <c r="D47" t="s">
        <v>29</v>
      </c>
      <c r="E47" s="2" t="s">
        <v>30</v>
      </c>
      <c r="F47" s="2">
        <v>37203</v>
      </c>
      <c r="G47" s="2" t="s">
        <v>2706</v>
      </c>
      <c r="H47" t="s">
        <v>158</v>
      </c>
      <c r="I47" s="6">
        <v>29458</v>
      </c>
      <c r="J47" s="2" t="s">
        <v>5010</v>
      </c>
      <c r="K47" s="2" t="s">
        <v>34</v>
      </c>
      <c r="L47" t="s">
        <v>35</v>
      </c>
      <c r="M47" t="s">
        <v>29</v>
      </c>
      <c r="N47" t="s">
        <v>30</v>
      </c>
      <c r="O47">
        <v>37219</v>
      </c>
      <c r="P47" t="s">
        <v>5011</v>
      </c>
      <c r="Q47" s="2">
        <v>1.1000000000000001</v>
      </c>
      <c r="R47" s="2">
        <v>331</v>
      </c>
      <c r="S47" s="2">
        <v>165</v>
      </c>
      <c r="T47" t="s">
        <v>278</v>
      </c>
      <c r="U47" s="6">
        <v>29037</v>
      </c>
      <c r="V47" s="2">
        <v>47037019500</v>
      </c>
      <c r="W47" s="2" t="s">
        <v>4960</v>
      </c>
      <c r="X47" s="1">
        <v>45658</v>
      </c>
      <c r="Y47" s="2">
        <v>0</v>
      </c>
      <c r="Z47" s="2">
        <v>0</v>
      </c>
      <c r="AA47" s="2">
        <v>0</v>
      </c>
    </row>
    <row r="48" spans="1:27" x14ac:dyDescent="0.3">
      <c r="A48" s="3">
        <v>19</v>
      </c>
      <c r="B48" s="2" t="str">
        <f>"09306210300"</f>
        <v>09306210300</v>
      </c>
      <c r="C48" s="2" t="s">
        <v>5012</v>
      </c>
      <c r="D48" t="s">
        <v>29</v>
      </c>
      <c r="E48" s="2" t="s">
        <v>30</v>
      </c>
      <c r="F48" s="2">
        <v>37201</v>
      </c>
      <c r="G48" s="2" t="s">
        <v>200</v>
      </c>
      <c r="H48" t="s">
        <v>5013</v>
      </c>
      <c r="I48" s="6">
        <v>18324</v>
      </c>
      <c r="J48" s="2" t="s">
        <v>5014</v>
      </c>
      <c r="K48" s="2" t="s">
        <v>34</v>
      </c>
      <c r="L48" t="s">
        <v>35</v>
      </c>
      <c r="M48" t="s">
        <v>29</v>
      </c>
      <c r="N48" t="s">
        <v>30</v>
      </c>
      <c r="O48">
        <v>37219</v>
      </c>
      <c r="P48" t="s">
        <v>5015</v>
      </c>
      <c r="Q48" s="2">
        <v>0.66</v>
      </c>
      <c r="R48" s="2">
        <v>225</v>
      </c>
      <c r="S48" s="2">
        <v>161</v>
      </c>
      <c r="T48" t="s">
        <v>5016</v>
      </c>
      <c r="U48" s="6">
        <v>30741</v>
      </c>
      <c r="V48" s="2">
        <v>47037019500</v>
      </c>
      <c r="W48" s="2" t="s">
        <v>4960</v>
      </c>
      <c r="X48" s="1">
        <v>45658</v>
      </c>
      <c r="Y48" s="2">
        <v>34498800</v>
      </c>
      <c r="Z48" s="2">
        <v>0</v>
      </c>
      <c r="AA48" s="2">
        <v>34498800</v>
      </c>
    </row>
    <row r="49" spans="1:27" x14ac:dyDescent="0.3">
      <c r="A49" s="3">
        <v>19</v>
      </c>
      <c r="B49" s="2" t="str">
        <f>"09311019900"</f>
        <v>09311019900</v>
      </c>
      <c r="C49" s="2" t="s">
        <v>5017</v>
      </c>
      <c r="D49" t="s">
        <v>29</v>
      </c>
      <c r="E49" s="2" t="s">
        <v>30</v>
      </c>
      <c r="F49" s="2">
        <v>37210</v>
      </c>
      <c r="G49" s="2" t="s">
        <v>2706</v>
      </c>
      <c r="H49" t="s">
        <v>5018</v>
      </c>
      <c r="I49" s="6">
        <v>14286</v>
      </c>
      <c r="J49" s="2" t="s">
        <v>5019</v>
      </c>
      <c r="K49" s="2" t="s">
        <v>34</v>
      </c>
      <c r="L49" t="s">
        <v>35</v>
      </c>
      <c r="M49" t="s">
        <v>29</v>
      </c>
      <c r="N49" t="s">
        <v>30</v>
      </c>
      <c r="O49">
        <v>37219</v>
      </c>
      <c r="P49" t="s">
        <v>5020</v>
      </c>
      <c r="Q49" s="2">
        <v>15.33</v>
      </c>
      <c r="R49" s="2">
        <v>0</v>
      </c>
      <c r="S49" s="2">
        <v>0</v>
      </c>
      <c r="T49" t="s">
        <v>5021</v>
      </c>
      <c r="U49" s="6">
        <v>30425</v>
      </c>
      <c r="V49" s="2">
        <v>47037019500</v>
      </c>
      <c r="W49" s="2" t="s">
        <v>68</v>
      </c>
      <c r="X49" s="1">
        <v>45658</v>
      </c>
      <c r="Y49" s="2">
        <v>100166300</v>
      </c>
      <c r="Z49" s="2">
        <v>0</v>
      </c>
      <c r="AA49" s="2">
        <v>100166300</v>
      </c>
    </row>
    <row r="50" spans="1:27" x14ac:dyDescent="0.3">
      <c r="A50" s="3">
        <v>19</v>
      </c>
      <c r="B50" s="2" t="str">
        <f>"09302002100"</f>
        <v>09302002100</v>
      </c>
      <c r="C50" s="2" t="s">
        <v>5022</v>
      </c>
      <c r="D50" t="s">
        <v>29</v>
      </c>
      <c r="E50" s="2" t="s">
        <v>30</v>
      </c>
      <c r="F50" s="2">
        <v>37201</v>
      </c>
      <c r="G50" s="2" t="s">
        <v>152</v>
      </c>
      <c r="H50" t="s">
        <v>5018</v>
      </c>
      <c r="I50" s="6">
        <v>30177</v>
      </c>
      <c r="J50" s="2" t="s">
        <v>5023</v>
      </c>
      <c r="K50" s="2">
        <v>825000</v>
      </c>
      <c r="L50" t="s">
        <v>35</v>
      </c>
      <c r="M50" t="s">
        <v>29</v>
      </c>
      <c r="N50" t="s">
        <v>30</v>
      </c>
      <c r="O50">
        <v>37219</v>
      </c>
      <c r="P50" t="s">
        <v>5024</v>
      </c>
      <c r="Q50" s="2">
        <v>3.65</v>
      </c>
      <c r="R50" s="2">
        <v>584</v>
      </c>
      <c r="S50" s="2">
        <v>0</v>
      </c>
      <c r="T50" t="s">
        <v>5025</v>
      </c>
      <c r="U50" s="6">
        <v>43081</v>
      </c>
      <c r="V50" s="2">
        <v>47037019500</v>
      </c>
      <c r="W50" s="2" t="s">
        <v>68</v>
      </c>
      <c r="X50" s="1">
        <v>45658</v>
      </c>
      <c r="Y50" s="2">
        <v>31798800</v>
      </c>
      <c r="Z50" s="2">
        <v>0</v>
      </c>
      <c r="AA50" s="2">
        <v>31798800</v>
      </c>
    </row>
    <row r="51" spans="1:27" x14ac:dyDescent="0.3">
      <c r="A51" s="3">
        <v>19</v>
      </c>
      <c r="B51" s="2" t="str">
        <f>"09302005000"</f>
        <v>09302005000</v>
      </c>
      <c r="C51" s="2" t="s">
        <v>5026</v>
      </c>
      <c r="D51" t="s">
        <v>29</v>
      </c>
      <c r="E51" s="2" t="s">
        <v>30</v>
      </c>
      <c r="F51" s="2">
        <v>37201</v>
      </c>
      <c r="G51" s="2" t="s">
        <v>2495</v>
      </c>
      <c r="H51" t="s">
        <v>5018</v>
      </c>
      <c r="I51" s="6">
        <v>14475</v>
      </c>
      <c r="J51" s="2" t="s">
        <v>5027</v>
      </c>
      <c r="K51" s="2" t="s">
        <v>34</v>
      </c>
      <c r="L51" t="s">
        <v>35</v>
      </c>
      <c r="M51" t="s">
        <v>29</v>
      </c>
      <c r="N51" t="s">
        <v>30</v>
      </c>
      <c r="O51">
        <v>37219</v>
      </c>
      <c r="P51" t="s">
        <v>5028</v>
      </c>
      <c r="Q51" s="2">
        <v>2.12</v>
      </c>
      <c r="R51" s="2">
        <v>293</v>
      </c>
      <c r="S51" s="2">
        <v>349</v>
      </c>
      <c r="T51" t="s">
        <v>5029</v>
      </c>
      <c r="U51" s="6">
        <v>30393</v>
      </c>
      <c r="V51" s="2">
        <v>47037019500</v>
      </c>
      <c r="W51" s="2" t="s">
        <v>68</v>
      </c>
      <c r="X51" s="1">
        <v>45658</v>
      </c>
      <c r="Y51" s="2">
        <v>18469400</v>
      </c>
      <c r="Z51" s="2">
        <v>0</v>
      </c>
      <c r="AA51" s="2">
        <v>18469400</v>
      </c>
    </row>
    <row r="52" spans="1:27" x14ac:dyDescent="0.3">
      <c r="A52" s="3">
        <v>19</v>
      </c>
      <c r="B52" s="2" t="str">
        <f>"08214002601"</f>
        <v>08214002601</v>
      </c>
      <c r="C52" s="2" t="s">
        <v>5030</v>
      </c>
      <c r="D52" t="s">
        <v>29</v>
      </c>
      <c r="E52" s="2" t="s">
        <v>30</v>
      </c>
      <c r="F52" s="2">
        <v>37201</v>
      </c>
      <c r="G52" s="2" t="s">
        <v>2490</v>
      </c>
      <c r="H52" t="s">
        <v>5031</v>
      </c>
      <c r="I52" s="6">
        <v>33434</v>
      </c>
      <c r="J52" s="2" t="s">
        <v>5032</v>
      </c>
      <c r="K52" s="2" t="s">
        <v>34</v>
      </c>
      <c r="L52" t="s">
        <v>35</v>
      </c>
      <c r="M52" t="s">
        <v>29</v>
      </c>
      <c r="N52" t="s">
        <v>30</v>
      </c>
      <c r="O52">
        <v>37219</v>
      </c>
      <c r="P52" t="s">
        <v>5033</v>
      </c>
      <c r="Q52" s="2">
        <v>0.47</v>
      </c>
      <c r="R52" s="2">
        <v>175</v>
      </c>
      <c r="S52" s="2">
        <v>125</v>
      </c>
      <c r="T52" t="s">
        <v>278</v>
      </c>
      <c r="U52" s="6">
        <v>32143</v>
      </c>
      <c r="V52" s="2">
        <v>47037019400</v>
      </c>
      <c r="W52" s="2" t="s">
        <v>68</v>
      </c>
      <c r="X52" s="1">
        <v>45658</v>
      </c>
      <c r="Y52" s="2">
        <v>928000</v>
      </c>
      <c r="Z52" s="2">
        <v>6700</v>
      </c>
      <c r="AA52" s="2">
        <v>921300</v>
      </c>
    </row>
    <row r="53" spans="1:27" x14ac:dyDescent="0.3">
      <c r="A53" s="3">
        <v>19</v>
      </c>
      <c r="B53" s="2" t="str">
        <f>"08200001400"</f>
        <v>08200001400</v>
      </c>
      <c r="C53" s="2" t="s">
        <v>1738</v>
      </c>
      <c r="D53" t="s">
        <v>29</v>
      </c>
      <c r="E53" s="2" t="s">
        <v>30</v>
      </c>
      <c r="F53" s="2">
        <v>37208</v>
      </c>
      <c r="G53" s="2" t="s">
        <v>1485</v>
      </c>
      <c r="H53" t="s">
        <v>5034</v>
      </c>
      <c r="I53" s="6">
        <v>27395</v>
      </c>
      <c r="J53" s="2" t="s">
        <v>5035</v>
      </c>
      <c r="K53" s="2" t="s">
        <v>34</v>
      </c>
      <c r="L53" t="s">
        <v>35</v>
      </c>
      <c r="M53" t="s">
        <v>29</v>
      </c>
      <c r="N53" t="s">
        <v>30</v>
      </c>
      <c r="O53">
        <v>37219</v>
      </c>
      <c r="P53" t="s">
        <v>5036</v>
      </c>
      <c r="Q53" s="2">
        <v>1.29</v>
      </c>
      <c r="R53" s="2">
        <v>0</v>
      </c>
      <c r="S53" s="2">
        <v>0</v>
      </c>
      <c r="T53" t="s">
        <v>5037</v>
      </c>
      <c r="U53" s="2" t="s">
        <v>5038</v>
      </c>
      <c r="V53" s="2">
        <v>47037019400</v>
      </c>
      <c r="W53" s="2" t="s">
        <v>68</v>
      </c>
      <c r="X53" s="1">
        <v>45658</v>
      </c>
      <c r="Y53" s="2">
        <v>400</v>
      </c>
      <c r="Z53" s="2">
        <v>0</v>
      </c>
      <c r="AA53" s="2">
        <v>400</v>
      </c>
    </row>
    <row r="54" spans="1:27" x14ac:dyDescent="0.3">
      <c r="A54" s="3">
        <v>19</v>
      </c>
      <c r="B54" s="2" t="str">
        <f>"09309032600"</f>
        <v>09309032600</v>
      </c>
      <c r="C54" s="2" t="s">
        <v>5039</v>
      </c>
      <c r="D54" t="s">
        <v>29</v>
      </c>
      <c r="E54" s="2" t="s">
        <v>30</v>
      </c>
      <c r="F54" s="2">
        <v>37203</v>
      </c>
      <c r="G54" s="2" t="s">
        <v>505</v>
      </c>
      <c r="H54" t="s">
        <v>5040</v>
      </c>
      <c r="I54" s="6">
        <v>31320</v>
      </c>
      <c r="J54" s="2" t="s">
        <v>5041</v>
      </c>
      <c r="K54" s="2">
        <v>0</v>
      </c>
      <c r="L54" t="s">
        <v>35</v>
      </c>
      <c r="M54" t="s">
        <v>29</v>
      </c>
      <c r="N54" t="s">
        <v>30</v>
      </c>
      <c r="O54">
        <v>37219</v>
      </c>
      <c r="P54" t="s">
        <v>5042</v>
      </c>
      <c r="Q54" s="2">
        <v>1.38</v>
      </c>
      <c r="R54" s="2">
        <v>0</v>
      </c>
      <c r="S54" s="2">
        <v>0</v>
      </c>
      <c r="T54" t="s">
        <v>5043</v>
      </c>
      <c r="U54" s="6">
        <v>31400</v>
      </c>
      <c r="V54" s="2">
        <v>47037019500</v>
      </c>
      <c r="W54" s="2" t="s">
        <v>4960</v>
      </c>
      <c r="X54" s="1">
        <v>45658</v>
      </c>
      <c r="Y54" s="2">
        <v>0</v>
      </c>
      <c r="Z54" s="2">
        <v>0</v>
      </c>
      <c r="AA54" s="2">
        <v>0</v>
      </c>
    </row>
    <row r="55" spans="1:27" x14ac:dyDescent="0.3">
      <c r="A55" s="3">
        <v>19</v>
      </c>
      <c r="B55" s="2" t="str">
        <f>"09306101500"</f>
        <v>09306101500</v>
      </c>
      <c r="C55" s="2" t="s">
        <v>5044</v>
      </c>
      <c r="D55" t="s">
        <v>29</v>
      </c>
      <c r="E55" s="2" t="s">
        <v>30</v>
      </c>
      <c r="F55" s="2">
        <v>37219</v>
      </c>
      <c r="G55" s="2" t="s">
        <v>200</v>
      </c>
      <c r="H55" t="s">
        <v>171</v>
      </c>
      <c r="I55" s="6">
        <v>35997</v>
      </c>
      <c r="J55" s="2" t="s">
        <v>5045</v>
      </c>
      <c r="K55" s="2">
        <v>391500</v>
      </c>
      <c r="L55" t="s">
        <v>35</v>
      </c>
      <c r="M55" t="s">
        <v>29</v>
      </c>
      <c r="N55" t="s">
        <v>30</v>
      </c>
      <c r="O55">
        <v>37219</v>
      </c>
      <c r="P55" t="s">
        <v>5046</v>
      </c>
      <c r="Q55" s="2">
        <v>0.27</v>
      </c>
      <c r="R55" s="2">
        <v>138</v>
      </c>
      <c r="S55" s="2">
        <v>87</v>
      </c>
      <c r="T55" t="s">
        <v>278</v>
      </c>
      <c r="U55" s="6">
        <v>35927</v>
      </c>
      <c r="V55" s="2">
        <v>47037019500</v>
      </c>
      <c r="W55" s="2" t="s">
        <v>4960</v>
      </c>
      <c r="X55" s="1">
        <v>45658</v>
      </c>
      <c r="Y55" s="2">
        <v>6003000</v>
      </c>
      <c r="Z55" s="2">
        <v>0</v>
      </c>
      <c r="AA55" s="2">
        <v>6003000</v>
      </c>
    </row>
    <row r="56" spans="1:27" x14ac:dyDescent="0.3">
      <c r="A56" s="3">
        <v>19</v>
      </c>
      <c r="B56" s="2" t="str">
        <f>"09306004100"</f>
        <v>09306004100</v>
      </c>
      <c r="C56" s="2" t="s">
        <v>5047</v>
      </c>
      <c r="D56" t="s">
        <v>29</v>
      </c>
      <c r="E56" s="2" t="s">
        <v>30</v>
      </c>
      <c r="F56" s="2">
        <v>37201</v>
      </c>
      <c r="G56" s="2" t="s">
        <v>41</v>
      </c>
      <c r="H56" t="s">
        <v>171</v>
      </c>
      <c r="I56" s="6">
        <v>30981</v>
      </c>
      <c r="J56" s="2" t="s">
        <v>5048</v>
      </c>
      <c r="K56" s="2" t="s">
        <v>34</v>
      </c>
      <c r="L56" t="s">
        <v>35</v>
      </c>
      <c r="M56" t="s">
        <v>29</v>
      </c>
      <c r="N56" t="s">
        <v>30</v>
      </c>
      <c r="O56">
        <v>37219</v>
      </c>
      <c r="P56" t="s">
        <v>5049</v>
      </c>
      <c r="Q56" s="2">
        <v>12.54</v>
      </c>
      <c r="R56" s="2">
        <v>1027</v>
      </c>
      <c r="S56" s="2">
        <v>0</v>
      </c>
      <c r="T56" t="s">
        <v>5050</v>
      </c>
      <c r="U56" s="6">
        <v>42129</v>
      </c>
      <c r="V56" s="2">
        <v>47037019500</v>
      </c>
      <c r="W56" s="2" t="s">
        <v>4960</v>
      </c>
      <c r="X56" s="1">
        <v>45658</v>
      </c>
      <c r="Y56" s="2">
        <v>88764300</v>
      </c>
      <c r="Z56" s="2">
        <v>0</v>
      </c>
      <c r="AA56" s="2">
        <v>88764300</v>
      </c>
    </row>
    <row r="57" spans="1:27" x14ac:dyDescent="0.3">
      <c r="A57" s="3">
        <v>19</v>
      </c>
      <c r="B57" s="2" t="str">
        <f>"09302001300"</f>
        <v>09302001300</v>
      </c>
      <c r="C57" s="2" t="s">
        <v>5051</v>
      </c>
      <c r="D57" t="s">
        <v>29</v>
      </c>
      <c r="E57" s="2" t="s">
        <v>30</v>
      </c>
      <c r="F57" s="2">
        <v>37219</v>
      </c>
      <c r="G57" s="2" t="s">
        <v>5052</v>
      </c>
      <c r="H57" t="s">
        <v>5053</v>
      </c>
      <c r="I57" s="6">
        <v>22052</v>
      </c>
      <c r="J57" s="2" t="s">
        <v>5054</v>
      </c>
      <c r="K57" s="2" t="s">
        <v>34</v>
      </c>
      <c r="L57" t="s">
        <v>35</v>
      </c>
      <c r="M57" t="s">
        <v>29</v>
      </c>
      <c r="N57" t="s">
        <v>30</v>
      </c>
      <c r="O57">
        <v>37219</v>
      </c>
      <c r="P57" t="s">
        <v>5055</v>
      </c>
      <c r="Q57" s="2">
        <v>2.7</v>
      </c>
      <c r="R57" s="2">
        <v>393</v>
      </c>
      <c r="S57" s="2">
        <v>325</v>
      </c>
      <c r="T57" t="s">
        <v>5054</v>
      </c>
      <c r="U57" s="6">
        <v>22052</v>
      </c>
      <c r="V57" s="2">
        <v>47037019500</v>
      </c>
      <c r="W57" s="2" t="s">
        <v>68</v>
      </c>
      <c r="X57" s="1">
        <v>45658</v>
      </c>
      <c r="Y57" s="2">
        <v>31284800</v>
      </c>
      <c r="Z57" s="2">
        <v>0</v>
      </c>
      <c r="AA57" s="2">
        <v>31284800</v>
      </c>
    </row>
    <row r="58" spans="1:27" x14ac:dyDescent="0.3">
      <c r="A58" s="3">
        <v>19</v>
      </c>
      <c r="B58" s="2" t="str">
        <f>"08214003801"</f>
        <v>08214003801</v>
      </c>
      <c r="C58" s="2" t="s">
        <v>5056</v>
      </c>
      <c r="D58" t="s">
        <v>29</v>
      </c>
      <c r="E58" s="2" t="s">
        <v>30</v>
      </c>
      <c r="F58" s="2">
        <v>37201</v>
      </c>
      <c r="G58" s="2" t="s">
        <v>2490</v>
      </c>
      <c r="H58" t="s">
        <v>5057</v>
      </c>
      <c r="I58" s="6">
        <v>23741</v>
      </c>
      <c r="J58" s="2" t="s">
        <v>5058</v>
      </c>
      <c r="K58" s="2" t="s">
        <v>34</v>
      </c>
      <c r="L58" t="s">
        <v>35</v>
      </c>
      <c r="M58" t="s">
        <v>29</v>
      </c>
      <c r="N58" t="s">
        <v>30</v>
      </c>
      <c r="O58">
        <v>37219</v>
      </c>
      <c r="P58" t="s">
        <v>5059</v>
      </c>
      <c r="Q58" s="2">
        <v>1.03</v>
      </c>
      <c r="R58" s="2">
        <v>22</v>
      </c>
      <c r="S58" s="2">
        <v>144</v>
      </c>
      <c r="T58" t="s">
        <v>5058</v>
      </c>
      <c r="U58" s="6">
        <v>23741</v>
      </c>
      <c r="V58" s="2">
        <v>47037019500</v>
      </c>
      <c r="W58" s="2" t="s">
        <v>68</v>
      </c>
      <c r="X58" s="1">
        <v>45658</v>
      </c>
      <c r="Y58" s="2">
        <v>5801500</v>
      </c>
      <c r="Z58" s="2">
        <v>58500</v>
      </c>
      <c r="AA58" s="2">
        <v>5743000</v>
      </c>
    </row>
    <row r="59" spans="1:27" x14ac:dyDescent="0.3">
      <c r="A59" s="3">
        <v>19</v>
      </c>
      <c r="B59" s="2" t="str">
        <f>"09302005400"</f>
        <v>09302005400</v>
      </c>
      <c r="C59" s="2" t="s">
        <v>4991</v>
      </c>
      <c r="D59" t="s">
        <v>29</v>
      </c>
      <c r="E59" s="2" t="s">
        <v>30</v>
      </c>
      <c r="F59" s="2">
        <v>37201</v>
      </c>
      <c r="G59" s="2" t="s">
        <v>41</v>
      </c>
      <c r="H59" t="s">
        <v>911</v>
      </c>
      <c r="I59" s="6">
        <v>24814</v>
      </c>
      <c r="J59" s="2" t="s">
        <v>5060</v>
      </c>
      <c r="K59" s="2" t="s">
        <v>34</v>
      </c>
      <c r="L59" t="s">
        <v>35</v>
      </c>
      <c r="M59" t="s">
        <v>29</v>
      </c>
      <c r="N59" t="s">
        <v>30</v>
      </c>
      <c r="O59">
        <v>37219</v>
      </c>
      <c r="P59" t="s">
        <v>5061</v>
      </c>
      <c r="Q59" s="2">
        <v>0.14000000000000001</v>
      </c>
      <c r="R59" s="2">
        <v>201</v>
      </c>
      <c r="S59" s="2">
        <v>35</v>
      </c>
      <c r="T59" t="s">
        <v>5060</v>
      </c>
      <c r="U59" s="6">
        <v>24814</v>
      </c>
      <c r="V59" s="2">
        <v>47037019500</v>
      </c>
      <c r="W59" s="2" t="s">
        <v>68</v>
      </c>
      <c r="X59" s="1">
        <v>45658</v>
      </c>
      <c r="Y59" s="2">
        <v>609800</v>
      </c>
      <c r="Z59" s="2">
        <v>0</v>
      </c>
      <c r="AA59" s="2">
        <v>609800</v>
      </c>
    </row>
    <row r="60" spans="1:27" x14ac:dyDescent="0.3">
      <c r="A60" s="3">
        <v>19</v>
      </c>
      <c r="B60" s="2" t="str">
        <f>"09204024100"</f>
        <v>09204024100</v>
      </c>
      <c r="C60" s="2" t="s">
        <v>5062</v>
      </c>
      <c r="D60" t="s">
        <v>29</v>
      </c>
      <c r="E60" s="2" t="s">
        <v>30</v>
      </c>
      <c r="F60" s="2">
        <v>37208</v>
      </c>
      <c r="G60" s="2" t="s">
        <v>64</v>
      </c>
      <c r="H60" t="s">
        <v>911</v>
      </c>
      <c r="I60" s="6">
        <v>26373</v>
      </c>
      <c r="J60" s="2" t="s">
        <v>5063</v>
      </c>
      <c r="K60" s="2" t="s">
        <v>34</v>
      </c>
      <c r="L60" t="s">
        <v>35</v>
      </c>
      <c r="M60" t="s">
        <v>29</v>
      </c>
      <c r="N60" t="s">
        <v>30</v>
      </c>
      <c r="O60">
        <v>37219</v>
      </c>
      <c r="P60" t="s">
        <v>5064</v>
      </c>
      <c r="Q60" s="2">
        <v>0.02</v>
      </c>
      <c r="R60" s="2">
        <v>4</v>
      </c>
      <c r="S60" s="2">
        <v>139</v>
      </c>
      <c r="T60" t="s">
        <v>5063</v>
      </c>
      <c r="U60" s="6">
        <v>26373</v>
      </c>
      <c r="V60" s="2">
        <v>47037019400</v>
      </c>
      <c r="W60" s="2" t="s">
        <v>68</v>
      </c>
      <c r="X60" s="1">
        <v>45658</v>
      </c>
      <c r="Y60" s="2">
        <v>2300</v>
      </c>
      <c r="Z60" s="2">
        <v>0</v>
      </c>
      <c r="AA60" s="2">
        <v>2300</v>
      </c>
    </row>
    <row r="61" spans="1:27" x14ac:dyDescent="0.3">
      <c r="A61" s="3">
        <v>19</v>
      </c>
      <c r="B61" s="2" t="str">
        <f>"09311024100"</f>
        <v>09311024100</v>
      </c>
      <c r="C61" s="2" t="s">
        <v>5065</v>
      </c>
      <c r="D61" t="s">
        <v>29</v>
      </c>
      <c r="E61" s="2" t="s">
        <v>30</v>
      </c>
      <c r="F61" s="2">
        <v>37210</v>
      </c>
      <c r="G61" s="2" t="s">
        <v>2495</v>
      </c>
      <c r="H61" t="s">
        <v>5066</v>
      </c>
      <c r="I61" s="6">
        <v>44803</v>
      </c>
      <c r="J61" s="2" t="s">
        <v>5067</v>
      </c>
      <c r="K61" s="2">
        <v>20300000</v>
      </c>
      <c r="L61" t="s">
        <v>85</v>
      </c>
      <c r="M61" t="s">
        <v>29</v>
      </c>
      <c r="N61" t="s">
        <v>30</v>
      </c>
      <c r="O61">
        <v>37219</v>
      </c>
      <c r="P61" t="s">
        <v>5068</v>
      </c>
      <c r="Q61" s="2">
        <v>2.59</v>
      </c>
      <c r="R61" s="2">
        <v>0</v>
      </c>
      <c r="S61" s="2">
        <v>0</v>
      </c>
      <c r="T61" t="s">
        <v>5069</v>
      </c>
      <c r="U61" s="6">
        <v>26590</v>
      </c>
      <c r="V61" s="2">
        <v>47037019500</v>
      </c>
      <c r="W61" s="2" t="s">
        <v>68</v>
      </c>
      <c r="X61" s="1">
        <v>45658</v>
      </c>
      <c r="Y61" s="2">
        <v>27076800</v>
      </c>
      <c r="Z61" s="2">
        <v>0</v>
      </c>
      <c r="AA61" s="2">
        <v>27076800</v>
      </c>
    </row>
    <row r="62" spans="1:27" x14ac:dyDescent="0.3">
      <c r="A62" s="3">
        <v>19</v>
      </c>
      <c r="B62" s="2" t="str">
        <f>"09302006602"</f>
        <v>09302006602</v>
      </c>
      <c r="C62" s="2" t="s">
        <v>5070</v>
      </c>
      <c r="D62" t="s">
        <v>29</v>
      </c>
      <c r="E62" s="2" t="s">
        <v>30</v>
      </c>
      <c r="F62" s="2">
        <v>37213</v>
      </c>
      <c r="G62" s="2" t="s">
        <v>152</v>
      </c>
      <c r="H62" t="s">
        <v>176</v>
      </c>
      <c r="I62" s="6">
        <v>14472</v>
      </c>
      <c r="J62" s="2" t="s">
        <v>1267</v>
      </c>
      <c r="K62" s="2" t="s">
        <v>34</v>
      </c>
      <c r="L62" t="s">
        <v>178</v>
      </c>
      <c r="M62" t="s">
        <v>29</v>
      </c>
      <c r="N62" t="s">
        <v>30</v>
      </c>
      <c r="O62">
        <v>37246</v>
      </c>
      <c r="P62" t="s">
        <v>5071</v>
      </c>
      <c r="Q62" s="2">
        <v>0.03</v>
      </c>
      <c r="R62" s="2">
        <v>10</v>
      </c>
      <c r="S62" s="2">
        <v>82</v>
      </c>
      <c r="T62" t="s">
        <v>1267</v>
      </c>
      <c r="U62" s="6">
        <v>14472</v>
      </c>
      <c r="V62" s="2">
        <v>47037019300</v>
      </c>
      <c r="W62" s="2" t="s">
        <v>68</v>
      </c>
      <c r="X62" s="1">
        <v>45658</v>
      </c>
      <c r="Y62" s="2">
        <v>58800</v>
      </c>
      <c r="Z62" s="2">
        <v>0</v>
      </c>
      <c r="AA62" s="2">
        <v>58800</v>
      </c>
    </row>
    <row r="63" spans="1:27" x14ac:dyDescent="0.3">
      <c r="A63" s="3">
        <v>19</v>
      </c>
      <c r="B63" s="2" t="str">
        <f>"09302006603"</f>
        <v>09302006603</v>
      </c>
      <c r="C63" s="2" t="s">
        <v>5072</v>
      </c>
      <c r="D63" t="s">
        <v>29</v>
      </c>
      <c r="E63" s="2" t="s">
        <v>30</v>
      </c>
      <c r="F63" s="2">
        <v>37213</v>
      </c>
      <c r="G63" s="2" t="s">
        <v>152</v>
      </c>
      <c r="H63" t="s">
        <v>176</v>
      </c>
      <c r="I63" s="6">
        <v>14472</v>
      </c>
      <c r="J63" s="2" t="s">
        <v>1267</v>
      </c>
      <c r="K63" s="2" t="s">
        <v>34</v>
      </c>
      <c r="L63" t="s">
        <v>178</v>
      </c>
      <c r="M63" t="s">
        <v>29</v>
      </c>
      <c r="N63" t="s">
        <v>30</v>
      </c>
      <c r="O63">
        <v>37246</v>
      </c>
      <c r="P63" t="s">
        <v>5073</v>
      </c>
      <c r="Q63" s="2">
        <v>0.17</v>
      </c>
      <c r="R63" s="2">
        <v>85</v>
      </c>
      <c r="S63" s="2">
        <v>90</v>
      </c>
      <c r="T63" t="s">
        <v>1267</v>
      </c>
      <c r="U63" s="6">
        <v>14472</v>
      </c>
      <c r="V63" s="2">
        <v>47037019300</v>
      </c>
      <c r="W63" s="2" t="s">
        <v>68</v>
      </c>
      <c r="X63" s="1">
        <v>45658</v>
      </c>
      <c r="Y63" s="2">
        <v>333200</v>
      </c>
      <c r="Z63" s="2">
        <v>0</v>
      </c>
      <c r="AA63" s="2">
        <v>333200</v>
      </c>
    </row>
    <row r="64" spans="1:27" x14ac:dyDescent="0.3">
      <c r="A64" s="3">
        <v>19</v>
      </c>
      <c r="B64" s="2" t="str">
        <f>"09310019000"</f>
        <v>09310019000</v>
      </c>
      <c r="C64" s="2" t="s">
        <v>5074</v>
      </c>
      <c r="D64" t="s">
        <v>29</v>
      </c>
      <c r="E64" s="2" t="s">
        <v>30</v>
      </c>
      <c r="F64" s="2">
        <v>37203</v>
      </c>
      <c r="G64" s="2" t="s">
        <v>41</v>
      </c>
      <c r="H64" t="s">
        <v>176</v>
      </c>
      <c r="I64" s="6">
        <v>41234</v>
      </c>
      <c r="J64" s="2" t="s">
        <v>5075</v>
      </c>
      <c r="K64" s="2">
        <v>0</v>
      </c>
      <c r="L64" t="s">
        <v>542</v>
      </c>
      <c r="M64" t="s">
        <v>29</v>
      </c>
      <c r="N64" t="s">
        <v>30</v>
      </c>
      <c r="O64">
        <v>37246</v>
      </c>
      <c r="P64" t="s">
        <v>5076</v>
      </c>
      <c r="Q64" s="2">
        <v>0.56000000000000005</v>
      </c>
      <c r="R64" s="2">
        <v>154</v>
      </c>
      <c r="S64" s="2">
        <v>158</v>
      </c>
      <c r="T64" t="s">
        <v>4959</v>
      </c>
      <c r="U64" s="6">
        <v>41445</v>
      </c>
      <c r="V64" s="2">
        <v>47037019500</v>
      </c>
      <c r="W64" s="2" t="s">
        <v>4960</v>
      </c>
      <c r="X64" s="1">
        <v>45658</v>
      </c>
      <c r="Y64" s="2">
        <v>14593200</v>
      </c>
      <c r="Z64" s="2">
        <v>0</v>
      </c>
      <c r="AA64" s="2">
        <v>14593200</v>
      </c>
    </row>
    <row r="65" spans="1:27" x14ac:dyDescent="0.3">
      <c r="A65" s="3">
        <v>19</v>
      </c>
      <c r="B65" s="2" t="str">
        <f>"08209002100"</f>
        <v>08209002100</v>
      </c>
      <c r="C65" s="2" t="s">
        <v>5077</v>
      </c>
      <c r="D65" t="s">
        <v>29</v>
      </c>
      <c r="E65" s="2" t="s">
        <v>30</v>
      </c>
      <c r="F65" s="2">
        <v>37208</v>
      </c>
      <c r="G65" s="2" t="s">
        <v>152</v>
      </c>
      <c r="H65" t="s">
        <v>176</v>
      </c>
      <c r="I65" s="6">
        <v>17040</v>
      </c>
      <c r="J65" s="2" t="s">
        <v>5078</v>
      </c>
      <c r="K65" s="2" t="s">
        <v>34</v>
      </c>
      <c r="L65" t="s">
        <v>178</v>
      </c>
      <c r="M65" t="s">
        <v>29</v>
      </c>
      <c r="N65" t="s">
        <v>30</v>
      </c>
      <c r="O65">
        <v>37246</v>
      </c>
      <c r="P65" t="s">
        <v>5079</v>
      </c>
      <c r="Q65" s="2">
        <v>7.0000000000000007E-2</v>
      </c>
      <c r="R65" s="2">
        <v>60</v>
      </c>
      <c r="S65" s="2">
        <v>55</v>
      </c>
      <c r="T65" t="s">
        <v>5078</v>
      </c>
      <c r="U65" s="6">
        <v>17040</v>
      </c>
      <c r="V65" s="2">
        <v>47037019400</v>
      </c>
      <c r="W65" s="2" t="s">
        <v>68</v>
      </c>
      <c r="X65" s="1">
        <v>45658</v>
      </c>
      <c r="Y65" s="2">
        <v>23800</v>
      </c>
      <c r="Z65" s="2">
        <v>0</v>
      </c>
      <c r="AA65" s="2">
        <v>23800</v>
      </c>
    </row>
    <row r="66" spans="1:27" x14ac:dyDescent="0.3">
      <c r="A66" s="3">
        <v>19</v>
      </c>
      <c r="B66" s="2" t="str">
        <f>"09305012400"</f>
        <v>09305012400</v>
      </c>
      <c r="C66" s="2" t="s">
        <v>5080</v>
      </c>
      <c r="D66" t="s">
        <v>29</v>
      </c>
      <c r="E66" s="2" t="s">
        <v>30</v>
      </c>
      <c r="F66" s="2">
        <v>37203</v>
      </c>
      <c r="G66" s="2" t="s">
        <v>152</v>
      </c>
      <c r="H66" t="s">
        <v>176</v>
      </c>
      <c r="I66" s="6">
        <v>40472</v>
      </c>
      <c r="J66" s="2" t="s">
        <v>5081</v>
      </c>
      <c r="K66" s="2">
        <v>0</v>
      </c>
      <c r="L66" t="s">
        <v>542</v>
      </c>
      <c r="M66" t="s">
        <v>29</v>
      </c>
      <c r="N66" t="s">
        <v>30</v>
      </c>
      <c r="O66">
        <v>37246</v>
      </c>
      <c r="P66" t="s">
        <v>5082</v>
      </c>
      <c r="Q66" s="2">
        <v>3.28</v>
      </c>
      <c r="R66" s="2">
        <v>333</v>
      </c>
      <c r="S66" s="2">
        <v>162</v>
      </c>
      <c r="T66" t="s">
        <v>5083</v>
      </c>
      <c r="U66" s="6">
        <v>32008</v>
      </c>
      <c r="V66" s="2">
        <v>47037019500</v>
      </c>
      <c r="W66" s="2" t="s">
        <v>68</v>
      </c>
      <c r="X66" s="1">
        <v>45658</v>
      </c>
      <c r="Y66" s="2">
        <v>42863100</v>
      </c>
      <c r="Z66" s="2">
        <v>0</v>
      </c>
      <c r="AA66" s="2">
        <v>42863100</v>
      </c>
    </row>
    <row r="67" spans="1:27" x14ac:dyDescent="0.3">
      <c r="A67" s="3">
        <v>19</v>
      </c>
      <c r="B67" s="2" t="str">
        <f>"09305012200"</f>
        <v>09305012200</v>
      </c>
      <c r="C67" s="2" t="s">
        <v>542</v>
      </c>
      <c r="D67" t="s">
        <v>29</v>
      </c>
      <c r="E67" s="2" t="s">
        <v>30</v>
      </c>
      <c r="F67" s="2">
        <v>37246</v>
      </c>
      <c r="G67" s="2" t="s">
        <v>2706</v>
      </c>
      <c r="H67" t="s">
        <v>176</v>
      </c>
      <c r="I67" s="6">
        <v>16079</v>
      </c>
      <c r="J67" s="2" t="s">
        <v>5084</v>
      </c>
      <c r="K67" s="2" t="s">
        <v>34</v>
      </c>
      <c r="L67" t="s">
        <v>178</v>
      </c>
      <c r="M67" t="s">
        <v>29</v>
      </c>
      <c r="N67" t="s">
        <v>30</v>
      </c>
      <c r="O67">
        <v>37246</v>
      </c>
      <c r="P67" t="s">
        <v>5085</v>
      </c>
      <c r="Q67" s="2">
        <v>4.1399999999999997</v>
      </c>
      <c r="R67" s="2">
        <v>323</v>
      </c>
      <c r="S67" s="2">
        <v>557</v>
      </c>
      <c r="T67" t="s">
        <v>5083</v>
      </c>
      <c r="U67" s="6">
        <v>32008</v>
      </c>
      <c r="V67" s="2">
        <v>47037019500</v>
      </c>
      <c r="W67" s="2" t="s">
        <v>68</v>
      </c>
      <c r="X67" s="1">
        <v>45658</v>
      </c>
      <c r="Y67" s="2">
        <v>54101400</v>
      </c>
      <c r="Z67" s="2">
        <v>0</v>
      </c>
      <c r="AA67" s="2">
        <v>54101400</v>
      </c>
    </row>
    <row r="68" spans="1:27" x14ac:dyDescent="0.3">
      <c r="A68" s="3">
        <v>19</v>
      </c>
      <c r="B68" s="2" t="str">
        <f>"09305012300"</f>
        <v>09305012300</v>
      </c>
      <c r="C68" s="2" t="s">
        <v>5086</v>
      </c>
      <c r="D68" t="s">
        <v>29</v>
      </c>
      <c r="E68" s="2" t="s">
        <v>30</v>
      </c>
      <c r="F68" s="2">
        <v>37203</v>
      </c>
      <c r="G68" s="2" t="s">
        <v>5087</v>
      </c>
      <c r="H68" t="s">
        <v>176</v>
      </c>
      <c r="I68" s="6">
        <v>40472</v>
      </c>
      <c r="J68" s="2" t="s">
        <v>5081</v>
      </c>
      <c r="K68" s="2">
        <v>0</v>
      </c>
      <c r="L68" t="s">
        <v>542</v>
      </c>
      <c r="M68" t="s">
        <v>29</v>
      </c>
      <c r="N68" t="s">
        <v>30</v>
      </c>
      <c r="O68">
        <v>37246</v>
      </c>
      <c r="P68" t="s">
        <v>5088</v>
      </c>
      <c r="Q68" s="2">
        <v>0.87</v>
      </c>
      <c r="R68" s="2">
        <v>225</v>
      </c>
      <c r="S68" s="2">
        <v>168</v>
      </c>
      <c r="T68" t="s">
        <v>5083</v>
      </c>
      <c r="U68" s="6">
        <v>32008</v>
      </c>
      <c r="V68" s="2">
        <v>47037019500</v>
      </c>
      <c r="W68" s="2" t="s">
        <v>68</v>
      </c>
      <c r="X68" s="1">
        <v>45658</v>
      </c>
      <c r="Y68" s="2">
        <v>22680000</v>
      </c>
      <c r="Z68" s="2">
        <v>0</v>
      </c>
      <c r="AA68" s="2">
        <v>22680000</v>
      </c>
    </row>
    <row r="69" spans="1:27" x14ac:dyDescent="0.3">
      <c r="A69" s="3">
        <v>19</v>
      </c>
      <c r="B69" s="2" t="str">
        <f>"09305010000"</f>
        <v>09305010000</v>
      </c>
      <c r="C69" s="2" t="s">
        <v>5089</v>
      </c>
      <c r="D69" t="s">
        <v>29</v>
      </c>
      <c r="E69" s="2" t="s">
        <v>30</v>
      </c>
      <c r="F69" s="2">
        <v>37203</v>
      </c>
      <c r="G69" s="2" t="s">
        <v>152</v>
      </c>
      <c r="H69" t="s">
        <v>176</v>
      </c>
      <c r="I69" s="6">
        <v>16625</v>
      </c>
      <c r="J69" s="2" t="s">
        <v>5090</v>
      </c>
      <c r="K69" s="2">
        <v>0</v>
      </c>
      <c r="L69" t="s">
        <v>178</v>
      </c>
      <c r="M69" t="s">
        <v>29</v>
      </c>
      <c r="N69" t="s">
        <v>30</v>
      </c>
      <c r="O69">
        <v>37246</v>
      </c>
      <c r="P69" t="s">
        <v>5091</v>
      </c>
      <c r="Q69" s="2">
        <v>3.67</v>
      </c>
      <c r="R69" s="2">
        <v>532</v>
      </c>
      <c r="S69" s="2">
        <v>320</v>
      </c>
      <c r="T69" t="s">
        <v>278</v>
      </c>
      <c r="U69" s="6">
        <v>34336</v>
      </c>
      <c r="V69" s="2">
        <v>47037019500</v>
      </c>
      <c r="W69" s="2" t="s">
        <v>68</v>
      </c>
      <c r="X69" s="1">
        <v>45658</v>
      </c>
      <c r="Y69" s="2">
        <v>47959500</v>
      </c>
      <c r="Z69" s="2">
        <v>0</v>
      </c>
      <c r="AA69" s="2">
        <v>47959500</v>
      </c>
    </row>
    <row r="70" spans="1:27" x14ac:dyDescent="0.3">
      <c r="A70" s="3">
        <v>19</v>
      </c>
      <c r="B70" s="2" t="str">
        <f>"09305010100"</f>
        <v>09305010100</v>
      </c>
      <c r="C70" s="2" t="s">
        <v>5092</v>
      </c>
      <c r="D70" t="s">
        <v>29</v>
      </c>
      <c r="E70" s="2" t="s">
        <v>30</v>
      </c>
      <c r="F70" s="2">
        <v>37203</v>
      </c>
      <c r="G70" s="2" t="s">
        <v>152</v>
      </c>
      <c r="H70" t="s">
        <v>176</v>
      </c>
      <c r="I70" s="6">
        <v>22676</v>
      </c>
      <c r="J70" s="2" t="s">
        <v>5093</v>
      </c>
      <c r="K70" s="2" t="s">
        <v>34</v>
      </c>
      <c r="L70" t="s">
        <v>178</v>
      </c>
      <c r="M70" t="s">
        <v>29</v>
      </c>
      <c r="N70" t="s">
        <v>30</v>
      </c>
      <c r="O70">
        <v>37246</v>
      </c>
      <c r="P70" t="s">
        <v>5094</v>
      </c>
      <c r="Q70" s="2">
        <v>3.83</v>
      </c>
      <c r="R70" s="2">
        <v>531</v>
      </c>
      <c r="S70" s="2">
        <v>320</v>
      </c>
      <c r="T70" t="s">
        <v>5083</v>
      </c>
      <c r="U70" s="6">
        <v>32008</v>
      </c>
      <c r="V70" s="2">
        <v>47037019500</v>
      </c>
      <c r="W70" s="2" t="s">
        <v>68</v>
      </c>
      <c r="X70" s="1">
        <v>45658</v>
      </c>
      <c r="Y70" s="2">
        <v>50050500</v>
      </c>
      <c r="Z70" s="2">
        <v>0</v>
      </c>
      <c r="AA70" s="2">
        <v>50050500</v>
      </c>
    </row>
    <row r="71" spans="1:27" x14ac:dyDescent="0.3">
      <c r="A71" s="3">
        <v>19</v>
      </c>
      <c r="B71" s="2" t="str">
        <f>"09302005100"</f>
        <v>09302005100</v>
      </c>
      <c r="C71" s="2" t="s">
        <v>5095</v>
      </c>
      <c r="D71" t="s">
        <v>29</v>
      </c>
      <c r="E71" s="2" t="s">
        <v>30</v>
      </c>
      <c r="F71" s="2">
        <v>37201</v>
      </c>
      <c r="G71" s="2" t="s">
        <v>152</v>
      </c>
      <c r="H71" t="s">
        <v>176</v>
      </c>
      <c r="I71" s="6">
        <v>14472</v>
      </c>
      <c r="J71" s="2" t="s">
        <v>5096</v>
      </c>
      <c r="K71" s="2" t="s">
        <v>34</v>
      </c>
      <c r="L71" t="s">
        <v>178</v>
      </c>
      <c r="M71" t="s">
        <v>29</v>
      </c>
      <c r="N71" t="s">
        <v>30</v>
      </c>
      <c r="O71">
        <v>37246</v>
      </c>
      <c r="P71" t="s">
        <v>5097</v>
      </c>
      <c r="Q71" s="2">
        <v>2.0499999999999998</v>
      </c>
      <c r="R71" s="2">
        <v>539</v>
      </c>
      <c r="S71" s="2">
        <v>340</v>
      </c>
      <c r="T71" t="s">
        <v>5029</v>
      </c>
      <c r="U71" s="6">
        <v>30393</v>
      </c>
      <c r="V71" s="2">
        <v>47037019500</v>
      </c>
      <c r="W71" s="2" t="s">
        <v>68</v>
      </c>
      <c r="X71" s="1">
        <v>45658</v>
      </c>
      <c r="Y71" s="2">
        <v>17859600</v>
      </c>
      <c r="Z71" s="2">
        <v>0</v>
      </c>
      <c r="AA71" s="2">
        <v>17859600</v>
      </c>
    </row>
    <row r="72" spans="1:27" x14ac:dyDescent="0.3">
      <c r="A72" s="3">
        <v>19</v>
      </c>
      <c r="B72" s="2" t="str">
        <f>"08116062500"</f>
        <v>08116062500</v>
      </c>
      <c r="C72" s="2" t="s">
        <v>5098</v>
      </c>
      <c r="D72" t="s">
        <v>29</v>
      </c>
      <c r="E72" s="2" t="s">
        <v>30</v>
      </c>
      <c r="F72" s="2">
        <v>37208</v>
      </c>
      <c r="G72" s="2" t="s">
        <v>64</v>
      </c>
      <c r="H72" t="s">
        <v>5099</v>
      </c>
      <c r="I72" s="6">
        <v>36549</v>
      </c>
      <c r="J72" s="2" t="s">
        <v>5100</v>
      </c>
      <c r="K72" s="2" t="s">
        <v>34</v>
      </c>
      <c r="L72" t="s">
        <v>35</v>
      </c>
      <c r="M72" t="s">
        <v>29</v>
      </c>
      <c r="N72" t="s">
        <v>30</v>
      </c>
      <c r="O72">
        <v>37219</v>
      </c>
      <c r="P72" t="s">
        <v>5101</v>
      </c>
      <c r="Q72" s="2">
        <v>0.4</v>
      </c>
      <c r="R72" s="2">
        <v>146</v>
      </c>
      <c r="S72" s="2">
        <v>122</v>
      </c>
      <c r="T72" t="s">
        <v>5102</v>
      </c>
      <c r="U72" s="6">
        <v>24884</v>
      </c>
      <c r="V72" s="2">
        <v>47037019400</v>
      </c>
      <c r="W72" s="2" t="s">
        <v>68</v>
      </c>
      <c r="X72" s="1">
        <v>45658</v>
      </c>
      <c r="Y72" s="2">
        <v>373800</v>
      </c>
      <c r="Z72" s="2">
        <v>0</v>
      </c>
      <c r="AA72" s="2">
        <v>373800</v>
      </c>
    </row>
    <row r="73" spans="1:27" x14ac:dyDescent="0.3">
      <c r="A73" s="3">
        <v>19</v>
      </c>
      <c r="B73" s="2" t="str">
        <f>"08209007900"</f>
        <v>08209007900</v>
      </c>
      <c r="C73" s="2" t="s">
        <v>5103</v>
      </c>
      <c r="D73" t="s">
        <v>29</v>
      </c>
      <c r="E73" s="2" t="s">
        <v>30</v>
      </c>
      <c r="F73" s="2">
        <v>37208</v>
      </c>
      <c r="G73" s="2" t="s">
        <v>200</v>
      </c>
      <c r="H73" t="s">
        <v>5104</v>
      </c>
      <c r="I73" s="6">
        <v>4010</v>
      </c>
      <c r="J73" s="2" t="s">
        <v>5105</v>
      </c>
      <c r="K73" s="2" t="s">
        <v>34</v>
      </c>
      <c r="L73" t="s">
        <v>35</v>
      </c>
      <c r="M73" t="s">
        <v>29</v>
      </c>
      <c r="N73" t="s">
        <v>30</v>
      </c>
      <c r="O73">
        <v>37219</v>
      </c>
      <c r="P73" t="s">
        <v>5106</v>
      </c>
      <c r="Q73" s="2">
        <v>3.52</v>
      </c>
      <c r="R73" s="2">
        <v>369</v>
      </c>
      <c r="S73" s="2">
        <v>406</v>
      </c>
      <c r="T73" t="s">
        <v>278</v>
      </c>
      <c r="U73" s="6">
        <v>36579</v>
      </c>
      <c r="V73" s="2">
        <v>47037019400</v>
      </c>
      <c r="W73" s="2" t="s">
        <v>68</v>
      </c>
      <c r="X73" s="1">
        <v>45658</v>
      </c>
      <c r="Y73" s="2">
        <v>931000</v>
      </c>
      <c r="Z73" s="2">
        <v>0</v>
      </c>
      <c r="AA73" s="2">
        <v>931000</v>
      </c>
    </row>
    <row r="74" spans="1:27" x14ac:dyDescent="0.3">
      <c r="A74" s="3">
        <v>19</v>
      </c>
      <c r="B74" s="2" t="str">
        <f>"08205011900"</f>
        <v>08205011900</v>
      </c>
      <c r="C74" s="2" t="s">
        <v>5107</v>
      </c>
      <c r="D74" t="s">
        <v>29</v>
      </c>
      <c r="E74" s="2" t="s">
        <v>30</v>
      </c>
      <c r="F74" s="2">
        <v>37208</v>
      </c>
      <c r="G74" s="2" t="s">
        <v>200</v>
      </c>
      <c r="H74" t="s">
        <v>5104</v>
      </c>
      <c r="I74" s="6">
        <v>27395</v>
      </c>
      <c r="J74" s="2" t="s">
        <v>5108</v>
      </c>
      <c r="K74" s="2" t="s">
        <v>34</v>
      </c>
      <c r="L74" t="s">
        <v>35</v>
      </c>
      <c r="M74" t="s">
        <v>29</v>
      </c>
      <c r="N74" t="s">
        <v>30</v>
      </c>
      <c r="O74">
        <v>37219</v>
      </c>
      <c r="P74" t="s">
        <v>5109</v>
      </c>
      <c r="Q74" s="2">
        <v>3.16</v>
      </c>
      <c r="R74" s="2">
        <v>370</v>
      </c>
      <c r="S74" s="2">
        <v>384</v>
      </c>
      <c r="T74" t="s">
        <v>5110</v>
      </c>
      <c r="U74" s="2" t="s">
        <v>5111</v>
      </c>
      <c r="V74" s="2">
        <v>47037019400</v>
      </c>
      <c r="W74" s="2" t="s">
        <v>68</v>
      </c>
      <c r="X74" s="1">
        <v>45658</v>
      </c>
      <c r="Y74" s="2">
        <v>22024000</v>
      </c>
      <c r="Z74" s="2">
        <v>0</v>
      </c>
      <c r="AA74" s="2">
        <v>22024000</v>
      </c>
    </row>
    <row r="75" spans="1:27" x14ac:dyDescent="0.3">
      <c r="A75" s="3">
        <v>19</v>
      </c>
      <c r="B75" s="2" t="str">
        <f>"08116025400"</f>
        <v>08116025400</v>
      </c>
      <c r="C75" s="2" t="s">
        <v>5112</v>
      </c>
      <c r="D75" t="s">
        <v>29</v>
      </c>
      <c r="E75" s="2" t="s">
        <v>30</v>
      </c>
      <c r="F75" s="2">
        <v>37208</v>
      </c>
      <c r="G75" s="2" t="s">
        <v>200</v>
      </c>
      <c r="H75" t="s">
        <v>206</v>
      </c>
      <c r="I75" s="6">
        <v>30979</v>
      </c>
      <c r="J75" s="2" t="s">
        <v>5113</v>
      </c>
      <c r="K75" s="2" t="s">
        <v>34</v>
      </c>
      <c r="L75" t="s">
        <v>35</v>
      </c>
      <c r="M75" t="s">
        <v>29</v>
      </c>
      <c r="N75" t="s">
        <v>30</v>
      </c>
      <c r="O75">
        <v>37219</v>
      </c>
      <c r="P75" t="s">
        <v>5114</v>
      </c>
      <c r="Q75" s="2">
        <v>0.32</v>
      </c>
      <c r="R75" s="2">
        <v>75</v>
      </c>
      <c r="S75" s="2">
        <v>157</v>
      </c>
      <c r="T75" t="s">
        <v>5115</v>
      </c>
      <c r="U75" s="6">
        <v>18330</v>
      </c>
      <c r="V75" s="2">
        <v>47037019400</v>
      </c>
      <c r="W75" s="2" t="s">
        <v>68</v>
      </c>
      <c r="X75" s="1">
        <v>45658</v>
      </c>
      <c r="Y75" s="2">
        <v>379500</v>
      </c>
      <c r="Z75" s="2">
        <v>0</v>
      </c>
      <c r="AA75" s="2">
        <v>379500</v>
      </c>
    </row>
    <row r="76" spans="1:27" x14ac:dyDescent="0.3">
      <c r="A76" s="3">
        <v>19</v>
      </c>
      <c r="B76" s="2" t="str">
        <f>"09302403500"</f>
        <v>09302403500</v>
      </c>
      <c r="C76" s="2" t="s">
        <v>4997</v>
      </c>
      <c r="D76" t="s">
        <v>29</v>
      </c>
      <c r="E76" s="2" t="s">
        <v>30</v>
      </c>
      <c r="F76" s="2">
        <v>37201</v>
      </c>
      <c r="G76" s="2" t="s">
        <v>200</v>
      </c>
      <c r="H76" t="s">
        <v>206</v>
      </c>
      <c r="I76" s="6">
        <v>28227</v>
      </c>
      <c r="J76" s="2" t="s">
        <v>5116</v>
      </c>
      <c r="K76" s="2">
        <v>23000</v>
      </c>
      <c r="L76" t="s">
        <v>35</v>
      </c>
      <c r="M76" t="s">
        <v>29</v>
      </c>
      <c r="N76" t="s">
        <v>30</v>
      </c>
      <c r="O76">
        <v>37219</v>
      </c>
      <c r="P76" t="s">
        <v>5117</v>
      </c>
      <c r="Q76" s="2">
        <v>0.22</v>
      </c>
      <c r="R76" s="2">
        <v>166</v>
      </c>
      <c r="S76" s="2">
        <v>74</v>
      </c>
      <c r="T76" t="s">
        <v>5118</v>
      </c>
      <c r="U76" s="6">
        <v>26707</v>
      </c>
      <c r="V76" s="2">
        <v>47037019500</v>
      </c>
      <c r="W76" s="2" t="s">
        <v>4960</v>
      </c>
      <c r="X76" s="1">
        <v>45658</v>
      </c>
      <c r="Y76" s="2">
        <v>1197900</v>
      </c>
      <c r="Z76" s="2">
        <v>0</v>
      </c>
      <c r="AA76" s="2">
        <v>1197900</v>
      </c>
    </row>
    <row r="77" spans="1:27" x14ac:dyDescent="0.3">
      <c r="A77" s="3">
        <v>19</v>
      </c>
      <c r="B77" s="2" t="str">
        <f>"08116018500"</f>
        <v>08116018500</v>
      </c>
      <c r="C77" s="2" t="s">
        <v>5119</v>
      </c>
      <c r="D77" t="s">
        <v>29</v>
      </c>
      <c r="E77" s="2" t="s">
        <v>30</v>
      </c>
      <c r="F77" s="2">
        <v>37208</v>
      </c>
      <c r="G77" s="2" t="s">
        <v>200</v>
      </c>
      <c r="H77" t="s">
        <v>206</v>
      </c>
      <c r="I77" s="6">
        <v>30979</v>
      </c>
      <c r="J77" s="2" t="s">
        <v>5113</v>
      </c>
      <c r="K77" s="2" t="s">
        <v>34</v>
      </c>
      <c r="L77" t="s">
        <v>35</v>
      </c>
      <c r="M77" t="s">
        <v>29</v>
      </c>
      <c r="N77" t="s">
        <v>30</v>
      </c>
      <c r="O77">
        <v>37219</v>
      </c>
      <c r="P77" t="s">
        <v>5120</v>
      </c>
      <c r="Q77" s="2">
        <v>0.31</v>
      </c>
      <c r="R77" s="2">
        <v>118</v>
      </c>
      <c r="S77" s="2">
        <v>151</v>
      </c>
      <c r="T77" t="s">
        <v>278</v>
      </c>
      <c r="U77" s="6">
        <v>28491</v>
      </c>
      <c r="V77" s="2">
        <v>47037019400</v>
      </c>
      <c r="W77" s="2" t="s">
        <v>68</v>
      </c>
      <c r="X77" s="1">
        <v>45658</v>
      </c>
      <c r="Y77" s="2">
        <v>373800</v>
      </c>
      <c r="Z77" s="2">
        <v>0</v>
      </c>
      <c r="AA77" s="2">
        <v>373800</v>
      </c>
    </row>
    <row r="78" spans="1:27" x14ac:dyDescent="0.3">
      <c r="A78" s="3">
        <v>19</v>
      </c>
      <c r="B78" s="2" t="str">
        <f>"09302403600"</f>
        <v>09302403600</v>
      </c>
      <c r="C78" s="2" t="s">
        <v>5121</v>
      </c>
      <c r="D78" t="s">
        <v>29</v>
      </c>
      <c r="E78" s="2" t="s">
        <v>30</v>
      </c>
      <c r="F78" s="2">
        <v>37201</v>
      </c>
      <c r="G78" s="2" t="s">
        <v>200</v>
      </c>
      <c r="H78" t="s">
        <v>206</v>
      </c>
      <c r="I78" s="6">
        <v>28227</v>
      </c>
      <c r="J78" s="2" t="s">
        <v>5122</v>
      </c>
      <c r="K78" s="2">
        <v>55000</v>
      </c>
      <c r="L78" t="s">
        <v>35</v>
      </c>
      <c r="M78" t="s">
        <v>29</v>
      </c>
      <c r="N78" t="s">
        <v>30</v>
      </c>
      <c r="O78">
        <v>37219</v>
      </c>
      <c r="P78" t="s">
        <v>5123</v>
      </c>
      <c r="Q78" s="2">
        <v>2.58</v>
      </c>
      <c r="R78" s="2">
        <v>606</v>
      </c>
      <c r="S78" s="2">
        <v>111</v>
      </c>
      <c r="T78" t="s">
        <v>4999</v>
      </c>
      <c r="U78" s="6">
        <v>26273</v>
      </c>
      <c r="V78" s="2">
        <v>47037019500</v>
      </c>
      <c r="W78" s="2" t="s">
        <v>4960</v>
      </c>
      <c r="X78" s="1">
        <v>45658</v>
      </c>
      <c r="Y78" s="2">
        <v>14048100</v>
      </c>
      <c r="Z78" s="2">
        <v>0</v>
      </c>
      <c r="AA78" s="2">
        <v>14048100</v>
      </c>
    </row>
    <row r="79" spans="1:27" x14ac:dyDescent="0.3">
      <c r="A79" s="3">
        <v>19</v>
      </c>
      <c r="B79" s="2" t="str">
        <f>"08112004700"</f>
        <v>08112004700</v>
      </c>
      <c r="C79" s="2" t="s">
        <v>5124</v>
      </c>
      <c r="D79" t="s">
        <v>29</v>
      </c>
      <c r="E79" s="2" t="s">
        <v>30</v>
      </c>
      <c r="F79" s="2">
        <v>37208</v>
      </c>
      <c r="G79" s="2" t="s">
        <v>64</v>
      </c>
      <c r="H79" t="s">
        <v>211</v>
      </c>
      <c r="I79" s="6">
        <v>28523</v>
      </c>
      <c r="J79" s="2" t="s">
        <v>5125</v>
      </c>
      <c r="K79" s="2">
        <v>304</v>
      </c>
      <c r="L79" t="s">
        <v>35</v>
      </c>
      <c r="M79" t="s">
        <v>29</v>
      </c>
      <c r="N79" t="s">
        <v>30</v>
      </c>
      <c r="O79">
        <v>37219</v>
      </c>
      <c r="P79" t="s">
        <v>5126</v>
      </c>
      <c r="Q79" s="2">
        <v>0.05</v>
      </c>
      <c r="R79" s="2">
        <v>9</v>
      </c>
      <c r="S79" s="2">
        <v>92</v>
      </c>
      <c r="T79" t="s">
        <v>5127</v>
      </c>
      <c r="U79" s="6">
        <v>24672</v>
      </c>
      <c r="V79" s="2">
        <v>47037019400</v>
      </c>
      <c r="W79" s="2" t="s">
        <v>68</v>
      </c>
      <c r="X79" s="1">
        <v>45658</v>
      </c>
      <c r="Y79" s="2">
        <v>9800</v>
      </c>
      <c r="Z79" s="2">
        <v>0</v>
      </c>
      <c r="AA79" s="2">
        <v>9800</v>
      </c>
    </row>
    <row r="80" spans="1:27" x14ac:dyDescent="0.3">
      <c r="A80" s="3">
        <v>19</v>
      </c>
      <c r="B80" s="2" t="str">
        <f>"08112004600"</f>
        <v>08112004600</v>
      </c>
      <c r="C80" s="2" t="s">
        <v>5128</v>
      </c>
      <c r="D80" t="s">
        <v>29</v>
      </c>
      <c r="E80" s="2" t="s">
        <v>30</v>
      </c>
      <c r="F80" s="2">
        <v>37208</v>
      </c>
      <c r="G80" s="2" t="s">
        <v>64</v>
      </c>
      <c r="H80" t="s">
        <v>211</v>
      </c>
      <c r="I80" s="6">
        <v>28145</v>
      </c>
      <c r="J80" s="2" t="s">
        <v>5129</v>
      </c>
      <c r="K80" s="2">
        <v>303</v>
      </c>
      <c r="L80" t="s">
        <v>35</v>
      </c>
      <c r="M80" t="s">
        <v>29</v>
      </c>
      <c r="N80" t="s">
        <v>30</v>
      </c>
      <c r="O80">
        <v>37219</v>
      </c>
      <c r="P80" t="s">
        <v>5130</v>
      </c>
      <c r="Q80" s="2">
        <v>0.01</v>
      </c>
      <c r="R80" s="2">
        <v>57</v>
      </c>
      <c r="S80" s="2">
        <v>53</v>
      </c>
      <c r="T80" t="s">
        <v>5131</v>
      </c>
      <c r="U80" s="6">
        <v>22390</v>
      </c>
      <c r="V80" s="2">
        <v>47037019400</v>
      </c>
      <c r="W80" s="2" t="s">
        <v>68</v>
      </c>
      <c r="X80" s="1">
        <v>45658</v>
      </c>
      <c r="Y80" s="2">
        <v>9800</v>
      </c>
      <c r="Z80" s="2">
        <v>0</v>
      </c>
      <c r="AA80" s="2">
        <v>9800</v>
      </c>
    </row>
    <row r="81" spans="1:27" x14ac:dyDescent="0.3">
      <c r="A81" s="3">
        <v>19</v>
      </c>
      <c r="B81" s="2" t="str">
        <f>"09311020700"</f>
        <v>09311020700</v>
      </c>
      <c r="C81" s="2" t="s">
        <v>5132</v>
      </c>
      <c r="D81" t="s">
        <v>29</v>
      </c>
      <c r="E81" s="2" t="s">
        <v>30</v>
      </c>
      <c r="F81" s="2">
        <v>37210</v>
      </c>
      <c r="G81" s="2" t="s">
        <v>152</v>
      </c>
      <c r="H81" t="s">
        <v>5133</v>
      </c>
      <c r="I81" s="6">
        <v>23545</v>
      </c>
      <c r="J81" s="2" t="s">
        <v>5134</v>
      </c>
      <c r="K81" s="2" t="s">
        <v>34</v>
      </c>
      <c r="L81" t="s">
        <v>35</v>
      </c>
      <c r="M81" t="s">
        <v>29</v>
      </c>
      <c r="N81" t="s">
        <v>30</v>
      </c>
      <c r="O81">
        <v>37219</v>
      </c>
      <c r="P81" t="s">
        <v>5135</v>
      </c>
      <c r="Q81" s="2">
        <v>2.19</v>
      </c>
      <c r="R81" s="2">
        <v>102</v>
      </c>
      <c r="S81" s="2">
        <v>388</v>
      </c>
      <c r="T81" t="s">
        <v>198</v>
      </c>
      <c r="U81" s="6">
        <v>39082</v>
      </c>
      <c r="V81" s="2">
        <v>47037019500</v>
      </c>
      <c r="W81" s="2" t="s">
        <v>68</v>
      </c>
      <c r="X81" s="1">
        <v>45658</v>
      </c>
      <c r="Y81" s="2">
        <v>23997400</v>
      </c>
      <c r="Z81" s="2">
        <v>148400</v>
      </c>
      <c r="AA81" s="2">
        <v>23849000</v>
      </c>
    </row>
    <row r="82" spans="1:27" x14ac:dyDescent="0.3">
      <c r="A82" s="3">
        <v>19</v>
      </c>
      <c r="B82" s="2" t="str">
        <f>"09208001700"</f>
        <v>09208001700</v>
      </c>
      <c r="C82" s="2" t="s">
        <v>5136</v>
      </c>
      <c r="D82" t="s">
        <v>29</v>
      </c>
      <c r="E82" s="2" t="s">
        <v>30</v>
      </c>
      <c r="F82" s="2">
        <v>37203</v>
      </c>
      <c r="G82" s="2" t="s">
        <v>200</v>
      </c>
      <c r="H82" t="s">
        <v>5137</v>
      </c>
      <c r="I82" s="6">
        <v>25737</v>
      </c>
      <c r="J82" s="2" t="s">
        <v>5138</v>
      </c>
      <c r="K82" s="2" t="s">
        <v>34</v>
      </c>
      <c r="L82" t="s">
        <v>35</v>
      </c>
      <c r="M82" t="s">
        <v>29</v>
      </c>
      <c r="N82" t="s">
        <v>30</v>
      </c>
      <c r="O82">
        <v>37219</v>
      </c>
      <c r="P82" t="s">
        <v>5139</v>
      </c>
      <c r="Q82" s="2">
        <v>8.24</v>
      </c>
      <c r="R82" s="2">
        <v>584</v>
      </c>
      <c r="S82" s="2">
        <v>612</v>
      </c>
      <c r="T82" t="s">
        <v>5138</v>
      </c>
      <c r="U82" s="6">
        <v>25737</v>
      </c>
      <c r="V82" s="2">
        <v>47037014400</v>
      </c>
      <c r="W82" s="2" t="s">
        <v>68</v>
      </c>
      <c r="X82" s="1">
        <v>45658</v>
      </c>
      <c r="Y82" s="2">
        <v>32304100</v>
      </c>
      <c r="Z82" s="2">
        <v>0</v>
      </c>
      <c r="AA82" s="2">
        <v>32304100</v>
      </c>
    </row>
    <row r="83" spans="1:27" x14ac:dyDescent="0.3">
      <c r="A83" s="3">
        <v>19</v>
      </c>
      <c r="B83" s="2" t="str">
        <f>"09301009100"</f>
        <v>09301009100</v>
      </c>
      <c r="C83" s="2" t="s">
        <v>5140</v>
      </c>
      <c r="D83" t="s">
        <v>29</v>
      </c>
      <c r="E83" s="2" t="s">
        <v>30</v>
      </c>
      <c r="F83" s="2">
        <v>37203</v>
      </c>
      <c r="G83" s="2" t="s">
        <v>41</v>
      </c>
      <c r="H83" t="s">
        <v>5141</v>
      </c>
      <c r="I83" s="6">
        <v>42516</v>
      </c>
      <c r="J83" s="2" t="s">
        <v>5142</v>
      </c>
      <c r="K83" s="2">
        <v>0</v>
      </c>
      <c r="L83" t="s">
        <v>5143</v>
      </c>
      <c r="M83" t="s">
        <v>29</v>
      </c>
      <c r="N83" t="s">
        <v>30</v>
      </c>
      <c r="O83">
        <v>37219</v>
      </c>
      <c r="P83" t="s">
        <v>5144</v>
      </c>
      <c r="Q83" s="2">
        <v>0.6</v>
      </c>
      <c r="R83" s="2">
        <v>266</v>
      </c>
      <c r="S83" s="2">
        <v>117</v>
      </c>
      <c r="T83" t="s">
        <v>5145</v>
      </c>
      <c r="U83" s="6">
        <v>42494</v>
      </c>
      <c r="V83" s="2">
        <v>47037019400</v>
      </c>
      <c r="W83" s="2" t="s">
        <v>68</v>
      </c>
      <c r="X83" s="1">
        <v>45658</v>
      </c>
      <c r="Y83" s="2">
        <v>2070000</v>
      </c>
      <c r="Z83" s="2">
        <v>0</v>
      </c>
      <c r="AA83" s="2">
        <v>2070000</v>
      </c>
    </row>
    <row r="84" spans="1:27" x14ac:dyDescent="0.3">
      <c r="A84" s="3">
        <v>19</v>
      </c>
      <c r="B84" s="2" t="str">
        <f>"09306301300"</f>
        <v>09306301300</v>
      </c>
      <c r="C84" s="2" t="s">
        <v>5146</v>
      </c>
      <c r="D84" t="s">
        <v>29</v>
      </c>
      <c r="E84" s="2" t="s">
        <v>30</v>
      </c>
      <c r="F84" s="2">
        <v>37203</v>
      </c>
      <c r="G84" s="2" t="s">
        <v>41</v>
      </c>
      <c r="H84" t="s">
        <v>249</v>
      </c>
      <c r="I84" s="6">
        <v>38581</v>
      </c>
      <c r="J84" s="2" t="s">
        <v>5147</v>
      </c>
      <c r="K84" s="2">
        <v>275000</v>
      </c>
      <c r="L84" t="s">
        <v>35</v>
      </c>
      <c r="M84" t="s">
        <v>29</v>
      </c>
      <c r="N84" t="s">
        <v>30</v>
      </c>
      <c r="O84">
        <v>37219</v>
      </c>
      <c r="P84" t="s">
        <v>5148</v>
      </c>
      <c r="Q84" s="2">
        <v>0.18</v>
      </c>
      <c r="R84" s="2">
        <v>47</v>
      </c>
      <c r="S84" s="2">
        <v>153</v>
      </c>
      <c r="T84" t="s">
        <v>5149</v>
      </c>
      <c r="U84" s="6">
        <v>41703</v>
      </c>
      <c r="V84" s="2">
        <v>47037019500</v>
      </c>
      <c r="W84" s="2" t="s">
        <v>4960</v>
      </c>
      <c r="X84" s="1">
        <v>45658</v>
      </c>
      <c r="Y84" s="2">
        <v>6272800</v>
      </c>
      <c r="Z84" s="2">
        <v>0</v>
      </c>
      <c r="AA84" s="2">
        <v>6272800</v>
      </c>
    </row>
    <row r="85" spans="1:27" x14ac:dyDescent="0.3">
      <c r="A85" s="3">
        <v>19</v>
      </c>
      <c r="B85" s="2" t="str">
        <f>"08112030000"</f>
        <v>08112030000</v>
      </c>
      <c r="C85" s="2" t="s">
        <v>5150</v>
      </c>
      <c r="D85" t="s">
        <v>29</v>
      </c>
      <c r="E85" s="2" t="s">
        <v>30</v>
      </c>
      <c r="F85" s="2">
        <v>37208</v>
      </c>
      <c r="G85" s="2" t="s">
        <v>253</v>
      </c>
      <c r="H85" t="s">
        <v>5151</v>
      </c>
      <c r="I85" s="6">
        <v>27395</v>
      </c>
      <c r="J85" s="2" t="s">
        <v>5152</v>
      </c>
      <c r="K85" s="2" t="s">
        <v>34</v>
      </c>
      <c r="L85" t="s">
        <v>35</v>
      </c>
      <c r="M85" t="s">
        <v>29</v>
      </c>
      <c r="N85" t="s">
        <v>30</v>
      </c>
      <c r="O85">
        <v>37219</v>
      </c>
      <c r="P85" t="s">
        <v>5153</v>
      </c>
      <c r="Q85" s="2">
        <v>2.63</v>
      </c>
      <c r="R85" s="2">
        <v>500</v>
      </c>
      <c r="S85" s="2">
        <v>318</v>
      </c>
      <c r="T85" t="s">
        <v>5154</v>
      </c>
      <c r="U85" s="2" t="s">
        <v>5155</v>
      </c>
      <c r="V85" s="2">
        <v>47037019400</v>
      </c>
      <c r="W85" s="2" t="s">
        <v>68</v>
      </c>
      <c r="X85" s="1">
        <v>45658</v>
      </c>
      <c r="Y85" s="2">
        <v>7675700</v>
      </c>
      <c r="Z85" s="2">
        <v>0</v>
      </c>
      <c r="AA85" s="2">
        <v>7675700</v>
      </c>
    </row>
    <row r="86" spans="1:27" x14ac:dyDescent="0.3">
      <c r="A86" s="3">
        <v>19</v>
      </c>
      <c r="B86" s="2" t="str">
        <f>"08205006000"</f>
        <v>08205006000</v>
      </c>
      <c r="C86" s="2" t="s">
        <v>5156</v>
      </c>
      <c r="D86" t="s">
        <v>29</v>
      </c>
      <c r="E86" s="2" t="s">
        <v>30</v>
      </c>
      <c r="F86" s="2">
        <v>37208</v>
      </c>
      <c r="G86" s="2" t="s">
        <v>253</v>
      </c>
      <c r="H86" t="s">
        <v>5157</v>
      </c>
      <c r="I86" s="6">
        <v>27395</v>
      </c>
      <c r="J86" s="2" t="s">
        <v>5158</v>
      </c>
      <c r="K86" s="2" t="s">
        <v>34</v>
      </c>
      <c r="L86" t="s">
        <v>35</v>
      </c>
      <c r="M86" t="s">
        <v>29</v>
      </c>
      <c r="N86" t="s">
        <v>30</v>
      </c>
      <c r="O86">
        <v>37219</v>
      </c>
      <c r="P86" t="s">
        <v>5159</v>
      </c>
      <c r="Q86" s="2">
        <v>2.21</v>
      </c>
      <c r="R86" s="2">
        <v>300</v>
      </c>
      <c r="S86" s="2">
        <v>364</v>
      </c>
      <c r="T86" t="s">
        <v>5160</v>
      </c>
      <c r="U86" s="2" t="s">
        <v>5161</v>
      </c>
      <c r="V86" s="2">
        <v>47037019400</v>
      </c>
      <c r="W86" s="2" t="s">
        <v>68</v>
      </c>
      <c r="X86" s="1">
        <v>45658</v>
      </c>
      <c r="Y86" s="2">
        <v>576500</v>
      </c>
      <c r="Z86" s="2">
        <v>0</v>
      </c>
      <c r="AA86" s="2">
        <v>576500</v>
      </c>
    </row>
    <row r="87" spans="1:27" x14ac:dyDescent="0.3">
      <c r="A87" s="3">
        <v>19</v>
      </c>
      <c r="B87" s="2" t="str">
        <f>"09306302100"</f>
        <v>09306302100</v>
      </c>
      <c r="C87" s="2" t="s">
        <v>5162</v>
      </c>
      <c r="D87" t="s">
        <v>29</v>
      </c>
      <c r="E87" s="2" t="s">
        <v>30</v>
      </c>
      <c r="F87" s="2">
        <v>37203</v>
      </c>
      <c r="G87" s="2" t="s">
        <v>253</v>
      </c>
      <c r="H87" t="s">
        <v>5163</v>
      </c>
      <c r="I87" s="6">
        <v>5791</v>
      </c>
      <c r="J87" s="2" t="s">
        <v>5164</v>
      </c>
      <c r="K87" s="2" t="s">
        <v>34</v>
      </c>
      <c r="L87" t="s">
        <v>35</v>
      </c>
      <c r="M87" t="s">
        <v>29</v>
      </c>
      <c r="N87" t="s">
        <v>30</v>
      </c>
      <c r="O87">
        <v>37219</v>
      </c>
      <c r="P87" t="s">
        <v>5165</v>
      </c>
      <c r="Q87" s="2">
        <v>1.97</v>
      </c>
      <c r="R87" s="2">
        <v>341</v>
      </c>
      <c r="S87" s="2">
        <v>257</v>
      </c>
      <c r="T87" t="s">
        <v>5149</v>
      </c>
      <c r="U87" s="6">
        <v>41703</v>
      </c>
      <c r="V87" s="2">
        <v>47037019500</v>
      </c>
      <c r="W87" s="2" t="s">
        <v>4960</v>
      </c>
      <c r="X87" s="1">
        <v>45658</v>
      </c>
      <c r="Y87" s="2">
        <v>102975600</v>
      </c>
      <c r="Z87" s="2">
        <v>0</v>
      </c>
      <c r="AA87" s="2">
        <v>102975600</v>
      </c>
    </row>
    <row r="88" spans="1:27" x14ac:dyDescent="0.3">
      <c r="A88" s="3">
        <v>19</v>
      </c>
      <c r="B88" s="2" t="str">
        <f>"09208000900"</f>
        <v>09208000900</v>
      </c>
      <c r="C88" s="2" t="s">
        <v>5166</v>
      </c>
      <c r="D88" t="s">
        <v>29</v>
      </c>
      <c r="E88" s="2" t="s">
        <v>30</v>
      </c>
      <c r="F88" s="2">
        <v>37203</v>
      </c>
      <c r="G88" s="2" t="s">
        <v>398</v>
      </c>
      <c r="H88" t="s">
        <v>5167</v>
      </c>
      <c r="I88" s="6">
        <v>42135</v>
      </c>
      <c r="J88" s="2" t="s">
        <v>5168</v>
      </c>
      <c r="K88" s="2">
        <v>0</v>
      </c>
      <c r="L88" t="s">
        <v>35</v>
      </c>
      <c r="M88" t="s">
        <v>29</v>
      </c>
      <c r="N88" t="s">
        <v>30</v>
      </c>
      <c r="O88">
        <v>37219</v>
      </c>
      <c r="P88" t="s">
        <v>5169</v>
      </c>
      <c r="Q88" s="2">
        <v>0.56000000000000005</v>
      </c>
      <c r="R88" s="2">
        <v>191</v>
      </c>
      <c r="S88" s="2">
        <v>134</v>
      </c>
      <c r="T88" t="s">
        <v>5170</v>
      </c>
      <c r="U88" s="6">
        <v>42235</v>
      </c>
      <c r="V88" s="2">
        <v>47037014400</v>
      </c>
      <c r="W88" s="2" t="s">
        <v>68</v>
      </c>
      <c r="X88" s="1">
        <v>45658</v>
      </c>
      <c r="Y88" s="2">
        <v>2474500</v>
      </c>
      <c r="Z88" s="2">
        <v>279000</v>
      </c>
      <c r="AA88" s="2">
        <v>2195500</v>
      </c>
    </row>
    <row r="89" spans="1:27" x14ac:dyDescent="0.3">
      <c r="A89" s="3">
        <v>19</v>
      </c>
      <c r="B89" s="2" t="str">
        <f>"09208010700"</f>
        <v>09208010700</v>
      </c>
      <c r="C89" s="2" t="s">
        <v>5171</v>
      </c>
      <c r="D89" t="s">
        <v>29</v>
      </c>
      <c r="E89" s="2" t="s">
        <v>30</v>
      </c>
      <c r="F89" s="2">
        <v>37203</v>
      </c>
      <c r="G89" s="2" t="s">
        <v>41</v>
      </c>
      <c r="H89" t="s">
        <v>5167</v>
      </c>
      <c r="I89" s="6">
        <v>42661</v>
      </c>
      <c r="J89" s="2" t="s">
        <v>5172</v>
      </c>
      <c r="K89" s="2">
        <v>0</v>
      </c>
      <c r="L89" t="s">
        <v>35</v>
      </c>
      <c r="M89" t="s">
        <v>29</v>
      </c>
      <c r="N89" t="s">
        <v>30</v>
      </c>
      <c r="O89">
        <v>37219</v>
      </c>
      <c r="P89" t="s">
        <v>5173</v>
      </c>
      <c r="Q89" s="2">
        <v>0.22</v>
      </c>
      <c r="R89" s="2">
        <v>57</v>
      </c>
      <c r="S89" s="2">
        <v>160</v>
      </c>
      <c r="T89" t="s">
        <v>5174</v>
      </c>
      <c r="U89" s="6">
        <v>20407</v>
      </c>
      <c r="V89" s="2">
        <v>47037014400</v>
      </c>
      <c r="W89" s="2" t="s">
        <v>68</v>
      </c>
      <c r="X89" s="1">
        <v>45658</v>
      </c>
      <c r="Y89" s="2">
        <v>820800</v>
      </c>
      <c r="Z89" s="2">
        <v>0</v>
      </c>
      <c r="AA89" s="2">
        <v>820800</v>
      </c>
    </row>
    <row r="90" spans="1:27" x14ac:dyDescent="0.3">
      <c r="A90" s="3">
        <v>19</v>
      </c>
      <c r="B90" s="2" t="str">
        <f>"09208010600"</f>
        <v>09208010600</v>
      </c>
      <c r="C90" s="2" t="s">
        <v>5175</v>
      </c>
      <c r="D90" t="s">
        <v>29</v>
      </c>
      <c r="E90" s="2" t="s">
        <v>30</v>
      </c>
      <c r="F90" s="2">
        <v>37203</v>
      </c>
      <c r="G90" s="2" t="s">
        <v>41</v>
      </c>
      <c r="H90" t="s">
        <v>5167</v>
      </c>
      <c r="I90" s="6">
        <v>42661</v>
      </c>
      <c r="J90" s="2" t="s">
        <v>5172</v>
      </c>
      <c r="K90" s="2">
        <v>0</v>
      </c>
      <c r="L90" t="s">
        <v>35</v>
      </c>
      <c r="M90" t="s">
        <v>29</v>
      </c>
      <c r="N90" t="s">
        <v>30</v>
      </c>
      <c r="O90">
        <v>37219</v>
      </c>
      <c r="P90" t="s">
        <v>5176</v>
      </c>
      <c r="Q90" s="2">
        <v>0.2</v>
      </c>
      <c r="R90" s="2">
        <v>50</v>
      </c>
      <c r="S90" s="2">
        <v>160</v>
      </c>
      <c r="T90" t="s">
        <v>5177</v>
      </c>
      <c r="U90" s="6">
        <v>27075</v>
      </c>
      <c r="V90" s="2">
        <v>47037014400</v>
      </c>
      <c r="W90" s="2" t="s">
        <v>68</v>
      </c>
      <c r="X90" s="1">
        <v>45658</v>
      </c>
      <c r="Y90" s="2">
        <v>720000</v>
      </c>
      <c r="Z90" s="2">
        <v>0</v>
      </c>
      <c r="AA90" s="2">
        <v>720000</v>
      </c>
    </row>
    <row r="91" spans="1:27" x14ac:dyDescent="0.3">
      <c r="A91" s="3">
        <v>19</v>
      </c>
      <c r="B91" s="2" t="str">
        <f>"09208001600"</f>
        <v>09208001600</v>
      </c>
      <c r="C91" s="2" t="s">
        <v>5178</v>
      </c>
      <c r="D91" t="s">
        <v>29</v>
      </c>
      <c r="E91" s="2" t="s">
        <v>30</v>
      </c>
      <c r="F91" s="2">
        <v>37203</v>
      </c>
      <c r="G91" s="2" t="s">
        <v>253</v>
      </c>
      <c r="H91" t="s">
        <v>5179</v>
      </c>
      <c r="I91" s="6">
        <v>19742</v>
      </c>
      <c r="J91" s="2" t="s">
        <v>5180</v>
      </c>
      <c r="K91" s="2" t="s">
        <v>34</v>
      </c>
      <c r="L91" t="s">
        <v>35</v>
      </c>
      <c r="M91" t="s">
        <v>29</v>
      </c>
      <c r="N91" t="s">
        <v>30</v>
      </c>
      <c r="O91">
        <v>37219</v>
      </c>
      <c r="P91" t="s">
        <v>5181</v>
      </c>
      <c r="Q91" s="2">
        <v>6.85</v>
      </c>
      <c r="R91" s="2">
        <v>608</v>
      </c>
      <c r="S91" s="2">
        <v>497</v>
      </c>
      <c r="T91" t="s">
        <v>5170</v>
      </c>
      <c r="U91" s="6">
        <v>42235</v>
      </c>
      <c r="V91" s="2">
        <v>47037014400</v>
      </c>
      <c r="W91" s="2" t="s">
        <v>68</v>
      </c>
      <c r="X91" s="1">
        <v>45658</v>
      </c>
      <c r="Y91" s="2">
        <v>26854700</v>
      </c>
      <c r="Z91" s="2">
        <v>0</v>
      </c>
      <c r="AA91" s="2">
        <v>26854700</v>
      </c>
    </row>
    <row r="92" spans="1:27" x14ac:dyDescent="0.3">
      <c r="A92" s="3">
        <v>19</v>
      </c>
      <c r="B92" s="2" t="str">
        <f>"09311013700"</f>
        <v>09311013700</v>
      </c>
      <c r="C92" s="2" t="s">
        <v>5182</v>
      </c>
      <c r="D92" t="s">
        <v>29</v>
      </c>
      <c r="E92" s="2" t="s">
        <v>30</v>
      </c>
      <c r="F92" s="2">
        <v>37210</v>
      </c>
      <c r="G92" s="2" t="s">
        <v>152</v>
      </c>
      <c r="H92" t="s">
        <v>5183</v>
      </c>
      <c r="I92" s="6">
        <v>27891</v>
      </c>
      <c r="J92" s="2" t="s">
        <v>5184</v>
      </c>
      <c r="K92" s="2" t="s">
        <v>34</v>
      </c>
      <c r="L92" t="s">
        <v>35</v>
      </c>
      <c r="M92" t="s">
        <v>29</v>
      </c>
      <c r="N92" t="s">
        <v>30</v>
      </c>
      <c r="O92">
        <v>37219</v>
      </c>
      <c r="P92" t="s">
        <v>5185</v>
      </c>
      <c r="Q92" s="2">
        <v>1.8</v>
      </c>
      <c r="R92" s="2">
        <v>285</v>
      </c>
      <c r="S92" s="2">
        <v>285</v>
      </c>
      <c r="T92" t="s">
        <v>5186</v>
      </c>
      <c r="U92" s="6">
        <v>28661</v>
      </c>
      <c r="V92" s="2">
        <v>47037019500</v>
      </c>
      <c r="W92" s="2" t="s">
        <v>68</v>
      </c>
      <c r="X92" s="1">
        <v>45658</v>
      </c>
      <c r="Y92" s="2">
        <v>23522400</v>
      </c>
      <c r="Z92" s="2">
        <v>0</v>
      </c>
      <c r="AA92" s="2">
        <v>23522400</v>
      </c>
    </row>
    <row r="93" spans="1:27" x14ac:dyDescent="0.3">
      <c r="A93" s="3">
        <v>19</v>
      </c>
      <c r="B93" s="2" t="str">
        <f>"09306000800"</f>
        <v>09306000800</v>
      </c>
      <c r="C93" s="2" t="s">
        <v>5187</v>
      </c>
      <c r="D93" t="s">
        <v>29</v>
      </c>
      <c r="E93" s="2" t="s">
        <v>30</v>
      </c>
      <c r="F93" s="2">
        <v>37203</v>
      </c>
      <c r="G93" s="2" t="s">
        <v>152</v>
      </c>
      <c r="H93" t="s">
        <v>5188</v>
      </c>
      <c r="I93" s="6">
        <v>35417</v>
      </c>
      <c r="J93" s="2" t="s">
        <v>5189</v>
      </c>
      <c r="K93" s="2">
        <v>2100000</v>
      </c>
      <c r="L93" t="s">
        <v>35</v>
      </c>
      <c r="M93" t="s">
        <v>29</v>
      </c>
      <c r="N93" t="s">
        <v>30</v>
      </c>
      <c r="O93">
        <v>37219</v>
      </c>
      <c r="P93" t="s">
        <v>5190</v>
      </c>
      <c r="Q93" s="2">
        <v>7.49</v>
      </c>
      <c r="R93" s="2">
        <v>440</v>
      </c>
      <c r="S93" s="2">
        <v>352</v>
      </c>
      <c r="T93" t="s">
        <v>5191</v>
      </c>
      <c r="U93" s="6">
        <v>34533</v>
      </c>
      <c r="V93" s="2">
        <v>47037019500</v>
      </c>
      <c r="W93" s="2" t="s">
        <v>4960</v>
      </c>
      <c r="X93" s="1">
        <v>45658</v>
      </c>
      <c r="Y93" s="2">
        <v>293637600</v>
      </c>
      <c r="Z93" s="2">
        <v>0</v>
      </c>
      <c r="AA93" s="2">
        <v>293637600</v>
      </c>
    </row>
    <row r="94" spans="1:27" x14ac:dyDescent="0.3">
      <c r="A94" s="3">
        <v>19</v>
      </c>
      <c r="B94" s="2" t="str">
        <f>"08200002500"</f>
        <v>08200002500</v>
      </c>
      <c r="C94" s="2" t="s">
        <v>5192</v>
      </c>
      <c r="D94" t="s">
        <v>29</v>
      </c>
      <c r="E94" s="2" t="s">
        <v>30</v>
      </c>
      <c r="F94" s="2">
        <v>37208</v>
      </c>
      <c r="G94" s="2" t="s">
        <v>1485</v>
      </c>
      <c r="H94" t="s">
        <v>280</v>
      </c>
      <c r="I94" s="6">
        <v>34284</v>
      </c>
      <c r="J94" s="2" t="s">
        <v>5193</v>
      </c>
      <c r="K94" s="2">
        <v>0</v>
      </c>
      <c r="L94" t="s">
        <v>35</v>
      </c>
      <c r="M94" t="s">
        <v>29</v>
      </c>
      <c r="N94" t="s">
        <v>30</v>
      </c>
      <c r="O94">
        <v>37219</v>
      </c>
      <c r="P94" t="s">
        <v>5194</v>
      </c>
      <c r="Q94" s="2">
        <v>1.68</v>
      </c>
      <c r="R94" s="2">
        <v>367</v>
      </c>
      <c r="S94" s="2">
        <v>90</v>
      </c>
      <c r="T94" t="s">
        <v>5195</v>
      </c>
      <c r="U94" s="6">
        <v>34194</v>
      </c>
      <c r="V94" s="2">
        <v>47037019400</v>
      </c>
      <c r="W94" s="2" t="s">
        <v>68</v>
      </c>
      <c r="X94" s="1">
        <v>45658</v>
      </c>
      <c r="Y94" s="2">
        <v>1170900</v>
      </c>
      <c r="Z94" s="2">
        <v>0</v>
      </c>
      <c r="AA94" s="2">
        <v>1170900</v>
      </c>
    </row>
    <row r="95" spans="1:27" x14ac:dyDescent="0.3">
      <c r="A95" s="3">
        <v>19</v>
      </c>
      <c r="B95" s="2" t="str">
        <f>"08200001000"</f>
        <v>08200001000</v>
      </c>
      <c r="C95" s="2" t="s">
        <v>5196</v>
      </c>
      <c r="D95" t="s">
        <v>29</v>
      </c>
      <c r="E95" s="2" t="s">
        <v>30</v>
      </c>
      <c r="F95" s="2">
        <v>37208</v>
      </c>
      <c r="G95" s="2" t="s">
        <v>1485</v>
      </c>
      <c r="H95" t="s">
        <v>280</v>
      </c>
      <c r="I95" s="6">
        <v>34284</v>
      </c>
      <c r="J95" s="2" t="s">
        <v>5193</v>
      </c>
      <c r="K95" s="2">
        <v>164260</v>
      </c>
      <c r="L95" t="s">
        <v>35</v>
      </c>
      <c r="M95" t="s">
        <v>29</v>
      </c>
      <c r="N95" t="s">
        <v>30</v>
      </c>
      <c r="O95">
        <v>37219</v>
      </c>
      <c r="P95" t="s">
        <v>5197</v>
      </c>
      <c r="Q95" s="2">
        <v>3.79</v>
      </c>
      <c r="R95" s="2">
        <v>363</v>
      </c>
      <c r="S95" s="2">
        <v>520</v>
      </c>
      <c r="T95" t="s">
        <v>5195</v>
      </c>
      <c r="U95" s="6">
        <v>34194</v>
      </c>
      <c r="V95" s="2">
        <v>47037019400</v>
      </c>
      <c r="W95" s="2" t="s">
        <v>68</v>
      </c>
      <c r="X95" s="1">
        <v>45658</v>
      </c>
      <c r="Y95" s="2">
        <v>13207400</v>
      </c>
      <c r="Z95" s="2">
        <v>0</v>
      </c>
      <c r="AA95" s="2">
        <v>13207400</v>
      </c>
    </row>
    <row r="96" spans="1:27" x14ac:dyDescent="0.3">
      <c r="A96" s="3">
        <v>19</v>
      </c>
      <c r="B96" s="2" t="str">
        <f>"08200002400"</f>
        <v>08200002400</v>
      </c>
      <c r="C96" s="2" t="s">
        <v>5198</v>
      </c>
      <c r="D96" t="s">
        <v>29</v>
      </c>
      <c r="E96" s="2" t="s">
        <v>30</v>
      </c>
      <c r="F96" s="2">
        <v>37208</v>
      </c>
      <c r="G96" s="2" t="s">
        <v>1343</v>
      </c>
      <c r="H96" t="s">
        <v>280</v>
      </c>
      <c r="I96" s="6">
        <v>33854</v>
      </c>
      <c r="J96" s="2" t="s">
        <v>5199</v>
      </c>
      <c r="K96" s="2">
        <v>190000</v>
      </c>
      <c r="L96" t="s">
        <v>35</v>
      </c>
      <c r="M96" t="s">
        <v>29</v>
      </c>
      <c r="N96" t="s">
        <v>30</v>
      </c>
      <c r="O96">
        <v>37219</v>
      </c>
      <c r="P96" t="s">
        <v>5200</v>
      </c>
      <c r="Q96" s="2">
        <v>5</v>
      </c>
      <c r="R96" s="2">
        <v>0</v>
      </c>
      <c r="S96" s="2">
        <v>0</v>
      </c>
      <c r="T96" t="s">
        <v>5201</v>
      </c>
      <c r="U96" s="6">
        <v>33864</v>
      </c>
      <c r="V96" s="2">
        <v>47037019400</v>
      </c>
      <c r="W96" s="2" t="s">
        <v>68</v>
      </c>
      <c r="X96" s="1">
        <v>45658</v>
      </c>
      <c r="Y96" s="2">
        <v>17447600</v>
      </c>
      <c r="Z96" s="2">
        <v>23600</v>
      </c>
      <c r="AA96" s="2">
        <v>17424000</v>
      </c>
    </row>
    <row r="97" spans="1:27" x14ac:dyDescent="0.3">
      <c r="A97" s="3">
        <v>19</v>
      </c>
      <c r="B97" s="2" t="str">
        <f>"08200000200"</f>
        <v>08200000200</v>
      </c>
      <c r="C97" s="2" t="s">
        <v>5202</v>
      </c>
      <c r="D97" t="s">
        <v>29</v>
      </c>
      <c r="E97" s="2" t="s">
        <v>30</v>
      </c>
      <c r="F97" s="2">
        <v>37208</v>
      </c>
      <c r="G97" s="2" t="s">
        <v>1485</v>
      </c>
      <c r="H97" t="s">
        <v>280</v>
      </c>
      <c r="I97" s="6">
        <v>31308</v>
      </c>
      <c r="J97" s="2" t="s">
        <v>5203</v>
      </c>
      <c r="K97" s="2">
        <v>1333336</v>
      </c>
      <c r="L97" t="s">
        <v>35</v>
      </c>
      <c r="M97" t="s">
        <v>29</v>
      </c>
      <c r="N97" t="s">
        <v>30</v>
      </c>
      <c r="O97">
        <v>37219</v>
      </c>
      <c r="P97" t="s">
        <v>5204</v>
      </c>
      <c r="Q97" s="2">
        <v>8.4600000000000009</v>
      </c>
      <c r="R97" s="2">
        <v>0</v>
      </c>
      <c r="S97" s="2">
        <v>0</v>
      </c>
      <c r="T97" t="s">
        <v>278</v>
      </c>
      <c r="U97" s="6">
        <v>32875</v>
      </c>
      <c r="V97" s="2">
        <v>47037019400</v>
      </c>
      <c r="W97" s="2" t="s">
        <v>68</v>
      </c>
      <c r="X97" s="1">
        <v>45658</v>
      </c>
      <c r="Y97" s="2">
        <v>29481400</v>
      </c>
      <c r="Z97" s="2">
        <v>0</v>
      </c>
      <c r="AA97" s="2">
        <v>29481400</v>
      </c>
    </row>
    <row r="98" spans="1:27" x14ac:dyDescent="0.3">
      <c r="A98" s="3">
        <v>19</v>
      </c>
      <c r="B98" s="2" t="str">
        <f>"08200002000"</f>
        <v>08200002000</v>
      </c>
      <c r="C98" s="2" t="s">
        <v>5205</v>
      </c>
      <c r="D98" t="s">
        <v>29</v>
      </c>
      <c r="E98" s="2" t="s">
        <v>30</v>
      </c>
      <c r="F98" s="2">
        <v>37208</v>
      </c>
      <c r="G98" s="2" t="s">
        <v>1485</v>
      </c>
      <c r="H98" t="s">
        <v>280</v>
      </c>
      <c r="I98" s="6">
        <v>31768</v>
      </c>
      <c r="J98" s="2" t="s">
        <v>5206</v>
      </c>
      <c r="K98" s="2">
        <v>800000</v>
      </c>
      <c r="L98" t="s">
        <v>35</v>
      </c>
      <c r="M98" t="s">
        <v>29</v>
      </c>
      <c r="N98" t="s">
        <v>30</v>
      </c>
      <c r="O98">
        <v>37219</v>
      </c>
      <c r="P98" t="s">
        <v>5207</v>
      </c>
      <c r="Q98" s="2">
        <v>7.97</v>
      </c>
      <c r="R98" s="2">
        <v>0</v>
      </c>
      <c r="S98" s="2">
        <v>0</v>
      </c>
      <c r="T98" t="s">
        <v>5208</v>
      </c>
      <c r="U98" s="6">
        <v>17180</v>
      </c>
      <c r="V98" s="2">
        <v>47037019400</v>
      </c>
      <c r="W98" s="2" t="s">
        <v>68</v>
      </c>
      <c r="X98" s="1">
        <v>45658</v>
      </c>
      <c r="Y98" s="2">
        <v>27773800</v>
      </c>
      <c r="Z98" s="2">
        <v>0</v>
      </c>
      <c r="AA98" s="2">
        <v>27773800</v>
      </c>
    </row>
    <row r="99" spans="1:27" x14ac:dyDescent="0.3">
      <c r="A99" s="3">
        <v>19</v>
      </c>
      <c r="B99" s="2" t="str">
        <f>"08201000100"</f>
        <v>08201000100</v>
      </c>
      <c r="C99" s="2" t="s">
        <v>5209</v>
      </c>
      <c r="D99" t="s">
        <v>29</v>
      </c>
      <c r="E99" s="2" t="s">
        <v>30</v>
      </c>
      <c r="F99" s="2">
        <v>37208</v>
      </c>
      <c r="G99" s="2" t="s">
        <v>2490</v>
      </c>
      <c r="H99" t="s">
        <v>280</v>
      </c>
      <c r="I99" s="6">
        <v>32420</v>
      </c>
      <c r="J99" s="2" t="s">
        <v>5210</v>
      </c>
      <c r="K99" s="2">
        <v>115000</v>
      </c>
      <c r="L99" t="s">
        <v>35</v>
      </c>
      <c r="M99" t="s">
        <v>29</v>
      </c>
      <c r="N99" t="s">
        <v>30</v>
      </c>
      <c r="O99">
        <v>37219</v>
      </c>
      <c r="P99" t="s">
        <v>5211</v>
      </c>
      <c r="Q99" s="2">
        <v>0.94</v>
      </c>
      <c r="R99" s="2">
        <v>315</v>
      </c>
      <c r="S99" s="2">
        <v>130</v>
      </c>
      <c r="T99" t="s">
        <v>5212</v>
      </c>
      <c r="U99" s="6">
        <v>23916</v>
      </c>
      <c r="V99" s="2">
        <v>47037019400</v>
      </c>
      <c r="W99" s="2" t="s">
        <v>68</v>
      </c>
      <c r="X99" s="1">
        <v>45658</v>
      </c>
      <c r="Y99" s="2">
        <v>3054600</v>
      </c>
      <c r="Z99" s="2">
        <v>114600</v>
      </c>
      <c r="AA99" s="2">
        <v>2940000</v>
      </c>
    </row>
    <row r="100" spans="1:27" x14ac:dyDescent="0.3">
      <c r="A100" s="3">
        <v>19</v>
      </c>
      <c r="B100" s="2" t="str">
        <f>"08206009500"</f>
        <v>08206009500</v>
      </c>
      <c r="C100" s="2" t="s">
        <v>5213</v>
      </c>
      <c r="D100" t="s">
        <v>29</v>
      </c>
      <c r="E100" s="2" t="s">
        <v>30</v>
      </c>
      <c r="F100" s="2">
        <v>37207</v>
      </c>
      <c r="G100" s="2" t="s">
        <v>1485</v>
      </c>
      <c r="H100" t="s">
        <v>280</v>
      </c>
      <c r="I100" s="6">
        <v>36174</v>
      </c>
      <c r="J100" s="2" t="s">
        <v>5214</v>
      </c>
      <c r="K100" s="2">
        <v>52000</v>
      </c>
      <c r="L100" t="s">
        <v>35</v>
      </c>
      <c r="M100" t="s">
        <v>29</v>
      </c>
      <c r="N100" t="s">
        <v>30</v>
      </c>
      <c r="O100">
        <v>37219</v>
      </c>
      <c r="P100" t="s">
        <v>5215</v>
      </c>
      <c r="Q100" s="2">
        <v>0.48</v>
      </c>
      <c r="R100" s="2">
        <v>25</v>
      </c>
      <c r="S100" s="2">
        <v>243</v>
      </c>
      <c r="T100" t="s">
        <v>5216</v>
      </c>
      <c r="U100" s="6">
        <v>36028</v>
      </c>
      <c r="V100" s="2">
        <v>47037019300</v>
      </c>
      <c r="W100" s="2" t="s">
        <v>68</v>
      </c>
      <c r="X100" s="1">
        <v>45658</v>
      </c>
      <c r="Y100" s="2">
        <v>1359100</v>
      </c>
      <c r="Z100" s="2">
        <v>0</v>
      </c>
      <c r="AA100" s="2">
        <v>1359100</v>
      </c>
    </row>
    <row r="101" spans="1:27" x14ac:dyDescent="0.3">
      <c r="A101" s="3">
        <v>19</v>
      </c>
      <c r="B101" s="2" t="str">
        <f>"08214009300"</f>
        <v>08214009300</v>
      </c>
      <c r="C101" s="2" t="s">
        <v>5217</v>
      </c>
      <c r="D101" t="s">
        <v>29</v>
      </c>
      <c r="E101" s="2" t="s">
        <v>30</v>
      </c>
      <c r="F101" s="2">
        <v>37201</v>
      </c>
      <c r="G101" s="2" t="s">
        <v>41</v>
      </c>
      <c r="H101" t="s">
        <v>280</v>
      </c>
      <c r="I101" s="6">
        <v>36094</v>
      </c>
      <c r="J101" s="2" t="s">
        <v>5218</v>
      </c>
      <c r="K101" s="2">
        <v>0</v>
      </c>
      <c r="L101" t="s">
        <v>35</v>
      </c>
      <c r="M101" t="s">
        <v>29</v>
      </c>
      <c r="N101" t="s">
        <v>30</v>
      </c>
      <c r="O101">
        <v>37219</v>
      </c>
      <c r="P101" t="s">
        <v>5219</v>
      </c>
      <c r="Q101" s="2">
        <v>0.25</v>
      </c>
      <c r="R101" s="2">
        <v>34</v>
      </c>
      <c r="S101" s="2">
        <v>291</v>
      </c>
      <c r="T101" t="s">
        <v>5220</v>
      </c>
      <c r="U101" s="6">
        <v>35858</v>
      </c>
      <c r="V101" s="2">
        <v>47037019400</v>
      </c>
      <c r="W101" s="2" t="s">
        <v>68</v>
      </c>
      <c r="X101" s="1">
        <v>45658</v>
      </c>
      <c r="Y101" s="2">
        <v>2722500</v>
      </c>
      <c r="Z101" s="2">
        <v>0</v>
      </c>
      <c r="AA101" s="2">
        <v>2722500</v>
      </c>
    </row>
    <row r="102" spans="1:27" x14ac:dyDescent="0.3">
      <c r="A102" s="3">
        <v>19</v>
      </c>
      <c r="B102" s="2" t="str">
        <f>"08213039500"</f>
        <v>08213039500</v>
      </c>
      <c r="C102" s="2" t="s">
        <v>5221</v>
      </c>
      <c r="D102" t="s">
        <v>29</v>
      </c>
      <c r="E102" s="2" t="s">
        <v>30</v>
      </c>
      <c r="F102" s="2">
        <v>37201</v>
      </c>
      <c r="G102" s="2" t="s">
        <v>41</v>
      </c>
      <c r="H102" t="s">
        <v>280</v>
      </c>
      <c r="I102" s="6">
        <v>36094</v>
      </c>
      <c r="J102" s="2" t="s">
        <v>5218</v>
      </c>
      <c r="K102" s="2">
        <v>0</v>
      </c>
      <c r="L102" t="s">
        <v>35</v>
      </c>
      <c r="M102" t="s">
        <v>29</v>
      </c>
      <c r="N102" t="s">
        <v>30</v>
      </c>
      <c r="O102">
        <v>37219</v>
      </c>
      <c r="P102" t="s">
        <v>5222</v>
      </c>
      <c r="Q102" s="2">
        <v>0.49</v>
      </c>
      <c r="R102" s="2">
        <v>106</v>
      </c>
      <c r="S102" s="2">
        <v>75</v>
      </c>
      <c r="T102" t="s">
        <v>5220</v>
      </c>
      <c r="U102" s="6">
        <v>35858</v>
      </c>
      <c r="V102" s="2">
        <v>47037019400</v>
      </c>
      <c r="W102" s="2" t="s">
        <v>68</v>
      </c>
      <c r="X102" s="1">
        <v>45658</v>
      </c>
      <c r="Y102" s="2">
        <v>5336000</v>
      </c>
      <c r="Z102" s="2">
        <v>0</v>
      </c>
      <c r="AA102" s="2">
        <v>5336000</v>
      </c>
    </row>
    <row r="103" spans="1:27" x14ac:dyDescent="0.3">
      <c r="A103" s="3">
        <v>19</v>
      </c>
      <c r="B103" s="2" t="str">
        <f>"08214009500"</f>
        <v>08214009500</v>
      </c>
      <c r="C103" s="2" t="s">
        <v>5223</v>
      </c>
      <c r="D103" t="s">
        <v>29</v>
      </c>
      <c r="E103" s="2" t="s">
        <v>30</v>
      </c>
      <c r="F103" s="2">
        <v>37213</v>
      </c>
      <c r="G103" s="2" t="s">
        <v>1485</v>
      </c>
      <c r="H103" t="s">
        <v>280</v>
      </c>
      <c r="I103" s="6">
        <v>37782</v>
      </c>
      <c r="J103" s="2" t="s">
        <v>5224</v>
      </c>
      <c r="K103" s="2">
        <v>0</v>
      </c>
      <c r="L103" t="s">
        <v>35</v>
      </c>
      <c r="M103" t="s">
        <v>29</v>
      </c>
      <c r="N103" t="s">
        <v>30</v>
      </c>
      <c r="O103">
        <v>37219</v>
      </c>
      <c r="P103" t="s">
        <v>5225</v>
      </c>
      <c r="Q103" s="2">
        <v>0.61</v>
      </c>
      <c r="R103" s="2">
        <v>40</v>
      </c>
      <c r="S103" s="2">
        <v>679</v>
      </c>
      <c r="T103" t="s">
        <v>5226</v>
      </c>
      <c r="U103" s="6">
        <v>36280</v>
      </c>
      <c r="V103" s="2">
        <v>47037019300</v>
      </c>
      <c r="W103" s="2" t="s">
        <v>68</v>
      </c>
      <c r="X103" s="1">
        <v>45658</v>
      </c>
      <c r="Y103" s="2">
        <v>2657200</v>
      </c>
      <c r="Z103" s="2">
        <v>0</v>
      </c>
      <c r="AA103" s="2">
        <v>2657200</v>
      </c>
    </row>
    <row r="104" spans="1:27" x14ac:dyDescent="0.3">
      <c r="A104" s="3">
        <v>19</v>
      </c>
      <c r="B104" s="2" t="str">
        <f>"08213039600"</f>
        <v>08213039600</v>
      </c>
      <c r="C104" s="2" t="s">
        <v>5227</v>
      </c>
      <c r="D104" t="s">
        <v>29</v>
      </c>
      <c r="E104" s="2" t="s">
        <v>30</v>
      </c>
      <c r="F104" s="2">
        <v>37201</v>
      </c>
      <c r="G104" s="2" t="s">
        <v>152</v>
      </c>
      <c r="H104" t="s">
        <v>280</v>
      </c>
      <c r="I104" s="6">
        <v>35975</v>
      </c>
      <c r="J104" s="2" t="s">
        <v>5228</v>
      </c>
      <c r="K104" s="2">
        <v>40000</v>
      </c>
      <c r="L104" t="s">
        <v>35</v>
      </c>
      <c r="M104" t="s">
        <v>29</v>
      </c>
      <c r="N104" t="s">
        <v>30</v>
      </c>
      <c r="O104">
        <v>37219</v>
      </c>
      <c r="P104" t="s">
        <v>5229</v>
      </c>
      <c r="Q104" s="2">
        <v>0.2</v>
      </c>
      <c r="R104" s="2">
        <v>79</v>
      </c>
      <c r="S104" s="2">
        <v>115</v>
      </c>
      <c r="T104" t="s">
        <v>5228</v>
      </c>
      <c r="U104" s="6">
        <v>35975</v>
      </c>
      <c r="V104" s="2">
        <v>47037019400</v>
      </c>
      <c r="W104" s="2" t="s">
        <v>68</v>
      </c>
      <c r="X104" s="1">
        <v>45658</v>
      </c>
      <c r="Y104" s="2">
        <v>2178000</v>
      </c>
      <c r="Z104" s="2">
        <v>0</v>
      </c>
      <c r="AA104" s="2">
        <v>2178000</v>
      </c>
    </row>
    <row r="105" spans="1:27" x14ac:dyDescent="0.3">
      <c r="A105" s="3">
        <v>19</v>
      </c>
      <c r="B105" s="2" t="str">
        <f>"08205011800"</f>
        <v>08205011800</v>
      </c>
      <c r="C105" s="2" t="s">
        <v>5230</v>
      </c>
      <c r="D105" t="s">
        <v>29</v>
      </c>
      <c r="E105" s="2" t="s">
        <v>30</v>
      </c>
      <c r="F105" s="2">
        <v>37208</v>
      </c>
      <c r="G105" s="2" t="s">
        <v>2490</v>
      </c>
      <c r="H105" t="s">
        <v>280</v>
      </c>
      <c r="I105" s="6">
        <v>27786</v>
      </c>
      <c r="J105" s="2" t="s">
        <v>5231</v>
      </c>
      <c r="K105" s="2">
        <v>16500</v>
      </c>
      <c r="L105" t="s">
        <v>35</v>
      </c>
      <c r="M105" t="s">
        <v>29</v>
      </c>
      <c r="N105" t="s">
        <v>30</v>
      </c>
      <c r="O105">
        <v>37219</v>
      </c>
      <c r="P105" t="s">
        <v>5232</v>
      </c>
      <c r="Q105" s="2">
        <v>1.78</v>
      </c>
      <c r="R105" s="2">
        <v>405</v>
      </c>
      <c r="S105" s="2">
        <v>127</v>
      </c>
      <c r="T105" t="s">
        <v>5233</v>
      </c>
      <c r="U105" s="6">
        <v>28097</v>
      </c>
      <c r="V105" s="2">
        <v>47037019400</v>
      </c>
      <c r="W105" s="2" t="s">
        <v>68</v>
      </c>
      <c r="X105" s="1">
        <v>45658</v>
      </c>
      <c r="Y105" s="2">
        <v>12615000</v>
      </c>
      <c r="Z105" s="2">
        <v>209100</v>
      </c>
      <c r="AA105" s="2">
        <v>12405900</v>
      </c>
    </row>
    <row r="106" spans="1:27" x14ac:dyDescent="0.3">
      <c r="A106" s="3">
        <v>19</v>
      </c>
      <c r="B106" s="2" t="str">
        <f>"08205013600"</f>
        <v>08205013600</v>
      </c>
      <c r="C106" s="2" t="s">
        <v>5234</v>
      </c>
      <c r="D106" t="s">
        <v>29</v>
      </c>
      <c r="E106" s="2" t="s">
        <v>30</v>
      </c>
      <c r="F106" s="2">
        <v>37208</v>
      </c>
      <c r="G106" s="2" t="s">
        <v>1485</v>
      </c>
      <c r="H106" t="s">
        <v>280</v>
      </c>
      <c r="I106" s="6">
        <v>25072</v>
      </c>
      <c r="J106" s="2" t="s">
        <v>5235</v>
      </c>
      <c r="K106" s="2" t="s">
        <v>34</v>
      </c>
      <c r="L106" t="s">
        <v>35</v>
      </c>
      <c r="M106" t="s">
        <v>29</v>
      </c>
      <c r="N106" t="s">
        <v>30</v>
      </c>
      <c r="O106">
        <v>37219</v>
      </c>
      <c r="P106" t="s">
        <v>5236</v>
      </c>
      <c r="Q106" s="2">
        <v>1.07</v>
      </c>
      <c r="R106" s="2">
        <v>447</v>
      </c>
      <c r="S106" s="2">
        <v>328</v>
      </c>
      <c r="T106" t="s">
        <v>5237</v>
      </c>
      <c r="U106" s="6">
        <v>34659</v>
      </c>
      <c r="V106" s="2">
        <v>47037019400</v>
      </c>
      <c r="W106" s="2" t="s">
        <v>68</v>
      </c>
      <c r="X106" s="1">
        <v>45658</v>
      </c>
      <c r="Y106" s="2">
        <v>5593100</v>
      </c>
      <c r="Z106" s="2">
        <v>0</v>
      </c>
      <c r="AA106" s="2">
        <v>5593100</v>
      </c>
    </row>
    <row r="107" spans="1:27" x14ac:dyDescent="0.3">
      <c r="A107" s="3">
        <v>19</v>
      </c>
      <c r="B107" s="2" t="str">
        <f>"08205013100"</f>
        <v>08205013100</v>
      </c>
      <c r="C107" s="2" t="s">
        <v>315</v>
      </c>
      <c r="D107" t="s">
        <v>29</v>
      </c>
      <c r="E107" s="2" t="s">
        <v>30</v>
      </c>
      <c r="F107" s="2">
        <v>37208</v>
      </c>
      <c r="G107" s="2" t="s">
        <v>152</v>
      </c>
      <c r="H107" t="s">
        <v>280</v>
      </c>
      <c r="I107" s="6">
        <v>28296</v>
      </c>
      <c r="J107" s="2" t="s">
        <v>5238</v>
      </c>
      <c r="K107" s="2" t="s">
        <v>34</v>
      </c>
      <c r="L107" t="s">
        <v>35</v>
      </c>
      <c r="M107" t="s">
        <v>29</v>
      </c>
      <c r="N107" t="s">
        <v>30</v>
      </c>
      <c r="O107">
        <v>37219</v>
      </c>
      <c r="P107" t="s">
        <v>5239</v>
      </c>
      <c r="Q107" s="2">
        <v>55.71</v>
      </c>
      <c r="R107" s="2">
        <v>0</v>
      </c>
      <c r="S107" s="2">
        <v>0</v>
      </c>
      <c r="T107" t="s">
        <v>5240</v>
      </c>
      <c r="U107" s="6">
        <v>34659</v>
      </c>
      <c r="V107" s="2">
        <v>47037019400</v>
      </c>
      <c r="W107" s="2" t="s">
        <v>68</v>
      </c>
      <c r="X107" s="1">
        <v>45658</v>
      </c>
      <c r="Y107" s="2">
        <v>33426000</v>
      </c>
      <c r="Z107" s="2">
        <v>0</v>
      </c>
      <c r="AA107" s="2">
        <v>33426000</v>
      </c>
    </row>
    <row r="108" spans="1:27" x14ac:dyDescent="0.3">
      <c r="A108" s="3">
        <v>19</v>
      </c>
      <c r="B108" s="2" t="str">
        <f>"08205016500"</f>
        <v>08205016500</v>
      </c>
      <c r="C108" s="2" t="s">
        <v>5241</v>
      </c>
      <c r="D108" t="s">
        <v>29</v>
      </c>
      <c r="E108" s="2" t="s">
        <v>30</v>
      </c>
      <c r="F108" s="2">
        <v>37208</v>
      </c>
      <c r="G108" s="2" t="s">
        <v>1485</v>
      </c>
      <c r="H108" t="s">
        <v>280</v>
      </c>
      <c r="I108" s="6">
        <v>34739</v>
      </c>
      <c r="J108" s="2" t="s">
        <v>5242</v>
      </c>
      <c r="K108" s="2" t="s">
        <v>34</v>
      </c>
      <c r="L108" t="s">
        <v>35</v>
      </c>
      <c r="M108" t="s">
        <v>29</v>
      </c>
      <c r="N108" t="s">
        <v>30</v>
      </c>
      <c r="O108">
        <v>37219</v>
      </c>
      <c r="P108" t="s">
        <v>5243</v>
      </c>
      <c r="Q108" s="2">
        <v>0.8</v>
      </c>
      <c r="R108" s="2">
        <v>175</v>
      </c>
      <c r="S108" s="2">
        <v>200</v>
      </c>
      <c r="T108" t="s">
        <v>5244</v>
      </c>
      <c r="U108" s="6">
        <v>34201</v>
      </c>
      <c r="V108" s="2">
        <v>47037019400</v>
      </c>
      <c r="W108" s="2" t="s">
        <v>68</v>
      </c>
      <c r="X108" s="1">
        <v>45658</v>
      </c>
      <c r="Y108" s="2">
        <v>5600000</v>
      </c>
      <c r="Z108" s="2">
        <v>0</v>
      </c>
      <c r="AA108" s="2">
        <v>5600000</v>
      </c>
    </row>
    <row r="109" spans="1:27" x14ac:dyDescent="0.3">
      <c r="A109" s="3">
        <v>19</v>
      </c>
      <c r="B109" s="2" t="str">
        <f>"08205015100"</f>
        <v>08205015100</v>
      </c>
      <c r="C109" s="2" t="s">
        <v>5245</v>
      </c>
      <c r="D109" t="s">
        <v>29</v>
      </c>
      <c r="E109" s="2" t="s">
        <v>30</v>
      </c>
      <c r="F109" s="2">
        <v>37208</v>
      </c>
      <c r="G109" s="2" t="s">
        <v>152</v>
      </c>
      <c r="H109" t="s">
        <v>280</v>
      </c>
      <c r="I109" s="6">
        <v>31708</v>
      </c>
      <c r="J109" s="2" t="s">
        <v>5246</v>
      </c>
      <c r="K109" s="2">
        <v>0</v>
      </c>
      <c r="L109" t="s">
        <v>35</v>
      </c>
      <c r="M109" t="s">
        <v>29</v>
      </c>
      <c r="N109" t="s">
        <v>30</v>
      </c>
      <c r="O109">
        <v>37219</v>
      </c>
      <c r="P109" t="s">
        <v>5247</v>
      </c>
      <c r="Q109" s="2">
        <v>8.6999999999999993</v>
      </c>
      <c r="R109" s="2">
        <v>0</v>
      </c>
      <c r="S109" s="2">
        <v>0</v>
      </c>
      <c r="T109" t="s">
        <v>5248</v>
      </c>
      <c r="U109" s="6">
        <v>42011</v>
      </c>
      <c r="V109" s="2">
        <v>47037019400</v>
      </c>
      <c r="W109" s="2" t="s">
        <v>68</v>
      </c>
      <c r="X109" s="1">
        <v>45658</v>
      </c>
      <c r="Y109" s="2">
        <v>6960000</v>
      </c>
      <c r="Z109" s="2">
        <v>0</v>
      </c>
      <c r="AA109" s="2">
        <v>6960000</v>
      </c>
    </row>
    <row r="110" spans="1:27" x14ac:dyDescent="0.3">
      <c r="A110" s="3">
        <v>19</v>
      </c>
      <c r="B110" s="2" t="str">
        <f>"08214005900"</f>
        <v>08214005900</v>
      </c>
      <c r="C110" s="2" t="s">
        <v>5249</v>
      </c>
      <c r="D110" t="s">
        <v>29</v>
      </c>
      <c r="E110" s="2" t="s">
        <v>30</v>
      </c>
      <c r="F110" s="2">
        <v>37213</v>
      </c>
      <c r="G110" s="2" t="s">
        <v>1485</v>
      </c>
      <c r="H110" t="s">
        <v>280</v>
      </c>
      <c r="I110" s="6">
        <v>37782</v>
      </c>
      <c r="J110" s="2" t="s">
        <v>5224</v>
      </c>
      <c r="K110" s="2">
        <v>600000</v>
      </c>
      <c r="L110" t="s">
        <v>35</v>
      </c>
      <c r="M110" t="s">
        <v>29</v>
      </c>
      <c r="N110" t="s">
        <v>30</v>
      </c>
      <c r="O110">
        <v>37219</v>
      </c>
      <c r="P110" t="s">
        <v>5250</v>
      </c>
      <c r="Q110" s="2">
        <v>4.28</v>
      </c>
      <c r="R110" s="2">
        <v>780</v>
      </c>
      <c r="S110" s="2">
        <v>740</v>
      </c>
      <c r="T110" t="s">
        <v>5226</v>
      </c>
      <c r="U110" s="6">
        <v>36280</v>
      </c>
      <c r="V110" s="2">
        <v>47037019300</v>
      </c>
      <c r="W110" s="2" t="s">
        <v>68</v>
      </c>
      <c r="X110" s="1">
        <v>45658</v>
      </c>
      <c r="Y110" s="2">
        <v>16779300</v>
      </c>
      <c r="Z110" s="2">
        <v>0</v>
      </c>
      <c r="AA110" s="2">
        <v>16779300</v>
      </c>
    </row>
    <row r="111" spans="1:27" x14ac:dyDescent="0.3">
      <c r="A111" s="3">
        <v>19</v>
      </c>
      <c r="B111" s="2" t="str">
        <f>"08205012700"</f>
        <v>08205012700</v>
      </c>
      <c r="C111" s="2" t="s">
        <v>5251</v>
      </c>
      <c r="D111" t="s">
        <v>29</v>
      </c>
      <c r="E111" s="2" t="s">
        <v>30</v>
      </c>
      <c r="F111" s="2">
        <v>37208</v>
      </c>
      <c r="G111" s="2" t="s">
        <v>2490</v>
      </c>
      <c r="H111" t="s">
        <v>280</v>
      </c>
      <c r="I111" s="6">
        <v>25072</v>
      </c>
      <c r="J111" s="2" t="s">
        <v>5235</v>
      </c>
      <c r="K111" s="2" t="s">
        <v>34</v>
      </c>
      <c r="L111" t="s">
        <v>35</v>
      </c>
      <c r="M111" t="s">
        <v>29</v>
      </c>
      <c r="N111" t="s">
        <v>30</v>
      </c>
      <c r="O111">
        <v>37219</v>
      </c>
      <c r="P111" t="s">
        <v>5252</v>
      </c>
      <c r="Q111" s="2">
        <v>2.6</v>
      </c>
      <c r="R111" s="2">
        <v>380</v>
      </c>
      <c r="S111" s="2">
        <v>304</v>
      </c>
      <c r="T111" t="s">
        <v>5237</v>
      </c>
      <c r="U111" s="6">
        <v>34659</v>
      </c>
      <c r="V111" s="2">
        <v>47037019400</v>
      </c>
      <c r="W111" s="2" t="s">
        <v>68</v>
      </c>
      <c r="X111" s="1">
        <v>45658</v>
      </c>
      <c r="Y111" s="2">
        <v>18169100</v>
      </c>
      <c r="Z111" s="2">
        <v>48100</v>
      </c>
      <c r="AA111" s="2">
        <v>18121000</v>
      </c>
    </row>
    <row r="112" spans="1:27" x14ac:dyDescent="0.3">
      <c r="A112" s="3">
        <v>19</v>
      </c>
      <c r="B112" s="2" t="str">
        <f>"09314047100"</f>
        <v>09314047100</v>
      </c>
      <c r="C112" s="2" t="s">
        <v>5253</v>
      </c>
      <c r="D112" t="s">
        <v>29</v>
      </c>
      <c r="E112" s="2" t="s">
        <v>30</v>
      </c>
      <c r="F112" s="2">
        <v>37203</v>
      </c>
      <c r="G112" s="2" t="s">
        <v>41</v>
      </c>
      <c r="H112" t="s">
        <v>5254</v>
      </c>
      <c r="I112" s="6">
        <v>43028</v>
      </c>
      <c r="J112" s="2" t="s">
        <v>5255</v>
      </c>
      <c r="K112" s="2" t="s">
        <v>34</v>
      </c>
      <c r="L112" t="s">
        <v>5256</v>
      </c>
      <c r="M112" t="s">
        <v>29</v>
      </c>
      <c r="N112" t="s">
        <v>30</v>
      </c>
      <c r="O112">
        <v>37203</v>
      </c>
      <c r="P112" t="s">
        <v>5257</v>
      </c>
      <c r="Q112" s="2">
        <v>0.79</v>
      </c>
      <c r="R112" s="2">
        <v>200</v>
      </c>
      <c r="S112" s="2">
        <v>254</v>
      </c>
      <c r="T112" t="s">
        <v>5258</v>
      </c>
      <c r="U112" s="6">
        <v>38824</v>
      </c>
      <c r="V112" s="2">
        <v>47037019500</v>
      </c>
      <c r="W112" s="2" t="s">
        <v>68</v>
      </c>
      <c r="X112" s="1">
        <v>45658</v>
      </c>
      <c r="Y112" s="2">
        <v>8775100</v>
      </c>
      <c r="Z112" s="2">
        <v>0</v>
      </c>
      <c r="AA112" s="2">
        <v>8775100</v>
      </c>
    </row>
    <row r="113" spans="1:27" x14ac:dyDescent="0.3">
      <c r="A113" s="3">
        <v>19</v>
      </c>
      <c r="B113" s="2" t="str">
        <f>"09208010300"</f>
        <v>09208010300</v>
      </c>
      <c r="C113" s="2" t="s">
        <v>5259</v>
      </c>
      <c r="D113" t="s">
        <v>29</v>
      </c>
      <c r="E113" s="2" t="s">
        <v>30</v>
      </c>
      <c r="F113" s="2">
        <v>37203</v>
      </c>
      <c r="G113" s="2" t="s">
        <v>41</v>
      </c>
      <c r="H113" t="s">
        <v>374</v>
      </c>
      <c r="I113" s="6">
        <v>42941</v>
      </c>
      <c r="J113" s="2" t="s">
        <v>4866</v>
      </c>
      <c r="K113" s="2">
        <v>0</v>
      </c>
      <c r="L113" t="s">
        <v>35</v>
      </c>
      <c r="M113" t="s">
        <v>29</v>
      </c>
      <c r="N113" t="s">
        <v>30</v>
      </c>
      <c r="O113">
        <v>37219</v>
      </c>
      <c r="P113" t="s">
        <v>5260</v>
      </c>
      <c r="Q113" s="2">
        <v>0.14000000000000001</v>
      </c>
      <c r="R113" s="2">
        <v>38</v>
      </c>
      <c r="S113" s="2">
        <v>160</v>
      </c>
      <c r="T113" t="s">
        <v>5261</v>
      </c>
      <c r="U113" s="6">
        <v>21038</v>
      </c>
      <c r="V113" s="2">
        <v>47037014400</v>
      </c>
      <c r="W113" s="2" t="s">
        <v>68</v>
      </c>
      <c r="X113" s="1">
        <v>45658</v>
      </c>
      <c r="Y113" s="2">
        <v>547200</v>
      </c>
      <c r="Z113" s="2">
        <v>0</v>
      </c>
      <c r="AA113" s="2">
        <v>547200</v>
      </c>
    </row>
    <row r="114" spans="1:27" x14ac:dyDescent="0.3">
      <c r="A114" s="3">
        <v>19</v>
      </c>
      <c r="B114" s="2" t="str">
        <f>"09301004600"</f>
        <v>09301004600</v>
      </c>
      <c r="C114" s="2" t="s">
        <v>5262</v>
      </c>
      <c r="D114" t="s">
        <v>29</v>
      </c>
      <c r="E114" s="2" t="s">
        <v>30</v>
      </c>
      <c r="F114" s="2">
        <v>37203</v>
      </c>
      <c r="G114" s="2" t="s">
        <v>41</v>
      </c>
      <c r="H114" t="s">
        <v>5263</v>
      </c>
      <c r="I114" s="6">
        <v>42516</v>
      </c>
      <c r="J114" s="2" t="s">
        <v>5142</v>
      </c>
      <c r="K114" s="2">
        <v>0</v>
      </c>
      <c r="L114" t="s">
        <v>5143</v>
      </c>
      <c r="M114" t="s">
        <v>29</v>
      </c>
      <c r="N114" t="s">
        <v>30</v>
      </c>
      <c r="O114">
        <v>37219</v>
      </c>
      <c r="P114" t="s">
        <v>5264</v>
      </c>
      <c r="Q114" s="2">
        <v>1.05</v>
      </c>
      <c r="R114" s="2">
        <v>279</v>
      </c>
      <c r="S114" s="2">
        <v>228</v>
      </c>
      <c r="T114" t="s">
        <v>5145</v>
      </c>
      <c r="U114" s="6">
        <v>42494</v>
      </c>
      <c r="V114" s="2">
        <v>47019400</v>
      </c>
      <c r="W114" s="2" t="s">
        <v>68</v>
      </c>
      <c r="X114" s="1">
        <v>45658</v>
      </c>
      <c r="Y114" s="2">
        <v>3622500</v>
      </c>
      <c r="Z114" s="2">
        <v>0</v>
      </c>
      <c r="AA114" s="2">
        <v>3622500</v>
      </c>
    </row>
    <row r="115" spans="1:27" x14ac:dyDescent="0.3">
      <c r="A115" s="3">
        <v>19</v>
      </c>
      <c r="B115" s="2" t="str">
        <f>"09301007200"</f>
        <v>09301007200</v>
      </c>
      <c r="C115" s="2" t="s">
        <v>570</v>
      </c>
      <c r="D115" t="s">
        <v>29</v>
      </c>
      <c r="E115" s="2" t="s">
        <v>30</v>
      </c>
      <c r="F115" s="2">
        <v>37203</v>
      </c>
      <c r="G115" s="2" t="s">
        <v>41</v>
      </c>
      <c r="H115" t="s">
        <v>5265</v>
      </c>
      <c r="I115" s="6">
        <v>43777</v>
      </c>
      <c r="J115" s="2" t="s">
        <v>5266</v>
      </c>
      <c r="K115" s="2" t="s">
        <v>34</v>
      </c>
      <c r="L115" t="s">
        <v>85</v>
      </c>
      <c r="M115" t="s">
        <v>29</v>
      </c>
      <c r="N115" t="s">
        <v>30</v>
      </c>
      <c r="O115">
        <v>37219</v>
      </c>
      <c r="P115" t="s">
        <v>5267</v>
      </c>
      <c r="Q115" s="2">
        <v>0.69</v>
      </c>
      <c r="R115" s="2">
        <v>223</v>
      </c>
      <c r="S115" s="2">
        <v>0</v>
      </c>
      <c r="T115" t="s">
        <v>5268</v>
      </c>
      <c r="U115" s="6">
        <v>42282</v>
      </c>
      <c r="V115" s="2">
        <v>470</v>
      </c>
      <c r="W115" s="2" t="s">
        <v>68</v>
      </c>
      <c r="X115" s="1">
        <v>45658</v>
      </c>
      <c r="Y115" s="2">
        <v>1190200</v>
      </c>
      <c r="Z115" s="2">
        <v>0</v>
      </c>
      <c r="AA115" s="2">
        <v>1190200</v>
      </c>
    </row>
    <row r="116" spans="1:27" x14ac:dyDescent="0.3">
      <c r="A116" s="3">
        <v>19</v>
      </c>
      <c r="B116" s="2" t="str">
        <f>"08205010500"</f>
        <v>08205010500</v>
      </c>
      <c r="C116" s="2" t="s">
        <v>5269</v>
      </c>
      <c r="D116" t="s">
        <v>29</v>
      </c>
      <c r="E116" s="2" t="s">
        <v>30</v>
      </c>
      <c r="F116" s="2">
        <v>37208</v>
      </c>
      <c r="G116" s="2" t="s">
        <v>2495</v>
      </c>
      <c r="H116" t="s">
        <v>5270</v>
      </c>
      <c r="I116" s="6">
        <v>36175</v>
      </c>
      <c r="J116" s="2" t="s">
        <v>5271</v>
      </c>
      <c r="K116" s="2">
        <v>58993</v>
      </c>
      <c r="L116" t="s">
        <v>35</v>
      </c>
      <c r="M116" t="s">
        <v>29</v>
      </c>
      <c r="N116" t="s">
        <v>30</v>
      </c>
      <c r="O116">
        <v>37219</v>
      </c>
      <c r="P116" t="s">
        <v>5272</v>
      </c>
      <c r="Q116" s="2">
        <v>0.2</v>
      </c>
      <c r="R116" s="2">
        <v>50</v>
      </c>
      <c r="S116" s="2">
        <v>174</v>
      </c>
      <c r="T116" t="s">
        <v>5273</v>
      </c>
      <c r="U116" s="6">
        <v>22015</v>
      </c>
      <c r="V116" s="2">
        <v>47037019400</v>
      </c>
      <c r="W116" s="2" t="s">
        <v>68</v>
      </c>
      <c r="X116" s="1">
        <v>45658</v>
      </c>
      <c r="Y116" s="2">
        <v>1395000</v>
      </c>
      <c r="Z116" s="2">
        <v>3000</v>
      </c>
      <c r="AA116" s="2">
        <v>1392000</v>
      </c>
    </row>
    <row r="117" spans="1:27" x14ac:dyDescent="0.3">
      <c r="A117" s="3">
        <v>19</v>
      </c>
      <c r="B117" s="2" t="str">
        <f>"08200002300"</f>
        <v>08200002300</v>
      </c>
      <c r="C117" s="2" t="s">
        <v>5274</v>
      </c>
      <c r="D117" t="s">
        <v>29</v>
      </c>
      <c r="E117" s="2" t="s">
        <v>30</v>
      </c>
      <c r="F117" s="2">
        <v>37208</v>
      </c>
      <c r="G117" s="2" t="s">
        <v>1253</v>
      </c>
      <c r="H117" t="s">
        <v>379</v>
      </c>
      <c r="I117" s="6">
        <v>31768</v>
      </c>
      <c r="J117" s="2" t="s">
        <v>5275</v>
      </c>
      <c r="K117" s="2">
        <v>800000</v>
      </c>
      <c r="L117" t="s">
        <v>35</v>
      </c>
      <c r="M117" t="s">
        <v>29</v>
      </c>
      <c r="N117" t="s">
        <v>30</v>
      </c>
      <c r="O117">
        <v>37219</v>
      </c>
      <c r="P117" t="s">
        <v>5276</v>
      </c>
      <c r="Q117" s="2">
        <v>24.82</v>
      </c>
      <c r="R117" s="2">
        <v>0</v>
      </c>
      <c r="S117" s="2">
        <v>0</v>
      </c>
      <c r="T117" t="s">
        <v>5275</v>
      </c>
      <c r="U117" s="6">
        <v>31768</v>
      </c>
      <c r="V117" s="2">
        <v>47037019400</v>
      </c>
      <c r="W117" s="2" t="s">
        <v>68</v>
      </c>
      <c r="X117" s="1">
        <v>45658</v>
      </c>
      <c r="Y117" s="2">
        <v>9928000</v>
      </c>
      <c r="Z117" s="2">
        <v>0</v>
      </c>
      <c r="AA117" s="2">
        <v>9928000</v>
      </c>
    </row>
    <row r="118" spans="1:27" x14ac:dyDescent="0.3">
      <c r="A118" s="3">
        <v>19</v>
      </c>
      <c r="B118" s="2" t="str">
        <f>"09302001500"</f>
        <v>09302001500</v>
      </c>
      <c r="C118" s="2" t="s">
        <v>5277</v>
      </c>
      <c r="D118" t="s">
        <v>29</v>
      </c>
      <c r="E118" s="2" t="s">
        <v>30</v>
      </c>
      <c r="F118" s="2">
        <v>37219</v>
      </c>
      <c r="G118" s="2" t="s">
        <v>152</v>
      </c>
      <c r="H118" t="s">
        <v>2213</v>
      </c>
      <c r="I118" s="6">
        <v>39098</v>
      </c>
      <c r="J118" s="2" t="s">
        <v>5278</v>
      </c>
      <c r="K118" s="2">
        <v>0</v>
      </c>
      <c r="L118" t="s">
        <v>3492</v>
      </c>
      <c r="M118" t="s">
        <v>29</v>
      </c>
      <c r="N118" t="s">
        <v>30</v>
      </c>
      <c r="O118">
        <v>37210</v>
      </c>
      <c r="P118" t="s">
        <v>5279</v>
      </c>
      <c r="Q118" s="2">
        <v>2.5499999999999998</v>
      </c>
      <c r="R118" s="2">
        <v>304</v>
      </c>
      <c r="S118" s="2">
        <v>333</v>
      </c>
      <c r="T118" t="s">
        <v>5280</v>
      </c>
      <c r="U118" s="6">
        <v>39183</v>
      </c>
      <c r="V118" s="2">
        <v>47037019500</v>
      </c>
      <c r="W118" s="2" t="s">
        <v>68</v>
      </c>
      <c r="X118" s="1">
        <v>45658</v>
      </c>
      <c r="Y118" s="2">
        <v>29546000</v>
      </c>
      <c r="Z118" s="2">
        <v>0</v>
      </c>
      <c r="AA118" s="2">
        <v>29546000</v>
      </c>
    </row>
    <row r="119" spans="1:27" x14ac:dyDescent="0.3">
      <c r="A119" s="3">
        <v>19</v>
      </c>
      <c r="B119" s="2" t="str">
        <f>"09312000100"</f>
        <v>09312000100</v>
      </c>
      <c r="C119" s="2" t="s">
        <v>5281</v>
      </c>
      <c r="D119" t="s">
        <v>29</v>
      </c>
      <c r="E119" s="2" t="s">
        <v>30</v>
      </c>
      <c r="F119" s="2">
        <v>37210</v>
      </c>
      <c r="G119" s="2" t="s">
        <v>1471</v>
      </c>
      <c r="H119" t="s">
        <v>4504</v>
      </c>
      <c r="I119" s="6">
        <v>44638</v>
      </c>
      <c r="J119" s="2" t="s">
        <v>5282</v>
      </c>
      <c r="K119" s="2" t="s">
        <v>34</v>
      </c>
      <c r="L119" t="s">
        <v>35</v>
      </c>
      <c r="M119" t="s">
        <v>29</v>
      </c>
      <c r="N119" t="s">
        <v>30</v>
      </c>
      <c r="O119">
        <v>37219</v>
      </c>
      <c r="P119" t="s">
        <v>5283</v>
      </c>
      <c r="Q119" s="2">
        <v>2.89</v>
      </c>
      <c r="R119" s="2">
        <v>0</v>
      </c>
      <c r="S119" s="2">
        <v>0</v>
      </c>
      <c r="T119" t="s">
        <v>4879</v>
      </c>
      <c r="U119" s="6">
        <v>30105</v>
      </c>
      <c r="V119" s="2">
        <v>47037019500</v>
      </c>
      <c r="W119" s="2" t="s">
        <v>68</v>
      </c>
      <c r="X119" s="1">
        <v>45658</v>
      </c>
      <c r="Y119" s="2">
        <v>325100</v>
      </c>
      <c r="Z119" s="2">
        <v>0</v>
      </c>
      <c r="AA119" s="2">
        <v>325100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9F6F-333A-4D26-ACF0-71282A4F1227}">
  <sheetPr>
    <tabColor rgb="FF002060"/>
  </sheetPr>
  <dimension ref="A1:AA125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20</v>
      </c>
      <c r="B2" s="2" t="str">
        <f>"10200002000"</f>
        <v>10200002000</v>
      </c>
      <c r="C2" s="2" t="s">
        <v>5284</v>
      </c>
      <c r="D2" t="s">
        <v>29</v>
      </c>
      <c r="E2" s="2" t="s">
        <v>30</v>
      </c>
      <c r="F2" s="2">
        <v>37209</v>
      </c>
      <c r="G2" s="2" t="s">
        <v>152</v>
      </c>
      <c r="H2" t="s">
        <v>32</v>
      </c>
      <c r="I2" s="6">
        <v>7172</v>
      </c>
      <c r="J2" s="2" t="s">
        <v>5285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5286</v>
      </c>
      <c r="Q2" s="2">
        <v>2.08</v>
      </c>
      <c r="R2" s="2">
        <v>0</v>
      </c>
      <c r="S2" s="2">
        <v>0</v>
      </c>
      <c r="T2" t="s">
        <v>5287</v>
      </c>
      <c r="U2" s="6">
        <v>33777</v>
      </c>
      <c r="V2" s="2">
        <v>47037013201</v>
      </c>
      <c r="W2" s="2" t="s">
        <v>68</v>
      </c>
      <c r="X2" s="1">
        <v>45658</v>
      </c>
      <c r="Y2" s="2">
        <v>415800</v>
      </c>
      <c r="Z2" s="2">
        <v>0</v>
      </c>
      <c r="AA2" s="2">
        <v>415800</v>
      </c>
    </row>
    <row r="3" spans="1:27" x14ac:dyDescent="0.3">
      <c r="A3" s="3">
        <v>20</v>
      </c>
      <c r="B3" s="2" t="str">
        <f>"09110036000"</f>
        <v>09110036000</v>
      </c>
      <c r="C3" s="2" t="s">
        <v>5288</v>
      </c>
      <c r="D3" t="s">
        <v>29</v>
      </c>
      <c r="E3" s="2" t="s">
        <v>30</v>
      </c>
      <c r="F3" s="2">
        <v>37209</v>
      </c>
      <c r="G3" s="2" t="s">
        <v>64</v>
      </c>
      <c r="H3" t="s">
        <v>32</v>
      </c>
      <c r="I3" s="6">
        <v>41526</v>
      </c>
      <c r="J3" s="2" t="s">
        <v>5289</v>
      </c>
      <c r="K3" s="2">
        <v>700</v>
      </c>
      <c r="L3" t="s">
        <v>35</v>
      </c>
      <c r="M3" t="s">
        <v>29</v>
      </c>
      <c r="N3" t="s">
        <v>30</v>
      </c>
      <c r="O3">
        <v>37219</v>
      </c>
      <c r="P3" t="s">
        <v>5290</v>
      </c>
      <c r="Q3" s="2">
        <v>0.4</v>
      </c>
      <c r="R3" s="2">
        <v>141</v>
      </c>
      <c r="S3" s="2">
        <v>180</v>
      </c>
      <c r="T3" t="s">
        <v>5291</v>
      </c>
      <c r="U3" s="6">
        <v>21752</v>
      </c>
      <c r="V3" s="2">
        <v>47037013300</v>
      </c>
      <c r="W3" s="2" t="s">
        <v>68</v>
      </c>
      <c r="X3" s="1">
        <v>45658</v>
      </c>
      <c r="Y3" s="2">
        <v>2000</v>
      </c>
      <c r="Z3" s="2">
        <v>0</v>
      </c>
      <c r="AA3" s="2">
        <v>2000</v>
      </c>
    </row>
    <row r="4" spans="1:27" x14ac:dyDescent="0.3">
      <c r="A4" s="3">
        <v>20</v>
      </c>
      <c r="B4" s="2" t="str">
        <f>"09016028900"</f>
        <v>09016028900</v>
      </c>
      <c r="C4" s="2" t="s">
        <v>5292</v>
      </c>
      <c r="D4" t="s">
        <v>29</v>
      </c>
      <c r="E4" s="2" t="s">
        <v>30</v>
      </c>
      <c r="F4" s="2">
        <v>37209</v>
      </c>
      <c r="G4" s="2" t="s">
        <v>64</v>
      </c>
      <c r="H4" t="s">
        <v>99</v>
      </c>
      <c r="I4" s="6">
        <v>32926</v>
      </c>
      <c r="J4" s="2" t="s">
        <v>5293</v>
      </c>
      <c r="K4" s="2">
        <v>487</v>
      </c>
      <c r="L4" t="s">
        <v>35</v>
      </c>
      <c r="M4" t="s">
        <v>29</v>
      </c>
      <c r="N4" t="s">
        <v>30</v>
      </c>
      <c r="O4">
        <v>37219</v>
      </c>
      <c r="P4" t="s">
        <v>5294</v>
      </c>
      <c r="Q4" s="2">
        <v>0.02</v>
      </c>
      <c r="R4" s="2">
        <v>67</v>
      </c>
      <c r="S4" s="2">
        <v>20</v>
      </c>
      <c r="T4" t="s">
        <v>5295</v>
      </c>
      <c r="U4" s="6">
        <v>20368</v>
      </c>
      <c r="V4" s="2">
        <v>47037013201</v>
      </c>
      <c r="W4" s="2" t="s">
        <v>68</v>
      </c>
      <c r="X4" s="1">
        <v>45658</v>
      </c>
      <c r="Y4" s="2">
        <v>100</v>
      </c>
      <c r="Z4" s="2">
        <v>0</v>
      </c>
      <c r="AA4" s="2">
        <v>100</v>
      </c>
    </row>
    <row r="5" spans="1:27" x14ac:dyDescent="0.3">
      <c r="A5" s="3">
        <v>20</v>
      </c>
      <c r="B5" s="2" t="str">
        <f>"09110035900"</f>
        <v>09110035900</v>
      </c>
      <c r="C5" s="2" t="s">
        <v>5296</v>
      </c>
      <c r="D5" t="s">
        <v>29</v>
      </c>
      <c r="E5" s="2" t="s">
        <v>30</v>
      </c>
      <c r="F5" s="2">
        <v>37209</v>
      </c>
      <c r="G5" s="2" t="s">
        <v>64</v>
      </c>
      <c r="H5" t="s">
        <v>99</v>
      </c>
      <c r="I5" s="6">
        <v>42139</v>
      </c>
      <c r="J5" s="2" t="s">
        <v>5297</v>
      </c>
      <c r="K5" s="2">
        <v>660</v>
      </c>
      <c r="L5" t="s">
        <v>35</v>
      </c>
      <c r="M5" t="s">
        <v>29</v>
      </c>
      <c r="N5" t="s">
        <v>30</v>
      </c>
      <c r="O5">
        <v>37219</v>
      </c>
      <c r="P5" t="s">
        <v>5298</v>
      </c>
      <c r="Q5" s="2">
        <v>0.48</v>
      </c>
      <c r="R5" s="2">
        <v>87</v>
      </c>
      <c r="S5" s="2">
        <v>170</v>
      </c>
      <c r="T5" t="s">
        <v>5299</v>
      </c>
      <c r="U5" s="6">
        <v>26920</v>
      </c>
      <c r="V5" s="2">
        <v>47037013300</v>
      </c>
      <c r="W5" s="2" t="s">
        <v>68</v>
      </c>
      <c r="X5" s="1">
        <v>45658</v>
      </c>
      <c r="Y5" s="2">
        <v>2000</v>
      </c>
      <c r="Z5" s="2">
        <v>0</v>
      </c>
      <c r="AA5" s="2">
        <v>2000</v>
      </c>
    </row>
    <row r="6" spans="1:27" x14ac:dyDescent="0.3">
      <c r="A6" s="3">
        <v>20</v>
      </c>
      <c r="B6" s="2" t="str">
        <f>"09105015300"</f>
        <v>09105015300</v>
      </c>
      <c r="C6" s="2" t="s">
        <v>5300</v>
      </c>
      <c r="D6" t="s">
        <v>29</v>
      </c>
      <c r="E6" s="2" t="s">
        <v>30</v>
      </c>
      <c r="F6" s="2">
        <v>37209</v>
      </c>
      <c r="G6" s="2" t="s">
        <v>64</v>
      </c>
      <c r="H6" t="s">
        <v>99</v>
      </c>
      <c r="I6" s="6">
        <v>40198</v>
      </c>
      <c r="J6" s="2" t="s">
        <v>5301</v>
      </c>
      <c r="K6" s="2">
        <v>412</v>
      </c>
      <c r="L6" t="s">
        <v>35</v>
      </c>
      <c r="M6" t="s">
        <v>29</v>
      </c>
      <c r="N6" t="s">
        <v>30</v>
      </c>
      <c r="O6">
        <v>37219</v>
      </c>
      <c r="P6" t="s">
        <v>5302</v>
      </c>
      <c r="Q6" s="2">
        <v>0.28999999999999998</v>
      </c>
      <c r="R6" s="2">
        <v>96</v>
      </c>
      <c r="S6" s="2">
        <v>80</v>
      </c>
      <c r="T6" t="s">
        <v>5303</v>
      </c>
      <c r="U6" s="6">
        <v>25168</v>
      </c>
      <c r="V6" s="2">
        <v>47037013202</v>
      </c>
      <c r="W6" s="2" t="s">
        <v>68</v>
      </c>
      <c r="X6" s="1">
        <v>45658</v>
      </c>
      <c r="Y6" s="2">
        <v>4000</v>
      </c>
      <c r="Z6" s="2">
        <v>0</v>
      </c>
      <c r="AA6" s="2">
        <v>4000</v>
      </c>
    </row>
    <row r="7" spans="1:27" x14ac:dyDescent="0.3">
      <c r="A7" s="3">
        <v>20</v>
      </c>
      <c r="B7" s="2" t="str">
        <f>"09102000100"</f>
        <v>09102000100</v>
      </c>
      <c r="C7" s="2" t="s">
        <v>5304</v>
      </c>
      <c r="D7" t="s">
        <v>29</v>
      </c>
      <c r="E7" s="2" t="s">
        <v>30</v>
      </c>
      <c r="F7" s="2">
        <v>37209</v>
      </c>
      <c r="G7" s="2" t="s">
        <v>147</v>
      </c>
      <c r="H7" t="s">
        <v>5305</v>
      </c>
      <c r="I7" s="6">
        <v>22906</v>
      </c>
      <c r="J7" s="2" t="s">
        <v>5306</v>
      </c>
      <c r="K7" s="2" t="s">
        <v>34</v>
      </c>
      <c r="L7" t="s">
        <v>35</v>
      </c>
      <c r="M7" t="s">
        <v>29</v>
      </c>
      <c r="N7" t="s">
        <v>30</v>
      </c>
      <c r="O7">
        <v>37219</v>
      </c>
      <c r="P7" t="s">
        <v>5307</v>
      </c>
      <c r="Q7" s="2">
        <v>0.72</v>
      </c>
      <c r="R7" s="2">
        <v>200</v>
      </c>
      <c r="S7" s="2">
        <v>160</v>
      </c>
      <c r="T7" t="s">
        <v>5306</v>
      </c>
      <c r="U7" s="6">
        <v>22906</v>
      </c>
      <c r="V7" s="2">
        <v>47037013300</v>
      </c>
      <c r="W7" s="2" t="s">
        <v>68</v>
      </c>
      <c r="X7" s="1">
        <v>45658</v>
      </c>
      <c r="Y7" s="2">
        <v>2101300</v>
      </c>
      <c r="Z7" s="2">
        <v>0</v>
      </c>
      <c r="AA7" s="2">
        <v>2101300</v>
      </c>
    </row>
    <row r="8" spans="1:27" x14ac:dyDescent="0.3">
      <c r="A8" s="3">
        <v>20</v>
      </c>
      <c r="B8" s="2" t="str">
        <f>"09110035800"</f>
        <v>09110035800</v>
      </c>
      <c r="C8" s="2" t="s">
        <v>5296</v>
      </c>
      <c r="D8" t="s">
        <v>29</v>
      </c>
      <c r="E8" s="2" t="s">
        <v>30</v>
      </c>
      <c r="F8" s="2">
        <v>37209</v>
      </c>
      <c r="G8" s="2" t="s">
        <v>64</v>
      </c>
      <c r="H8" t="s">
        <v>171</v>
      </c>
      <c r="I8" s="6">
        <v>30860</v>
      </c>
      <c r="J8" s="2" t="s">
        <v>5308</v>
      </c>
      <c r="K8" s="2">
        <v>200</v>
      </c>
      <c r="L8" t="s">
        <v>35</v>
      </c>
      <c r="M8" t="s">
        <v>29</v>
      </c>
      <c r="N8" t="s">
        <v>30</v>
      </c>
      <c r="O8">
        <v>37219</v>
      </c>
      <c r="P8" t="s">
        <v>5298</v>
      </c>
      <c r="Q8" s="2">
        <v>0.21</v>
      </c>
      <c r="R8" s="2">
        <v>53</v>
      </c>
      <c r="S8" s="2">
        <v>170</v>
      </c>
      <c r="T8" t="s">
        <v>5309</v>
      </c>
      <c r="U8" s="6">
        <v>21982</v>
      </c>
      <c r="V8" s="2">
        <v>47037013300</v>
      </c>
      <c r="W8" s="2" t="s">
        <v>68</v>
      </c>
      <c r="X8" s="1">
        <v>45658</v>
      </c>
      <c r="Y8" s="2">
        <v>2000</v>
      </c>
      <c r="Z8" s="2">
        <v>0</v>
      </c>
      <c r="AA8" s="2">
        <v>2000</v>
      </c>
    </row>
    <row r="9" spans="1:27" x14ac:dyDescent="0.3">
      <c r="A9" s="3">
        <v>20</v>
      </c>
      <c r="B9" s="2" t="str">
        <f>"09101007500"</f>
        <v>09101007500</v>
      </c>
      <c r="C9" s="2" t="s">
        <v>5310</v>
      </c>
      <c r="D9" t="s">
        <v>29</v>
      </c>
      <c r="E9" s="2" t="s">
        <v>30</v>
      </c>
      <c r="F9" s="2">
        <v>37209</v>
      </c>
      <c r="G9" s="2" t="s">
        <v>1485</v>
      </c>
      <c r="H9" t="s">
        <v>176</v>
      </c>
      <c r="I9" s="6">
        <v>17700</v>
      </c>
      <c r="J9" s="2" t="s">
        <v>5311</v>
      </c>
      <c r="K9" s="2" t="s">
        <v>34</v>
      </c>
      <c r="L9" t="s">
        <v>178</v>
      </c>
      <c r="M9" t="s">
        <v>29</v>
      </c>
      <c r="N9" t="s">
        <v>30</v>
      </c>
      <c r="O9">
        <v>37246</v>
      </c>
      <c r="P9" t="s">
        <v>5312</v>
      </c>
      <c r="Q9" s="2">
        <v>0.22</v>
      </c>
      <c r="R9" s="2">
        <v>95</v>
      </c>
      <c r="S9" s="2">
        <v>25</v>
      </c>
      <c r="T9" t="s">
        <v>5313</v>
      </c>
      <c r="U9" s="6">
        <v>25262</v>
      </c>
      <c r="V9" s="2">
        <v>47037013000</v>
      </c>
      <c r="W9" s="2" t="s">
        <v>68</v>
      </c>
      <c r="X9" s="1">
        <v>45658</v>
      </c>
      <c r="Y9" s="2">
        <v>55000</v>
      </c>
      <c r="Z9" s="2">
        <v>0</v>
      </c>
      <c r="AA9" s="2">
        <v>55000</v>
      </c>
    </row>
    <row r="10" spans="1:27" x14ac:dyDescent="0.3">
      <c r="A10" s="3">
        <v>20</v>
      </c>
      <c r="B10" s="2" t="str">
        <f>"10301003100"</f>
        <v>10301003100</v>
      </c>
      <c r="C10" s="2" t="s">
        <v>5314</v>
      </c>
      <c r="D10" t="s">
        <v>29</v>
      </c>
      <c r="E10" s="2" t="s">
        <v>30</v>
      </c>
      <c r="F10" s="2">
        <v>37209</v>
      </c>
      <c r="G10" s="2" t="s">
        <v>152</v>
      </c>
      <c r="H10" t="s">
        <v>176</v>
      </c>
      <c r="I10" s="6">
        <v>17622</v>
      </c>
      <c r="J10" s="2" t="s">
        <v>5315</v>
      </c>
      <c r="K10" s="2" t="s">
        <v>34</v>
      </c>
      <c r="L10" t="s">
        <v>178</v>
      </c>
      <c r="M10" t="s">
        <v>29</v>
      </c>
      <c r="N10" t="s">
        <v>30</v>
      </c>
      <c r="O10">
        <v>37246</v>
      </c>
      <c r="P10" t="s">
        <v>5316</v>
      </c>
      <c r="Q10" s="2">
        <v>0.1</v>
      </c>
      <c r="R10" s="2">
        <v>50</v>
      </c>
      <c r="S10" s="2">
        <v>110</v>
      </c>
      <c r="T10" t="s">
        <v>5315</v>
      </c>
      <c r="U10" s="6">
        <v>17622</v>
      </c>
      <c r="V10" s="2">
        <v>47037018101</v>
      </c>
      <c r="W10" s="2" t="s">
        <v>68</v>
      </c>
      <c r="X10" s="1">
        <v>45658</v>
      </c>
      <c r="Y10" s="2">
        <v>326700</v>
      </c>
      <c r="Z10" s="2">
        <v>0</v>
      </c>
      <c r="AA10" s="2">
        <v>326700</v>
      </c>
    </row>
    <row r="11" spans="1:27" x14ac:dyDescent="0.3">
      <c r="A11" s="3">
        <v>20</v>
      </c>
      <c r="B11" s="2" t="str">
        <f>"09012001200"</f>
        <v>09012001200</v>
      </c>
      <c r="C11" s="2" t="s">
        <v>5317</v>
      </c>
      <c r="D11" t="s">
        <v>29</v>
      </c>
      <c r="E11" s="2" t="s">
        <v>30</v>
      </c>
      <c r="F11" s="2">
        <v>37209</v>
      </c>
      <c r="G11" s="2" t="s">
        <v>152</v>
      </c>
      <c r="H11" t="s">
        <v>176</v>
      </c>
      <c r="I11" s="6">
        <v>20939</v>
      </c>
      <c r="J11" s="2" t="s">
        <v>5318</v>
      </c>
      <c r="K11" s="2" t="s">
        <v>34</v>
      </c>
      <c r="L11" t="s">
        <v>178</v>
      </c>
      <c r="M11" t="s">
        <v>29</v>
      </c>
      <c r="N11" t="s">
        <v>30</v>
      </c>
      <c r="O11">
        <v>37246</v>
      </c>
      <c r="P11" t="s">
        <v>5319</v>
      </c>
      <c r="Q11" s="2">
        <v>0.22</v>
      </c>
      <c r="R11" s="2">
        <v>68</v>
      </c>
      <c r="S11" s="2">
        <v>149</v>
      </c>
      <c r="T11" t="s">
        <v>5318</v>
      </c>
      <c r="U11" s="6">
        <v>20939</v>
      </c>
      <c r="V11" s="2">
        <v>47037013201</v>
      </c>
      <c r="W11" s="2" t="s">
        <v>68</v>
      </c>
      <c r="X11" s="1">
        <v>45658</v>
      </c>
      <c r="Y11" s="2">
        <v>300000</v>
      </c>
      <c r="Z11" s="2">
        <v>0</v>
      </c>
      <c r="AA11" s="2">
        <v>300000</v>
      </c>
    </row>
    <row r="12" spans="1:27" x14ac:dyDescent="0.3">
      <c r="A12" s="3">
        <v>20</v>
      </c>
      <c r="B12" s="2" t="str">
        <f>"09100000200"</f>
        <v>09100000200</v>
      </c>
      <c r="C12" s="2" t="s">
        <v>5320</v>
      </c>
      <c r="D12" t="s">
        <v>29</v>
      </c>
      <c r="E12" s="2" t="s">
        <v>30</v>
      </c>
      <c r="F12" s="2">
        <v>37209</v>
      </c>
      <c r="G12" s="2" t="s">
        <v>152</v>
      </c>
      <c r="H12" t="s">
        <v>176</v>
      </c>
      <c r="I12" s="6">
        <v>29364</v>
      </c>
      <c r="J12" s="2" t="s">
        <v>5321</v>
      </c>
      <c r="K12" s="2" t="s">
        <v>34</v>
      </c>
      <c r="L12" t="s">
        <v>178</v>
      </c>
      <c r="M12" t="s">
        <v>29</v>
      </c>
      <c r="N12" t="s">
        <v>30</v>
      </c>
      <c r="O12">
        <v>37246</v>
      </c>
      <c r="P12" t="s">
        <v>5322</v>
      </c>
      <c r="Q12" s="2">
        <v>12.77</v>
      </c>
      <c r="R12" s="2">
        <v>0</v>
      </c>
      <c r="S12" s="2">
        <v>0</v>
      </c>
      <c r="T12" t="s">
        <v>5323</v>
      </c>
      <c r="U12" s="6">
        <v>14474</v>
      </c>
      <c r="V12" s="2">
        <v>47037013000</v>
      </c>
      <c r="W12" s="2" t="s">
        <v>68</v>
      </c>
      <c r="X12" s="1">
        <v>45658</v>
      </c>
      <c r="Y12" s="2">
        <v>1398500</v>
      </c>
      <c r="Z12" s="2">
        <v>147200</v>
      </c>
      <c r="AA12" s="2">
        <v>1251300</v>
      </c>
    </row>
    <row r="13" spans="1:27" x14ac:dyDescent="0.3">
      <c r="A13" s="3">
        <v>20</v>
      </c>
      <c r="B13" s="2" t="str">
        <f>"09100000300"</f>
        <v>09100000300</v>
      </c>
      <c r="C13" s="2" t="s">
        <v>5324</v>
      </c>
      <c r="D13" t="s">
        <v>29</v>
      </c>
      <c r="E13" s="2" t="s">
        <v>30</v>
      </c>
      <c r="F13" s="2">
        <v>37209</v>
      </c>
      <c r="G13" s="2" t="s">
        <v>152</v>
      </c>
      <c r="H13" t="s">
        <v>176</v>
      </c>
      <c r="I13" s="6">
        <v>14474</v>
      </c>
      <c r="J13" s="2" t="s">
        <v>5323</v>
      </c>
      <c r="K13" s="2" t="s">
        <v>34</v>
      </c>
      <c r="L13" t="s">
        <v>178</v>
      </c>
      <c r="M13" t="s">
        <v>29</v>
      </c>
      <c r="N13" t="s">
        <v>30</v>
      </c>
      <c r="O13">
        <v>37246</v>
      </c>
      <c r="P13" t="s">
        <v>5325</v>
      </c>
      <c r="Q13" s="2">
        <v>3.2</v>
      </c>
      <c r="R13" s="2">
        <v>0</v>
      </c>
      <c r="S13" s="2">
        <v>0</v>
      </c>
      <c r="T13" t="s">
        <v>5326</v>
      </c>
      <c r="U13" s="6">
        <v>43189</v>
      </c>
      <c r="V13" s="2">
        <v>47037013000</v>
      </c>
      <c r="W13" s="2" t="s">
        <v>68</v>
      </c>
      <c r="X13" s="1">
        <v>45658</v>
      </c>
      <c r="Y13" s="2">
        <v>680000</v>
      </c>
      <c r="Z13" s="2">
        <v>0</v>
      </c>
      <c r="AA13" s="2">
        <v>680000</v>
      </c>
    </row>
    <row r="14" spans="1:27" x14ac:dyDescent="0.3">
      <c r="A14" s="3">
        <v>20</v>
      </c>
      <c r="B14" s="2" t="str">
        <f>"10204004401"</f>
        <v>10204004401</v>
      </c>
      <c r="C14" s="2" t="s">
        <v>5327</v>
      </c>
      <c r="D14" t="s">
        <v>29</v>
      </c>
      <c r="E14" s="2" t="s">
        <v>30</v>
      </c>
      <c r="F14" s="2">
        <v>37209</v>
      </c>
      <c r="G14" s="2" t="s">
        <v>152</v>
      </c>
      <c r="H14" t="s">
        <v>176</v>
      </c>
      <c r="I14" s="6">
        <v>23018</v>
      </c>
      <c r="J14" s="2" t="s">
        <v>5328</v>
      </c>
      <c r="K14" s="2" t="s">
        <v>34</v>
      </c>
      <c r="L14" t="s">
        <v>178</v>
      </c>
      <c r="M14" t="s">
        <v>29</v>
      </c>
      <c r="N14" t="s">
        <v>30</v>
      </c>
      <c r="O14">
        <v>37246</v>
      </c>
      <c r="P14" t="s">
        <v>5329</v>
      </c>
      <c r="Q14" s="2">
        <v>0.25</v>
      </c>
      <c r="R14" s="2">
        <v>75</v>
      </c>
      <c r="S14" s="2">
        <v>150</v>
      </c>
      <c r="T14" t="s">
        <v>5328</v>
      </c>
      <c r="U14" s="6">
        <v>23018</v>
      </c>
      <c r="V14" s="2">
        <v>47037013201</v>
      </c>
      <c r="W14" s="2" t="s">
        <v>68</v>
      </c>
      <c r="X14" s="1">
        <v>45658</v>
      </c>
      <c r="Y14" s="2">
        <v>300000</v>
      </c>
      <c r="Z14" s="2">
        <v>0</v>
      </c>
      <c r="AA14" s="2">
        <v>300000</v>
      </c>
    </row>
    <row r="15" spans="1:27" x14ac:dyDescent="0.3">
      <c r="A15" s="3">
        <v>20</v>
      </c>
      <c r="B15" s="2" t="str">
        <f>"09109014200"</f>
        <v>09109014200</v>
      </c>
      <c r="C15" s="2" t="s">
        <v>5330</v>
      </c>
      <c r="D15" t="s">
        <v>29</v>
      </c>
      <c r="E15" s="2" t="s">
        <v>30</v>
      </c>
      <c r="F15" s="2">
        <v>37209</v>
      </c>
      <c r="G15" s="2" t="s">
        <v>200</v>
      </c>
      <c r="H15" t="s">
        <v>5331</v>
      </c>
      <c r="I15" s="6">
        <v>24470</v>
      </c>
      <c r="J15" s="2" t="s">
        <v>5332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5333</v>
      </c>
      <c r="Q15" s="2">
        <v>25.51</v>
      </c>
      <c r="R15" s="2">
        <v>0</v>
      </c>
      <c r="S15" s="2">
        <v>0</v>
      </c>
      <c r="T15" t="s">
        <v>5332</v>
      </c>
      <c r="U15" s="6">
        <v>24470</v>
      </c>
      <c r="V15" s="2">
        <v>47037013202</v>
      </c>
      <c r="W15" s="2" t="s">
        <v>68</v>
      </c>
      <c r="X15" s="1">
        <v>45658</v>
      </c>
      <c r="Y15" s="2">
        <v>1307900</v>
      </c>
      <c r="Z15" s="2">
        <v>0</v>
      </c>
      <c r="AA15" s="2">
        <v>1307900</v>
      </c>
    </row>
    <row r="16" spans="1:27" x14ac:dyDescent="0.3">
      <c r="A16" s="3">
        <v>20</v>
      </c>
      <c r="B16" s="2" t="str">
        <f>"07900005400"</f>
        <v>07900005400</v>
      </c>
      <c r="C16" s="2" t="s">
        <v>5334</v>
      </c>
      <c r="D16" t="s">
        <v>29</v>
      </c>
      <c r="E16" s="2" t="s">
        <v>30</v>
      </c>
      <c r="F16" s="2">
        <v>37209</v>
      </c>
      <c r="G16" s="2" t="s">
        <v>1485</v>
      </c>
      <c r="H16" t="s">
        <v>206</v>
      </c>
      <c r="I16" s="6">
        <v>28356</v>
      </c>
      <c r="J16" s="2" t="s">
        <v>5335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5336</v>
      </c>
      <c r="Q16" s="2">
        <v>50.08</v>
      </c>
      <c r="R16" s="2">
        <v>0</v>
      </c>
      <c r="S16" s="2">
        <v>0</v>
      </c>
      <c r="T16" t="s">
        <v>5337</v>
      </c>
      <c r="U16" s="6">
        <v>32833</v>
      </c>
      <c r="V16" s="2">
        <v>47037013000</v>
      </c>
      <c r="W16" s="2" t="s">
        <v>68</v>
      </c>
      <c r="X16" s="1">
        <v>45658</v>
      </c>
      <c r="Y16" s="2">
        <v>7612200</v>
      </c>
      <c r="Z16" s="2">
        <v>0</v>
      </c>
      <c r="AA16" s="2">
        <v>7612200</v>
      </c>
    </row>
    <row r="17" spans="1:27" x14ac:dyDescent="0.3">
      <c r="A17" s="3">
        <v>20</v>
      </c>
      <c r="B17" s="2" t="str">
        <f>"10200002500"</f>
        <v>10200002500</v>
      </c>
      <c r="C17" s="2" t="s">
        <v>5338</v>
      </c>
      <c r="D17" t="s">
        <v>29</v>
      </c>
      <c r="E17" s="2" t="s">
        <v>30</v>
      </c>
      <c r="F17" s="2">
        <v>37209</v>
      </c>
      <c r="G17" s="2" t="s">
        <v>200</v>
      </c>
      <c r="H17" t="s">
        <v>206</v>
      </c>
      <c r="I17" s="6">
        <v>32143</v>
      </c>
      <c r="J17" s="2" t="s">
        <v>5339</v>
      </c>
      <c r="K17" s="2" t="s">
        <v>34</v>
      </c>
      <c r="L17" t="s">
        <v>35</v>
      </c>
      <c r="M17" t="s">
        <v>29</v>
      </c>
      <c r="N17" t="s">
        <v>30</v>
      </c>
      <c r="O17">
        <v>37219</v>
      </c>
      <c r="P17" t="s">
        <v>5340</v>
      </c>
      <c r="Q17" s="2">
        <v>4.82</v>
      </c>
      <c r="R17" s="2">
        <v>0</v>
      </c>
      <c r="S17" s="2">
        <v>0</v>
      </c>
      <c r="T17" t="s">
        <v>5341</v>
      </c>
      <c r="U17" s="6">
        <v>41529</v>
      </c>
      <c r="V17" s="2">
        <v>47037018201</v>
      </c>
      <c r="W17" s="2" t="s">
        <v>68</v>
      </c>
      <c r="X17" s="1">
        <v>45658</v>
      </c>
      <c r="Y17" s="2">
        <v>6298800</v>
      </c>
      <c r="Z17" s="2">
        <v>0</v>
      </c>
      <c r="AA17" s="2">
        <v>6298800</v>
      </c>
    </row>
    <row r="18" spans="1:27" x14ac:dyDescent="0.3">
      <c r="A18" s="3">
        <v>20</v>
      </c>
      <c r="B18" s="2" t="str">
        <f>"09110034200"</f>
        <v>09110034200</v>
      </c>
      <c r="C18" s="2" t="s">
        <v>5342</v>
      </c>
      <c r="D18" t="s">
        <v>29</v>
      </c>
      <c r="E18" s="2" t="s">
        <v>30</v>
      </c>
      <c r="F18" s="2">
        <v>37209</v>
      </c>
      <c r="G18" s="2" t="s">
        <v>64</v>
      </c>
      <c r="H18" t="s">
        <v>211</v>
      </c>
      <c r="I18" s="6">
        <v>41043</v>
      </c>
      <c r="J18" s="2" t="s">
        <v>5343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5344</v>
      </c>
      <c r="Q18" s="2">
        <v>0.19</v>
      </c>
      <c r="R18" s="2">
        <v>50</v>
      </c>
      <c r="S18" s="2">
        <v>173</v>
      </c>
      <c r="T18" t="s">
        <v>5345</v>
      </c>
      <c r="U18" s="6">
        <v>22081</v>
      </c>
      <c r="V18" s="2">
        <v>47037013300</v>
      </c>
      <c r="W18" s="2" t="s">
        <v>68</v>
      </c>
      <c r="X18" s="1">
        <v>45658</v>
      </c>
      <c r="Y18" s="2">
        <v>2000</v>
      </c>
      <c r="Z18" s="2">
        <v>0</v>
      </c>
      <c r="AA18" s="2">
        <v>2000</v>
      </c>
    </row>
    <row r="19" spans="1:27" x14ac:dyDescent="0.3">
      <c r="A19" s="3">
        <v>20</v>
      </c>
      <c r="B19" s="2" t="str">
        <f>"09110035000"</f>
        <v>09110035000</v>
      </c>
      <c r="C19" s="2" t="s">
        <v>5346</v>
      </c>
      <c r="D19" t="s">
        <v>29</v>
      </c>
      <c r="E19" s="2" t="s">
        <v>30</v>
      </c>
      <c r="F19" s="2">
        <v>37209</v>
      </c>
      <c r="G19" s="2" t="s">
        <v>64</v>
      </c>
      <c r="H19" t="s">
        <v>211</v>
      </c>
      <c r="I19" s="6">
        <v>40604</v>
      </c>
      <c r="J19" s="2" t="s">
        <v>5347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5348</v>
      </c>
      <c r="Q19" s="2">
        <v>0.14000000000000001</v>
      </c>
      <c r="R19" s="2">
        <v>50</v>
      </c>
      <c r="S19" s="2">
        <v>123</v>
      </c>
      <c r="T19" t="s">
        <v>5349</v>
      </c>
      <c r="U19" s="6">
        <v>23517</v>
      </c>
      <c r="V19" s="2">
        <v>47037013300</v>
      </c>
      <c r="W19" s="2" t="s">
        <v>68</v>
      </c>
      <c r="X19" s="1">
        <v>45658</v>
      </c>
      <c r="Y19" s="2">
        <v>2000</v>
      </c>
      <c r="Z19" s="2">
        <v>0</v>
      </c>
      <c r="AA19" s="2">
        <v>2000</v>
      </c>
    </row>
    <row r="20" spans="1:27" x14ac:dyDescent="0.3">
      <c r="A20" s="3">
        <v>20</v>
      </c>
      <c r="B20" s="2" t="str">
        <f>"09110035100"</f>
        <v>09110035100</v>
      </c>
      <c r="C20" s="2" t="s">
        <v>5350</v>
      </c>
      <c r="D20" t="s">
        <v>29</v>
      </c>
      <c r="E20" s="2" t="s">
        <v>30</v>
      </c>
      <c r="F20" s="2">
        <v>37209</v>
      </c>
      <c r="G20" s="2" t="s">
        <v>64</v>
      </c>
      <c r="H20" t="s">
        <v>211</v>
      </c>
      <c r="I20" s="6">
        <v>40591</v>
      </c>
      <c r="J20" s="2" t="s">
        <v>5351</v>
      </c>
      <c r="K20" s="2">
        <v>0</v>
      </c>
      <c r="L20" t="s">
        <v>35</v>
      </c>
      <c r="M20" t="s">
        <v>29</v>
      </c>
      <c r="N20" t="s">
        <v>30</v>
      </c>
      <c r="O20">
        <v>37219</v>
      </c>
      <c r="P20" t="s">
        <v>5352</v>
      </c>
      <c r="Q20" s="2">
        <v>0.12</v>
      </c>
      <c r="R20" s="2">
        <v>50</v>
      </c>
      <c r="S20" s="2">
        <v>115</v>
      </c>
      <c r="T20" t="s">
        <v>5353</v>
      </c>
      <c r="U20" s="6">
        <v>23646</v>
      </c>
      <c r="V20" s="2">
        <v>47037013300</v>
      </c>
      <c r="W20" s="2" t="s">
        <v>68</v>
      </c>
      <c r="X20" s="1">
        <v>45658</v>
      </c>
      <c r="Y20" s="2">
        <v>2000</v>
      </c>
      <c r="Z20" s="2">
        <v>0</v>
      </c>
      <c r="AA20" s="2">
        <v>2000</v>
      </c>
    </row>
    <row r="21" spans="1:27" x14ac:dyDescent="0.3">
      <c r="A21" s="3">
        <v>20</v>
      </c>
      <c r="B21" s="2" t="str">
        <f>"09110035200"</f>
        <v>09110035200</v>
      </c>
      <c r="C21" s="2" t="s">
        <v>5354</v>
      </c>
      <c r="D21" t="s">
        <v>29</v>
      </c>
      <c r="E21" s="2" t="s">
        <v>30</v>
      </c>
      <c r="F21" s="2">
        <v>37209</v>
      </c>
      <c r="G21" s="2" t="s">
        <v>64</v>
      </c>
      <c r="H21" t="s">
        <v>211</v>
      </c>
      <c r="I21" s="6">
        <v>40568</v>
      </c>
      <c r="J21" s="2" t="s">
        <v>5355</v>
      </c>
      <c r="K21" s="2">
        <v>0</v>
      </c>
      <c r="L21" t="s">
        <v>35</v>
      </c>
      <c r="M21" t="s">
        <v>29</v>
      </c>
      <c r="N21" t="s">
        <v>30</v>
      </c>
      <c r="O21">
        <v>37219</v>
      </c>
      <c r="P21" t="s">
        <v>5356</v>
      </c>
      <c r="Q21" s="2">
        <v>0.12</v>
      </c>
      <c r="R21" s="2">
        <v>50</v>
      </c>
      <c r="S21" s="2">
        <v>109</v>
      </c>
      <c r="T21" t="s">
        <v>5357</v>
      </c>
      <c r="U21" s="6">
        <v>25246</v>
      </c>
      <c r="V21" s="2">
        <v>47037013300</v>
      </c>
      <c r="W21" s="2" t="s">
        <v>68</v>
      </c>
      <c r="X21" s="1">
        <v>45658</v>
      </c>
      <c r="Y21" s="2">
        <v>2000</v>
      </c>
      <c r="Z21" s="2">
        <v>0</v>
      </c>
      <c r="AA21" s="2">
        <v>2000</v>
      </c>
    </row>
    <row r="22" spans="1:27" x14ac:dyDescent="0.3">
      <c r="A22" s="3">
        <v>20</v>
      </c>
      <c r="B22" s="2" t="str">
        <f>"09110035300"</f>
        <v>09110035300</v>
      </c>
      <c r="C22" s="2" t="s">
        <v>5358</v>
      </c>
      <c r="D22" t="s">
        <v>29</v>
      </c>
      <c r="E22" s="2" t="s">
        <v>30</v>
      </c>
      <c r="F22" s="2">
        <v>37209</v>
      </c>
      <c r="G22" s="2" t="s">
        <v>64</v>
      </c>
      <c r="H22" t="s">
        <v>211</v>
      </c>
      <c r="I22" s="6">
        <v>40602</v>
      </c>
      <c r="J22" s="2" t="s">
        <v>5359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5360</v>
      </c>
      <c r="Q22" s="2">
        <v>0.13</v>
      </c>
      <c r="R22" s="2">
        <v>50</v>
      </c>
      <c r="S22" s="2">
        <v>108</v>
      </c>
      <c r="T22" t="s">
        <v>5361</v>
      </c>
      <c r="U22" s="6">
        <v>20047</v>
      </c>
      <c r="V22" s="2">
        <v>47037013300</v>
      </c>
      <c r="W22" s="2" t="s">
        <v>68</v>
      </c>
      <c r="X22" s="1">
        <v>45658</v>
      </c>
      <c r="Y22" s="2">
        <v>2000</v>
      </c>
      <c r="Z22" s="2">
        <v>0</v>
      </c>
      <c r="AA22" s="2">
        <v>2000</v>
      </c>
    </row>
    <row r="23" spans="1:27" x14ac:dyDescent="0.3">
      <c r="A23" s="3">
        <v>20</v>
      </c>
      <c r="B23" s="2" t="str">
        <f>"09110035400"</f>
        <v>09110035400</v>
      </c>
      <c r="C23" s="2" t="s">
        <v>5362</v>
      </c>
      <c r="D23" t="s">
        <v>29</v>
      </c>
      <c r="E23" s="2" t="s">
        <v>30</v>
      </c>
      <c r="F23" s="2">
        <v>37209</v>
      </c>
      <c r="G23" s="2" t="s">
        <v>64</v>
      </c>
      <c r="H23" t="s">
        <v>211</v>
      </c>
      <c r="I23" s="6">
        <v>40534</v>
      </c>
      <c r="J23" s="2" t="s">
        <v>5363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5364</v>
      </c>
      <c r="Q23" s="2">
        <v>0.11</v>
      </c>
      <c r="R23" s="2">
        <v>50</v>
      </c>
      <c r="S23" s="2">
        <v>108</v>
      </c>
      <c r="T23" t="s">
        <v>5365</v>
      </c>
      <c r="U23" s="6">
        <v>23179</v>
      </c>
      <c r="V23" s="2">
        <v>47037013300</v>
      </c>
      <c r="W23" s="2" t="s">
        <v>68</v>
      </c>
      <c r="X23" s="1">
        <v>45658</v>
      </c>
      <c r="Y23" s="2">
        <v>2000</v>
      </c>
      <c r="Z23" s="2">
        <v>0</v>
      </c>
      <c r="AA23" s="2">
        <v>2000</v>
      </c>
    </row>
    <row r="24" spans="1:27" x14ac:dyDescent="0.3">
      <c r="A24" s="3">
        <v>20</v>
      </c>
      <c r="B24" s="2" t="str">
        <f>"09110035700"</f>
        <v>09110035700</v>
      </c>
      <c r="C24" s="2" t="s">
        <v>5296</v>
      </c>
      <c r="D24" t="s">
        <v>29</v>
      </c>
      <c r="E24" s="2" t="s">
        <v>30</v>
      </c>
      <c r="F24" s="2">
        <v>37209</v>
      </c>
      <c r="G24" s="2" t="s">
        <v>64</v>
      </c>
      <c r="H24" t="s">
        <v>211</v>
      </c>
      <c r="I24" s="6">
        <v>26941</v>
      </c>
      <c r="J24" s="2" t="s">
        <v>5366</v>
      </c>
      <c r="K24" s="2">
        <v>166</v>
      </c>
      <c r="L24" t="s">
        <v>35</v>
      </c>
      <c r="M24" t="s">
        <v>29</v>
      </c>
      <c r="N24" t="s">
        <v>30</v>
      </c>
      <c r="O24">
        <v>37219</v>
      </c>
      <c r="P24" t="s">
        <v>5367</v>
      </c>
      <c r="Q24" s="2">
        <v>0.28999999999999998</v>
      </c>
      <c r="R24" s="2">
        <v>75</v>
      </c>
      <c r="S24" s="2">
        <v>170</v>
      </c>
      <c r="T24" t="s">
        <v>5368</v>
      </c>
      <c r="U24" s="6">
        <v>22762</v>
      </c>
      <c r="V24" s="2">
        <v>47037013300</v>
      </c>
      <c r="W24" s="2" t="s">
        <v>68</v>
      </c>
      <c r="X24" s="1">
        <v>45658</v>
      </c>
      <c r="Y24" s="2">
        <v>2000</v>
      </c>
      <c r="Z24" s="2">
        <v>0</v>
      </c>
      <c r="AA24" s="2">
        <v>2000</v>
      </c>
    </row>
    <row r="25" spans="1:27" x14ac:dyDescent="0.3">
      <c r="A25" s="3">
        <v>20</v>
      </c>
      <c r="B25" s="2" t="str">
        <f>"09110040200"</f>
        <v>09110040200</v>
      </c>
      <c r="C25" s="2" t="s">
        <v>5369</v>
      </c>
      <c r="D25" t="s">
        <v>29</v>
      </c>
      <c r="E25" s="2" t="s">
        <v>30</v>
      </c>
      <c r="F25" s="2">
        <v>37209</v>
      </c>
      <c r="G25" s="2" t="s">
        <v>64</v>
      </c>
      <c r="H25" t="s">
        <v>211</v>
      </c>
      <c r="I25" s="6">
        <v>40617</v>
      </c>
      <c r="J25" s="2" t="s">
        <v>5370</v>
      </c>
      <c r="K25" s="2">
        <v>0</v>
      </c>
      <c r="L25" t="s">
        <v>35</v>
      </c>
      <c r="M25" t="s">
        <v>29</v>
      </c>
      <c r="N25" t="s">
        <v>30</v>
      </c>
      <c r="O25">
        <v>37219</v>
      </c>
      <c r="P25" t="s">
        <v>5371</v>
      </c>
      <c r="Q25" s="2">
        <v>0.15</v>
      </c>
      <c r="R25" s="2">
        <v>60</v>
      </c>
      <c r="S25" s="2">
        <v>108</v>
      </c>
      <c r="T25" t="s">
        <v>5372</v>
      </c>
      <c r="U25" s="6">
        <v>23147</v>
      </c>
      <c r="V25" s="2">
        <v>47037013300</v>
      </c>
      <c r="W25" s="2" t="s">
        <v>68</v>
      </c>
      <c r="X25" s="1">
        <v>45658</v>
      </c>
      <c r="Y25" s="2">
        <v>2000</v>
      </c>
      <c r="Z25" s="2">
        <v>0</v>
      </c>
      <c r="AA25" s="2">
        <v>2000</v>
      </c>
    </row>
    <row r="26" spans="1:27" x14ac:dyDescent="0.3">
      <c r="A26" s="3">
        <v>20</v>
      </c>
      <c r="B26" s="2" t="str">
        <f>"09110040300"</f>
        <v>09110040300</v>
      </c>
      <c r="C26" s="2" t="s">
        <v>5373</v>
      </c>
      <c r="D26" t="s">
        <v>29</v>
      </c>
      <c r="E26" s="2" t="s">
        <v>30</v>
      </c>
      <c r="F26" s="2">
        <v>37209</v>
      </c>
      <c r="G26" s="2" t="s">
        <v>64</v>
      </c>
      <c r="H26" t="s">
        <v>211</v>
      </c>
      <c r="I26" s="6">
        <v>40534</v>
      </c>
      <c r="J26" s="2" t="s">
        <v>5374</v>
      </c>
      <c r="K26" s="2">
        <v>0</v>
      </c>
      <c r="L26" t="s">
        <v>35</v>
      </c>
      <c r="M26" t="s">
        <v>29</v>
      </c>
      <c r="N26" t="s">
        <v>30</v>
      </c>
      <c r="O26">
        <v>37219</v>
      </c>
      <c r="P26" t="s">
        <v>5375</v>
      </c>
      <c r="Q26" s="2">
        <v>0.15</v>
      </c>
      <c r="R26" s="2">
        <v>60</v>
      </c>
      <c r="S26" s="2">
        <v>108</v>
      </c>
      <c r="T26" t="s">
        <v>5376</v>
      </c>
      <c r="U26" s="6">
        <v>24597</v>
      </c>
      <c r="V26" s="2">
        <v>47037013300</v>
      </c>
      <c r="W26" s="2" t="s">
        <v>68</v>
      </c>
      <c r="X26" s="1">
        <v>45658</v>
      </c>
      <c r="Y26" s="2">
        <v>2000</v>
      </c>
      <c r="Z26" s="2">
        <v>0</v>
      </c>
      <c r="AA26" s="2">
        <v>2000</v>
      </c>
    </row>
    <row r="27" spans="1:27" x14ac:dyDescent="0.3">
      <c r="A27" s="3">
        <v>20</v>
      </c>
      <c r="B27" s="2" t="str">
        <f>"09110040400"</f>
        <v>09110040400</v>
      </c>
      <c r="C27" s="2" t="s">
        <v>5377</v>
      </c>
      <c r="D27" t="s">
        <v>29</v>
      </c>
      <c r="E27" s="2" t="s">
        <v>30</v>
      </c>
      <c r="F27" s="2">
        <v>37209</v>
      </c>
      <c r="G27" s="2" t="s">
        <v>64</v>
      </c>
      <c r="H27" t="s">
        <v>211</v>
      </c>
      <c r="I27" s="6">
        <v>40534</v>
      </c>
      <c r="J27" s="2" t="s">
        <v>5378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5379</v>
      </c>
      <c r="Q27" s="2">
        <v>0.15</v>
      </c>
      <c r="R27" s="2">
        <v>60</v>
      </c>
      <c r="S27" s="2">
        <v>108</v>
      </c>
      <c r="T27" t="s">
        <v>5380</v>
      </c>
      <c r="U27" s="6">
        <v>21324</v>
      </c>
      <c r="V27" s="2">
        <v>47037013300</v>
      </c>
      <c r="W27" s="2" t="s">
        <v>68</v>
      </c>
      <c r="X27" s="1">
        <v>45658</v>
      </c>
      <c r="Y27" s="2">
        <v>2000</v>
      </c>
      <c r="Z27" s="2">
        <v>0</v>
      </c>
      <c r="AA27" s="2">
        <v>2000</v>
      </c>
    </row>
    <row r="28" spans="1:27" x14ac:dyDescent="0.3">
      <c r="A28" s="3">
        <v>20</v>
      </c>
      <c r="B28" s="2" t="str">
        <f>"09111003400"</f>
        <v>09111003400</v>
      </c>
      <c r="C28" s="2" t="s">
        <v>5381</v>
      </c>
      <c r="D28" t="s">
        <v>29</v>
      </c>
      <c r="E28" s="2" t="s">
        <v>30</v>
      </c>
      <c r="F28" s="2">
        <v>37209</v>
      </c>
      <c r="G28" s="2" t="s">
        <v>64</v>
      </c>
      <c r="H28" t="s">
        <v>211</v>
      </c>
      <c r="I28" s="6">
        <v>40715</v>
      </c>
      <c r="J28" s="2" t="s">
        <v>5382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5383</v>
      </c>
      <c r="Q28" s="2">
        <v>0.14000000000000001</v>
      </c>
      <c r="R28" s="2">
        <v>60</v>
      </c>
      <c r="S28" s="2">
        <v>108</v>
      </c>
      <c r="T28" t="s">
        <v>5384</v>
      </c>
      <c r="U28" s="6">
        <v>26932</v>
      </c>
      <c r="V28" s="2">
        <v>47037013300</v>
      </c>
      <c r="W28" s="2" t="s">
        <v>68</v>
      </c>
      <c r="X28" s="1">
        <v>45658</v>
      </c>
      <c r="Y28" s="2">
        <v>2000</v>
      </c>
      <c r="Z28" s="2">
        <v>0</v>
      </c>
      <c r="AA28" s="2">
        <v>2000</v>
      </c>
    </row>
    <row r="29" spans="1:27" x14ac:dyDescent="0.3">
      <c r="A29" s="3">
        <v>20</v>
      </c>
      <c r="B29" s="2" t="str">
        <f>"09106018600"</f>
        <v>09106018600</v>
      </c>
      <c r="C29" s="2" t="s">
        <v>5385</v>
      </c>
      <c r="D29" t="s">
        <v>29</v>
      </c>
      <c r="E29" s="2" t="s">
        <v>30</v>
      </c>
      <c r="F29" s="2">
        <v>37209</v>
      </c>
      <c r="G29" s="2" t="s">
        <v>64</v>
      </c>
      <c r="H29" t="s">
        <v>211</v>
      </c>
      <c r="I29" s="6">
        <v>40723</v>
      </c>
      <c r="J29" s="2" t="s">
        <v>5386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5387</v>
      </c>
      <c r="Q29" s="2">
        <v>0.11</v>
      </c>
      <c r="R29" s="2">
        <v>52</v>
      </c>
      <c r="S29" s="2">
        <v>110</v>
      </c>
      <c r="T29" t="s">
        <v>5388</v>
      </c>
      <c r="U29" s="6">
        <v>25761</v>
      </c>
      <c r="V29" s="2">
        <v>47037013300</v>
      </c>
      <c r="W29" s="2" t="s">
        <v>68</v>
      </c>
      <c r="X29" s="1">
        <v>45658</v>
      </c>
      <c r="Y29" s="2">
        <v>2000</v>
      </c>
      <c r="Z29" s="2">
        <v>0</v>
      </c>
      <c r="AA29" s="2">
        <v>2000</v>
      </c>
    </row>
    <row r="30" spans="1:27" x14ac:dyDescent="0.3">
      <c r="A30" s="3">
        <v>20</v>
      </c>
      <c r="B30" s="2" t="str">
        <f>"09106018800"</f>
        <v>09106018800</v>
      </c>
      <c r="C30" s="2" t="s">
        <v>5389</v>
      </c>
      <c r="D30" t="s">
        <v>29</v>
      </c>
      <c r="E30" s="2" t="s">
        <v>30</v>
      </c>
      <c r="F30" s="2">
        <v>37209</v>
      </c>
      <c r="G30" s="2" t="s">
        <v>64</v>
      </c>
      <c r="H30" t="s">
        <v>211</v>
      </c>
      <c r="I30" s="6">
        <v>40676</v>
      </c>
      <c r="J30" s="2" t="s">
        <v>5390</v>
      </c>
      <c r="K30" s="2">
        <v>0</v>
      </c>
      <c r="L30" t="s">
        <v>35</v>
      </c>
      <c r="M30" t="s">
        <v>29</v>
      </c>
      <c r="N30" t="s">
        <v>30</v>
      </c>
      <c r="O30">
        <v>37219</v>
      </c>
      <c r="P30" t="s">
        <v>5391</v>
      </c>
      <c r="Q30" s="2">
        <v>0.25</v>
      </c>
      <c r="R30" s="2">
        <v>30</v>
      </c>
      <c r="S30" s="2">
        <v>124</v>
      </c>
      <c r="T30" t="s">
        <v>5392</v>
      </c>
      <c r="U30" s="6">
        <v>27208</v>
      </c>
      <c r="V30" s="2">
        <v>47037013300</v>
      </c>
      <c r="W30" s="2" t="s">
        <v>68</v>
      </c>
      <c r="X30" s="1">
        <v>45658</v>
      </c>
      <c r="Y30" s="2">
        <v>2000</v>
      </c>
      <c r="Z30" s="2">
        <v>0</v>
      </c>
      <c r="AA30" s="2">
        <v>2000</v>
      </c>
    </row>
    <row r="31" spans="1:27" x14ac:dyDescent="0.3">
      <c r="A31" s="3">
        <v>20</v>
      </c>
      <c r="B31" s="2" t="str">
        <f>"09106018400"</f>
        <v>09106018400</v>
      </c>
      <c r="C31" s="2" t="s">
        <v>5393</v>
      </c>
      <c r="D31" t="s">
        <v>29</v>
      </c>
      <c r="E31" s="2" t="s">
        <v>30</v>
      </c>
      <c r="F31" s="2">
        <v>37209</v>
      </c>
      <c r="G31" s="2" t="s">
        <v>64</v>
      </c>
      <c r="H31" t="s">
        <v>211</v>
      </c>
      <c r="I31" s="6">
        <v>42880</v>
      </c>
      <c r="J31" s="2" t="s">
        <v>5394</v>
      </c>
      <c r="K31" s="2">
        <v>0</v>
      </c>
      <c r="L31" t="s">
        <v>343</v>
      </c>
      <c r="M31" t="s">
        <v>29</v>
      </c>
      <c r="N31" t="s">
        <v>30</v>
      </c>
      <c r="O31">
        <v>37201</v>
      </c>
      <c r="P31" t="s">
        <v>5395</v>
      </c>
      <c r="Q31" s="2">
        <v>0.13</v>
      </c>
      <c r="R31" s="2">
        <v>50</v>
      </c>
      <c r="S31" s="2">
        <v>86</v>
      </c>
      <c r="T31" t="s">
        <v>5396</v>
      </c>
      <c r="U31" s="6">
        <v>20235</v>
      </c>
      <c r="V31" s="2">
        <v>47037013300</v>
      </c>
      <c r="W31" s="2" t="s">
        <v>68</v>
      </c>
      <c r="X31" s="1">
        <v>45658</v>
      </c>
      <c r="Y31" s="2">
        <v>140000</v>
      </c>
      <c r="Z31" s="2">
        <v>0</v>
      </c>
      <c r="AA31" s="2">
        <v>140000</v>
      </c>
    </row>
    <row r="32" spans="1:27" x14ac:dyDescent="0.3">
      <c r="A32" s="3">
        <v>20</v>
      </c>
      <c r="B32" s="2" t="str">
        <f>"09106018900"</f>
        <v>09106018900</v>
      </c>
      <c r="C32" s="2" t="s">
        <v>5397</v>
      </c>
      <c r="D32" t="s">
        <v>29</v>
      </c>
      <c r="E32" s="2" t="s">
        <v>30</v>
      </c>
      <c r="F32" s="2">
        <v>37209</v>
      </c>
      <c r="G32" s="2" t="s">
        <v>64</v>
      </c>
      <c r="H32" t="s">
        <v>211</v>
      </c>
      <c r="I32" s="6">
        <v>41043</v>
      </c>
      <c r="J32" s="2" t="s">
        <v>5398</v>
      </c>
      <c r="K32" s="2">
        <v>0</v>
      </c>
      <c r="L32" t="s">
        <v>35</v>
      </c>
      <c r="M32" t="s">
        <v>29</v>
      </c>
      <c r="N32" t="s">
        <v>30</v>
      </c>
      <c r="O32">
        <v>37219</v>
      </c>
      <c r="P32" t="s">
        <v>5399</v>
      </c>
      <c r="Q32" s="2">
        <v>0.2</v>
      </c>
      <c r="R32" s="2">
        <v>30</v>
      </c>
      <c r="S32" s="2">
        <v>137</v>
      </c>
      <c r="T32" t="s">
        <v>5400</v>
      </c>
      <c r="U32" s="6">
        <v>26745</v>
      </c>
      <c r="V32" s="2">
        <v>47037013300</v>
      </c>
      <c r="W32" s="2" t="s">
        <v>68</v>
      </c>
      <c r="X32" s="1">
        <v>45658</v>
      </c>
      <c r="Y32" s="2">
        <v>2000</v>
      </c>
      <c r="Z32" s="2">
        <v>0</v>
      </c>
      <c r="AA32" s="2">
        <v>2000</v>
      </c>
    </row>
    <row r="33" spans="1:27" x14ac:dyDescent="0.3">
      <c r="A33" s="3">
        <v>20</v>
      </c>
      <c r="B33" s="2" t="str">
        <f>"09110033000"</f>
        <v>09110033000</v>
      </c>
      <c r="C33" s="2" t="s">
        <v>5401</v>
      </c>
      <c r="D33" t="s">
        <v>29</v>
      </c>
      <c r="E33" s="2" t="s">
        <v>30</v>
      </c>
      <c r="F33" s="2">
        <v>37209</v>
      </c>
      <c r="G33" s="2" t="s">
        <v>64</v>
      </c>
      <c r="H33" t="s">
        <v>211</v>
      </c>
      <c r="I33" s="6">
        <v>40620</v>
      </c>
      <c r="J33" s="2" t="s">
        <v>5402</v>
      </c>
      <c r="K33" s="2">
        <v>0</v>
      </c>
      <c r="L33" t="s">
        <v>35</v>
      </c>
      <c r="M33" t="s">
        <v>29</v>
      </c>
      <c r="N33" t="s">
        <v>30</v>
      </c>
      <c r="O33">
        <v>37219</v>
      </c>
      <c r="P33" t="s">
        <v>5403</v>
      </c>
      <c r="Q33" s="2">
        <v>0.18</v>
      </c>
      <c r="R33" s="2">
        <v>68</v>
      </c>
      <c r="S33" s="2">
        <v>140</v>
      </c>
      <c r="T33" t="s">
        <v>5404</v>
      </c>
      <c r="U33" s="6">
        <v>24301</v>
      </c>
      <c r="V33" s="2">
        <v>47037013300</v>
      </c>
      <c r="W33" s="2" t="s">
        <v>68</v>
      </c>
      <c r="X33" s="1">
        <v>45658</v>
      </c>
      <c r="Y33" s="2">
        <v>2000</v>
      </c>
      <c r="Z33" s="2">
        <v>0</v>
      </c>
      <c r="AA33" s="2">
        <v>2000</v>
      </c>
    </row>
    <row r="34" spans="1:27" x14ac:dyDescent="0.3">
      <c r="A34" s="3">
        <v>20</v>
      </c>
      <c r="B34" s="2" t="str">
        <f>"09110033100"</f>
        <v>09110033100</v>
      </c>
      <c r="C34" s="2" t="s">
        <v>5405</v>
      </c>
      <c r="D34" t="s">
        <v>29</v>
      </c>
      <c r="E34" s="2" t="s">
        <v>30</v>
      </c>
      <c r="F34" s="2">
        <v>37209</v>
      </c>
      <c r="G34" s="2" t="s">
        <v>64</v>
      </c>
      <c r="H34" t="s">
        <v>211</v>
      </c>
      <c r="I34" s="6">
        <v>40652</v>
      </c>
      <c r="J34" s="2" t="s">
        <v>5406</v>
      </c>
      <c r="K34" s="2">
        <v>0</v>
      </c>
      <c r="L34" t="s">
        <v>35</v>
      </c>
      <c r="M34" t="s">
        <v>29</v>
      </c>
      <c r="N34" t="s">
        <v>30</v>
      </c>
      <c r="O34">
        <v>37219</v>
      </c>
      <c r="P34" t="s">
        <v>5407</v>
      </c>
      <c r="Q34" s="2">
        <v>0.12</v>
      </c>
      <c r="R34" s="2">
        <v>46</v>
      </c>
      <c r="S34" s="2">
        <v>88</v>
      </c>
      <c r="T34" t="s">
        <v>5408</v>
      </c>
      <c r="U34" s="6">
        <v>27246</v>
      </c>
      <c r="V34" s="2">
        <v>47037013300</v>
      </c>
      <c r="W34" s="2" t="s">
        <v>68</v>
      </c>
      <c r="X34" s="1">
        <v>45658</v>
      </c>
      <c r="Y34" s="2">
        <v>2000</v>
      </c>
      <c r="Z34" s="2">
        <v>0</v>
      </c>
      <c r="AA34" s="2">
        <v>2000</v>
      </c>
    </row>
    <row r="35" spans="1:27" x14ac:dyDescent="0.3">
      <c r="A35" s="3">
        <v>20</v>
      </c>
      <c r="B35" s="2" t="str">
        <f>"09110032900"</f>
        <v>09110032900</v>
      </c>
      <c r="C35" s="2" t="s">
        <v>5409</v>
      </c>
      <c r="D35" t="s">
        <v>29</v>
      </c>
      <c r="E35" s="2" t="s">
        <v>30</v>
      </c>
      <c r="F35" s="2">
        <v>37209</v>
      </c>
      <c r="G35" s="2" t="s">
        <v>64</v>
      </c>
      <c r="H35" t="s">
        <v>211</v>
      </c>
      <c r="I35" s="6">
        <v>40598</v>
      </c>
      <c r="J35" s="2" t="s">
        <v>5410</v>
      </c>
      <c r="K35" s="2">
        <v>0</v>
      </c>
      <c r="L35" t="s">
        <v>35</v>
      </c>
      <c r="M35" t="s">
        <v>29</v>
      </c>
      <c r="N35" t="s">
        <v>30</v>
      </c>
      <c r="O35">
        <v>37219</v>
      </c>
      <c r="P35" t="s">
        <v>5411</v>
      </c>
      <c r="Q35" s="2">
        <v>0.36</v>
      </c>
      <c r="R35" s="2">
        <v>30</v>
      </c>
      <c r="S35" s="2">
        <v>140</v>
      </c>
      <c r="T35" t="s">
        <v>5412</v>
      </c>
      <c r="U35" s="6">
        <v>24208</v>
      </c>
      <c r="V35" s="2">
        <v>47037013300</v>
      </c>
      <c r="W35" s="2" t="s">
        <v>68</v>
      </c>
      <c r="X35" s="1">
        <v>45658</v>
      </c>
      <c r="Y35" s="2">
        <v>2000</v>
      </c>
      <c r="Z35" s="2">
        <v>0</v>
      </c>
      <c r="AA35" s="2">
        <v>2000</v>
      </c>
    </row>
    <row r="36" spans="1:27" x14ac:dyDescent="0.3">
      <c r="A36" s="3">
        <v>20</v>
      </c>
      <c r="B36" s="2" t="str">
        <f>"09110033200"</f>
        <v>09110033200</v>
      </c>
      <c r="C36" s="2" t="s">
        <v>5413</v>
      </c>
      <c r="D36" t="s">
        <v>29</v>
      </c>
      <c r="E36" s="2" t="s">
        <v>30</v>
      </c>
      <c r="F36" s="2">
        <v>37209</v>
      </c>
      <c r="G36" s="2" t="s">
        <v>64</v>
      </c>
      <c r="H36" t="s">
        <v>211</v>
      </c>
      <c r="I36" s="6">
        <v>40611</v>
      </c>
      <c r="J36" s="2" t="s">
        <v>5414</v>
      </c>
      <c r="K36" s="2">
        <v>0</v>
      </c>
      <c r="L36" t="s">
        <v>35</v>
      </c>
      <c r="M36" t="s">
        <v>29</v>
      </c>
      <c r="N36" t="s">
        <v>30</v>
      </c>
      <c r="O36">
        <v>37219</v>
      </c>
      <c r="P36" t="s">
        <v>5415</v>
      </c>
      <c r="Q36" s="2">
        <v>0.19</v>
      </c>
      <c r="R36" s="2">
        <v>46</v>
      </c>
      <c r="S36" s="2">
        <v>152</v>
      </c>
      <c r="T36" t="s">
        <v>5416</v>
      </c>
      <c r="U36" s="6">
        <v>24044</v>
      </c>
      <c r="V36" s="2">
        <v>47037013300</v>
      </c>
      <c r="W36" s="2" t="s">
        <v>68</v>
      </c>
      <c r="X36" s="1">
        <v>45658</v>
      </c>
      <c r="Y36" s="2">
        <v>2000</v>
      </c>
      <c r="Z36" s="2">
        <v>0</v>
      </c>
      <c r="AA36" s="2">
        <v>2000</v>
      </c>
    </row>
    <row r="37" spans="1:27" x14ac:dyDescent="0.3">
      <c r="A37" s="3">
        <v>20</v>
      </c>
      <c r="B37" s="2" t="str">
        <f>"09110033300"</f>
        <v>09110033300</v>
      </c>
      <c r="C37" s="2" t="s">
        <v>5417</v>
      </c>
      <c r="D37" t="s">
        <v>29</v>
      </c>
      <c r="E37" s="2" t="s">
        <v>30</v>
      </c>
      <c r="F37" s="2">
        <v>37209</v>
      </c>
      <c r="G37" s="2" t="s">
        <v>64</v>
      </c>
      <c r="H37" t="s">
        <v>211</v>
      </c>
      <c r="I37" s="6">
        <v>40612</v>
      </c>
      <c r="J37" s="2" t="s">
        <v>5418</v>
      </c>
      <c r="K37" s="2">
        <v>0</v>
      </c>
      <c r="L37" t="s">
        <v>35</v>
      </c>
      <c r="M37" t="s">
        <v>29</v>
      </c>
      <c r="N37" t="s">
        <v>30</v>
      </c>
      <c r="O37">
        <v>37219</v>
      </c>
      <c r="P37" t="s">
        <v>5419</v>
      </c>
      <c r="Q37" s="2">
        <v>0.34</v>
      </c>
      <c r="R37" s="2">
        <v>46</v>
      </c>
      <c r="S37" s="2">
        <v>232</v>
      </c>
      <c r="T37" t="s">
        <v>5420</v>
      </c>
      <c r="U37" s="6">
        <v>25022</v>
      </c>
      <c r="V37" s="2">
        <v>47037013300</v>
      </c>
      <c r="W37" s="2" t="s">
        <v>68</v>
      </c>
      <c r="X37" s="1">
        <v>45658</v>
      </c>
      <c r="Y37" s="2">
        <v>2000</v>
      </c>
      <c r="Z37" s="2">
        <v>0</v>
      </c>
      <c r="AA37" s="2">
        <v>2000</v>
      </c>
    </row>
    <row r="38" spans="1:27" x14ac:dyDescent="0.3">
      <c r="A38" s="3">
        <v>20</v>
      </c>
      <c r="B38" s="2" t="str">
        <f>"09110033400"</f>
        <v>09110033400</v>
      </c>
      <c r="C38" s="2" t="s">
        <v>5421</v>
      </c>
      <c r="D38" t="s">
        <v>29</v>
      </c>
      <c r="E38" s="2" t="s">
        <v>30</v>
      </c>
      <c r="F38" s="2">
        <v>37209</v>
      </c>
      <c r="G38" s="2" t="s">
        <v>64</v>
      </c>
      <c r="H38" t="s">
        <v>211</v>
      </c>
      <c r="I38" s="6">
        <v>40556</v>
      </c>
      <c r="J38" s="2" t="s">
        <v>5422</v>
      </c>
      <c r="K38" s="2">
        <v>0</v>
      </c>
      <c r="L38" t="s">
        <v>35</v>
      </c>
      <c r="M38" t="s">
        <v>29</v>
      </c>
      <c r="N38" t="s">
        <v>30</v>
      </c>
      <c r="O38">
        <v>37219</v>
      </c>
      <c r="P38" t="s">
        <v>5423</v>
      </c>
      <c r="Q38" s="2">
        <v>0.32</v>
      </c>
      <c r="R38" s="2">
        <v>50</v>
      </c>
      <c r="S38" s="2">
        <v>236</v>
      </c>
      <c r="T38" t="s">
        <v>5424</v>
      </c>
      <c r="U38" s="6">
        <v>22315</v>
      </c>
      <c r="V38" s="2">
        <v>47037013300</v>
      </c>
      <c r="W38" s="2" t="s">
        <v>68</v>
      </c>
      <c r="X38" s="1">
        <v>45658</v>
      </c>
      <c r="Y38" s="2">
        <v>2000</v>
      </c>
      <c r="Z38" s="2">
        <v>0</v>
      </c>
      <c r="AA38" s="2">
        <v>2000</v>
      </c>
    </row>
    <row r="39" spans="1:27" x14ac:dyDescent="0.3">
      <c r="A39" s="3">
        <v>20</v>
      </c>
      <c r="B39" s="2" t="str">
        <f>"09110033500"</f>
        <v>09110033500</v>
      </c>
      <c r="C39" s="2" t="s">
        <v>5425</v>
      </c>
      <c r="D39" t="s">
        <v>29</v>
      </c>
      <c r="E39" s="2" t="s">
        <v>30</v>
      </c>
      <c r="F39" s="2">
        <v>37209</v>
      </c>
      <c r="G39" s="2" t="s">
        <v>64</v>
      </c>
      <c r="H39" t="s">
        <v>211</v>
      </c>
      <c r="I39" s="6">
        <v>40576</v>
      </c>
      <c r="J39" s="2" t="s">
        <v>5426</v>
      </c>
      <c r="K39" s="2">
        <v>0</v>
      </c>
      <c r="L39" t="s">
        <v>35</v>
      </c>
      <c r="M39" t="s">
        <v>29</v>
      </c>
      <c r="N39" t="s">
        <v>30</v>
      </c>
      <c r="O39">
        <v>37219</v>
      </c>
      <c r="P39" t="s">
        <v>5427</v>
      </c>
      <c r="Q39" s="2">
        <v>0.25</v>
      </c>
      <c r="R39" s="2">
        <v>50</v>
      </c>
      <c r="S39" s="2">
        <v>236</v>
      </c>
      <c r="T39" t="s">
        <v>5428</v>
      </c>
      <c r="U39" s="6">
        <v>27275</v>
      </c>
      <c r="V39" s="2">
        <v>47037013300</v>
      </c>
      <c r="W39" s="2" t="s">
        <v>68</v>
      </c>
      <c r="X39" s="1">
        <v>45658</v>
      </c>
      <c r="Y39" s="2">
        <v>2000</v>
      </c>
      <c r="Z39" s="2">
        <v>0</v>
      </c>
      <c r="AA39" s="2">
        <v>2000</v>
      </c>
    </row>
    <row r="40" spans="1:27" x14ac:dyDescent="0.3">
      <c r="A40" s="3">
        <v>20</v>
      </c>
      <c r="B40" s="2" t="str">
        <f>"09110033600"</f>
        <v>09110033600</v>
      </c>
      <c r="C40" s="2" t="s">
        <v>5429</v>
      </c>
      <c r="D40" t="s">
        <v>29</v>
      </c>
      <c r="E40" s="2" t="s">
        <v>30</v>
      </c>
      <c r="F40" s="2">
        <v>37209</v>
      </c>
      <c r="G40" s="2" t="s">
        <v>64</v>
      </c>
      <c r="H40" t="s">
        <v>211</v>
      </c>
      <c r="I40" s="6">
        <v>40591</v>
      </c>
      <c r="J40" s="2" t="s">
        <v>5430</v>
      </c>
      <c r="K40" s="2">
        <v>0</v>
      </c>
      <c r="L40" t="s">
        <v>35</v>
      </c>
      <c r="M40" t="s">
        <v>29</v>
      </c>
      <c r="N40" t="s">
        <v>30</v>
      </c>
      <c r="O40">
        <v>37219</v>
      </c>
      <c r="P40" t="s">
        <v>5431</v>
      </c>
      <c r="Q40" s="2">
        <v>0.25</v>
      </c>
      <c r="R40" s="2">
        <v>50</v>
      </c>
      <c r="S40" s="2">
        <v>232</v>
      </c>
      <c r="T40" t="s">
        <v>5432</v>
      </c>
      <c r="U40" s="6">
        <v>27334</v>
      </c>
      <c r="V40" s="2">
        <v>47037013300</v>
      </c>
      <c r="W40" s="2" t="s">
        <v>68</v>
      </c>
      <c r="X40" s="1">
        <v>45658</v>
      </c>
      <c r="Y40" s="2">
        <v>2000</v>
      </c>
      <c r="Z40" s="2">
        <v>0</v>
      </c>
      <c r="AA40" s="2">
        <v>2000</v>
      </c>
    </row>
    <row r="41" spans="1:27" x14ac:dyDescent="0.3">
      <c r="A41" s="3">
        <v>20</v>
      </c>
      <c r="B41" s="2" t="str">
        <f>"09110033700"</f>
        <v>09110033700</v>
      </c>
      <c r="C41" s="2" t="s">
        <v>5433</v>
      </c>
      <c r="D41" t="s">
        <v>29</v>
      </c>
      <c r="E41" s="2" t="s">
        <v>30</v>
      </c>
      <c r="F41" s="2">
        <v>37209</v>
      </c>
      <c r="G41" s="2" t="s">
        <v>64</v>
      </c>
      <c r="H41" t="s">
        <v>211</v>
      </c>
      <c r="I41" s="6">
        <v>40612</v>
      </c>
      <c r="J41" s="2" t="s">
        <v>5434</v>
      </c>
      <c r="K41" s="2">
        <v>0</v>
      </c>
      <c r="L41" t="s">
        <v>35</v>
      </c>
      <c r="M41" t="s">
        <v>29</v>
      </c>
      <c r="N41" t="s">
        <v>30</v>
      </c>
      <c r="O41">
        <v>37219</v>
      </c>
      <c r="P41" t="s">
        <v>5435</v>
      </c>
      <c r="Q41" s="2">
        <v>0.3</v>
      </c>
      <c r="R41" s="2">
        <v>50</v>
      </c>
      <c r="S41" s="2">
        <v>232</v>
      </c>
      <c r="T41" t="s">
        <v>5436</v>
      </c>
      <c r="U41" s="6">
        <v>24064</v>
      </c>
      <c r="V41" s="2">
        <v>47037013300</v>
      </c>
      <c r="W41" s="2" t="s">
        <v>68</v>
      </c>
      <c r="X41" s="1">
        <v>45658</v>
      </c>
      <c r="Y41" s="2">
        <v>2000</v>
      </c>
      <c r="Z41" s="2">
        <v>0</v>
      </c>
      <c r="AA41" s="2">
        <v>2000</v>
      </c>
    </row>
    <row r="42" spans="1:27" x14ac:dyDescent="0.3">
      <c r="A42" s="3">
        <v>20</v>
      </c>
      <c r="B42" s="2" t="str">
        <f>"09110033800"</f>
        <v>09110033800</v>
      </c>
      <c r="C42" s="2" t="s">
        <v>5437</v>
      </c>
      <c r="D42" t="s">
        <v>29</v>
      </c>
      <c r="E42" s="2" t="s">
        <v>30</v>
      </c>
      <c r="F42" s="2">
        <v>37209</v>
      </c>
      <c r="G42" s="2" t="s">
        <v>64</v>
      </c>
      <c r="H42" t="s">
        <v>211</v>
      </c>
      <c r="I42" s="6">
        <v>40599</v>
      </c>
      <c r="J42" s="2" t="s">
        <v>5438</v>
      </c>
      <c r="K42" s="2">
        <v>0</v>
      </c>
      <c r="L42" t="s">
        <v>35</v>
      </c>
      <c r="M42" t="s">
        <v>29</v>
      </c>
      <c r="N42" t="s">
        <v>30</v>
      </c>
      <c r="O42">
        <v>37219</v>
      </c>
      <c r="P42" t="s">
        <v>5439</v>
      </c>
      <c r="Q42" s="2">
        <v>0.82</v>
      </c>
      <c r="R42" s="2">
        <v>51</v>
      </c>
      <c r="S42" s="2">
        <v>231</v>
      </c>
      <c r="T42" t="s">
        <v>5440</v>
      </c>
      <c r="U42" s="6">
        <v>26365</v>
      </c>
      <c r="V42" s="2">
        <v>47037013300</v>
      </c>
      <c r="W42" s="2" t="s">
        <v>68</v>
      </c>
      <c r="X42" s="1">
        <v>45658</v>
      </c>
      <c r="Y42" s="2">
        <v>2000</v>
      </c>
      <c r="Z42" s="2">
        <v>0</v>
      </c>
      <c r="AA42" s="2">
        <v>2000</v>
      </c>
    </row>
    <row r="43" spans="1:27" x14ac:dyDescent="0.3">
      <c r="A43" s="3">
        <v>20</v>
      </c>
      <c r="B43" s="2" t="str">
        <f>"09110033900"</f>
        <v>09110033900</v>
      </c>
      <c r="C43" s="2" t="s">
        <v>5441</v>
      </c>
      <c r="D43" t="s">
        <v>29</v>
      </c>
      <c r="E43" s="2" t="s">
        <v>30</v>
      </c>
      <c r="F43" s="2">
        <v>37209</v>
      </c>
      <c r="G43" s="2" t="s">
        <v>64</v>
      </c>
      <c r="H43" t="s">
        <v>211</v>
      </c>
      <c r="I43" s="6">
        <v>40603</v>
      </c>
      <c r="J43" s="2" t="s">
        <v>5442</v>
      </c>
      <c r="K43" s="2">
        <v>0</v>
      </c>
      <c r="L43" t="s">
        <v>35</v>
      </c>
      <c r="M43" t="s">
        <v>29</v>
      </c>
      <c r="N43" t="s">
        <v>30</v>
      </c>
      <c r="O43">
        <v>37219</v>
      </c>
      <c r="P43" t="s">
        <v>5443</v>
      </c>
      <c r="Q43" s="2">
        <v>0.16</v>
      </c>
      <c r="R43" s="2">
        <v>92</v>
      </c>
      <c r="S43" s="2">
        <v>146</v>
      </c>
      <c r="T43" t="s">
        <v>5444</v>
      </c>
      <c r="U43" s="6">
        <v>22034</v>
      </c>
      <c r="V43" s="2">
        <v>47037013300</v>
      </c>
      <c r="W43" s="2" t="s">
        <v>68</v>
      </c>
      <c r="X43" s="1">
        <v>45658</v>
      </c>
      <c r="Y43" s="2">
        <v>2000</v>
      </c>
      <c r="Z43" s="2">
        <v>0</v>
      </c>
      <c r="AA43" s="2">
        <v>2000</v>
      </c>
    </row>
    <row r="44" spans="1:27" x14ac:dyDescent="0.3">
      <c r="A44" s="3">
        <v>20</v>
      </c>
      <c r="B44" s="2" t="str">
        <f>"09110034000"</f>
        <v>09110034000</v>
      </c>
      <c r="C44" s="2" t="s">
        <v>5445</v>
      </c>
      <c r="D44" t="s">
        <v>29</v>
      </c>
      <c r="E44" s="2" t="s">
        <v>30</v>
      </c>
      <c r="F44" s="2">
        <v>37209</v>
      </c>
      <c r="G44" s="2" t="s">
        <v>64</v>
      </c>
      <c r="H44" t="s">
        <v>211</v>
      </c>
      <c r="I44" s="6">
        <v>40562</v>
      </c>
      <c r="J44" s="2" t="s">
        <v>5446</v>
      </c>
      <c r="K44" s="2">
        <v>0</v>
      </c>
      <c r="L44" t="s">
        <v>35</v>
      </c>
      <c r="M44" t="s">
        <v>29</v>
      </c>
      <c r="N44" t="s">
        <v>30</v>
      </c>
      <c r="O44">
        <v>37219</v>
      </c>
      <c r="P44" t="s">
        <v>5447</v>
      </c>
      <c r="Q44" s="2">
        <v>0.18</v>
      </c>
      <c r="R44" s="2">
        <v>50</v>
      </c>
      <c r="S44" s="2">
        <v>160</v>
      </c>
      <c r="T44" t="s">
        <v>5448</v>
      </c>
      <c r="U44" s="6">
        <v>27130</v>
      </c>
      <c r="V44" s="2">
        <v>47037013300</v>
      </c>
      <c r="W44" s="2" t="s">
        <v>68</v>
      </c>
      <c r="X44" s="1">
        <v>45658</v>
      </c>
      <c r="Y44" s="2">
        <v>2000</v>
      </c>
      <c r="Z44" s="2">
        <v>0</v>
      </c>
      <c r="AA44" s="2">
        <v>2000</v>
      </c>
    </row>
    <row r="45" spans="1:27" x14ac:dyDescent="0.3">
      <c r="A45" s="3">
        <v>20</v>
      </c>
      <c r="B45" s="2" t="str">
        <f>"09110034100"</f>
        <v>09110034100</v>
      </c>
      <c r="C45" s="2" t="s">
        <v>5449</v>
      </c>
      <c r="D45" t="s">
        <v>29</v>
      </c>
      <c r="E45" s="2" t="s">
        <v>30</v>
      </c>
      <c r="F45" s="2">
        <v>37209</v>
      </c>
      <c r="G45" s="2" t="s">
        <v>64</v>
      </c>
      <c r="H45" t="s">
        <v>211</v>
      </c>
      <c r="I45" s="6">
        <v>40616</v>
      </c>
      <c r="J45" s="2" t="s">
        <v>5450</v>
      </c>
      <c r="K45" s="2">
        <v>0</v>
      </c>
      <c r="L45" t="s">
        <v>35</v>
      </c>
      <c r="M45" t="s">
        <v>29</v>
      </c>
      <c r="N45" t="s">
        <v>30</v>
      </c>
      <c r="O45">
        <v>37219</v>
      </c>
      <c r="P45" t="s">
        <v>5451</v>
      </c>
      <c r="Q45" s="2">
        <v>0.18</v>
      </c>
      <c r="R45" s="2">
        <v>50</v>
      </c>
      <c r="S45" s="2">
        <v>168</v>
      </c>
      <c r="T45" t="s">
        <v>5452</v>
      </c>
      <c r="U45" s="6">
        <v>20107</v>
      </c>
      <c r="V45" s="2">
        <v>47037013300</v>
      </c>
      <c r="W45" s="2" t="s">
        <v>68</v>
      </c>
      <c r="X45" s="1">
        <v>45658</v>
      </c>
      <c r="Y45" s="2">
        <v>2000</v>
      </c>
      <c r="Z45" s="2">
        <v>0</v>
      </c>
      <c r="AA45" s="2">
        <v>2000</v>
      </c>
    </row>
    <row r="46" spans="1:27" x14ac:dyDescent="0.3">
      <c r="A46" s="3">
        <v>20</v>
      </c>
      <c r="B46" s="2" t="str">
        <f>"09110036300"</f>
        <v>09110036300</v>
      </c>
      <c r="C46" s="2" t="s">
        <v>5288</v>
      </c>
      <c r="D46" t="s">
        <v>29</v>
      </c>
      <c r="E46" s="2" t="s">
        <v>30</v>
      </c>
      <c r="F46" s="2">
        <v>37209</v>
      </c>
      <c r="G46" s="2" t="s">
        <v>64</v>
      </c>
      <c r="H46" t="s">
        <v>211</v>
      </c>
      <c r="I46" s="6">
        <v>29363</v>
      </c>
      <c r="J46" s="2" t="s">
        <v>5453</v>
      </c>
      <c r="K46" s="2">
        <v>148</v>
      </c>
      <c r="L46" t="s">
        <v>35</v>
      </c>
      <c r="M46" t="s">
        <v>29</v>
      </c>
      <c r="N46" t="s">
        <v>30</v>
      </c>
      <c r="O46">
        <v>37219</v>
      </c>
      <c r="P46" t="s">
        <v>5290</v>
      </c>
      <c r="Q46" s="2">
        <v>0.45</v>
      </c>
      <c r="R46" s="2">
        <v>138</v>
      </c>
      <c r="S46" s="2">
        <v>160</v>
      </c>
      <c r="T46" t="s">
        <v>5454</v>
      </c>
      <c r="U46" s="6">
        <v>21646</v>
      </c>
      <c r="V46" s="2">
        <v>47037013300</v>
      </c>
      <c r="W46" s="2" t="s">
        <v>68</v>
      </c>
      <c r="X46" s="1">
        <v>45658</v>
      </c>
      <c r="Y46" s="2">
        <v>2000</v>
      </c>
      <c r="Z46" s="2">
        <v>0</v>
      </c>
      <c r="AA46" s="2">
        <v>2000</v>
      </c>
    </row>
    <row r="47" spans="1:27" x14ac:dyDescent="0.3">
      <c r="A47" s="3">
        <v>20</v>
      </c>
      <c r="B47" s="2" t="str">
        <f>"09110034300"</f>
        <v>09110034300</v>
      </c>
      <c r="C47" s="2" t="s">
        <v>5455</v>
      </c>
      <c r="D47" t="s">
        <v>29</v>
      </c>
      <c r="E47" s="2" t="s">
        <v>30</v>
      </c>
      <c r="F47" s="2">
        <v>37209</v>
      </c>
      <c r="G47" s="2" t="s">
        <v>64</v>
      </c>
      <c r="H47" t="s">
        <v>211</v>
      </c>
      <c r="I47" s="6">
        <v>40591</v>
      </c>
      <c r="J47" s="2" t="s">
        <v>5456</v>
      </c>
      <c r="K47" s="2">
        <v>0</v>
      </c>
      <c r="L47" t="s">
        <v>35</v>
      </c>
      <c r="M47" t="s">
        <v>29</v>
      </c>
      <c r="N47" t="s">
        <v>30</v>
      </c>
      <c r="O47">
        <v>37219</v>
      </c>
      <c r="P47" t="s">
        <v>5457</v>
      </c>
      <c r="Q47" s="2">
        <v>0.21</v>
      </c>
      <c r="R47" s="2">
        <v>50</v>
      </c>
      <c r="S47" s="2">
        <v>175</v>
      </c>
      <c r="T47" t="s">
        <v>5458</v>
      </c>
      <c r="U47" s="6">
        <v>23380</v>
      </c>
      <c r="V47" s="2">
        <v>47037013300</v>
      </c>
      <c r="W47" s="2" t="s">
        <v>68</v>
      </c>
      <c r="X47" s="1">
        <v>45658</v>
      </c>
      <c r="Y47" s="2">
        <v>2000</v>
      </c>
      <c r="Z47" s="2">
        <v>0</v>
      </c>
      <c r="AA47" s="2">
        <v>2000</v>
      </c>
    </row>
    <row r="48" spans="1:27" x14ac:dyDescent="0.3">
      <c r="A48" s="3">
        <v>20</v>
      </c>
      <c r="B48" s="2" t="str">
        <f>"09110034400"</f>
        <v>09110034400</v>
      </c>
      <c r="C48" s="2" t="s">
        <v>5459</v>
      </c>
      <c r="D48" t="s">
        <v>29</v>
      </c>
      <c r="E48" s="2" t="s">
        <v>30</v>
      </c>
      <c r="F48" s="2">
        <v>37209</v>
      </c>
      <c r="G48" s="2" t="s">
        <v>64</v>
      </c>
      <c r="H48" t="s">
        <v>211</v>
      </c>
      <c r="I48" s="6">
        <v>40568</v>
      </c>
      <c r="J48" s="2" t="s">
        <v>5460</v>
      </c>
      <c r="K48" s="2">
        <v>0</v>
      </c>
      <c r="L48" t="s">
        <v>35</v>
      </c>
      <c r="M48" t="s">
        <v>29</v>
      </c>
      <c r="N48" t="s">
        <v>30</v>
      </c>
      <c r="O48">
        <v>37219</v>
      </c>
      <c r="P48" t="s">
        <v>5461</v>
      </c>
      <c r="Q48" s="2">
        <v>0.2</v>
      </c>
      <c r="R48" s="2">
        <v>50</v>
      </c>
      <c r="S48" s="2">
        <v>175</v>
      </c>
      <c r="T48" t="s">
        <v>5462</v>
      </c>
      <c r="U48" s="6">
        <v>26018</v>
      </c>
      <c r="V48" s="2">
        <v>47037013300</v>
      </c>
      <c r="W48" s="2" t="s">
        <v>68</v>
      </c>
      <c r="X48" s="1">
        <v>45658</v>
      </c>
      <c r="Y48" s="2">
        <v>2000</v>
      </c>
      <c r="Z48" s="2">
        <v>0</v>
      </c>
      <c r="AA48" s="2">
        <v>2000</v>
      </c>
    </row>
    <row r="49" spans="1:27" x14ac:dyDescent="0.3">
      <c r="A49" s="3">
        <v>20</v>
      </c>
      <c r="B49" s="2" t="str">
        <f>"09110036200"</f>
        <v>09110036200</v>
      </c>
      <c r="C49" s="2" t="s">
        <v>5288</v>
      </c>
      <c r="D49" t="s">
        <v>29</v>
      </c>
      <c r="E49" s="2" t="s">
        <v>30</v>
      </c>
      <c r="F49" s="2">
        <v>37209</v>
      </c>
      <c r="G49" s="2" t="s">
        <v>64</v>
      </c>
      <c r="H49" t="s">
        <v>211</v>
      </c>
      <c r="I49" s="6">
        <v>29363</v>
      </c>
      <c r="J49" s="2" t="s">
        <v>5463</v>
      </c>
      <c r="K49" s="2" t="s">
        <v>34</v>
      </c>
      <c r="L49" t="s">
        <v>35</v>
      </c>
      <c r="M49" t="s">
        <v>29</v>
      </c>
      <c r="N49" t="s">
        <v>30</v>
      </c>
      <c r="O49">
        <v>37219</v>
      </c>
      <c r="P49" t="s">
        <v>5290</v>
      </c>
      <c r="Q49" s="2">
        <v>0.39</v>
      </c>
      <c r="R49" s="2">
        <v>102</v>
      </c>
      <c r="S49" s="2">
        <v>187</v>
      </c>
      <c r="T49" t="s">
        <v>5464</v>
      </c>
      <c r="U49" s="6">
        <v>21656</v>
      </c>
      <c r="V49" s="2">
        <v>47037013300</v>
      </c>
      <c r="W49" s="2" t="s">
        <v>68</v>
      </c>
      <c r="X49" s="1">
        <v>45658</v>
      </c>
      <c r="Y49" s="2">
        <v>2000</v>
      </c>
      <c r="Z49" s="2">
        <v>0</v>
      </c>
      <c r="AA49" s="2">
        <v>2000</v>
      </c>
    </row>
    <row r="50" spans="1:27" x14ac:dyDescent="0.3">
      <c r="A50" s="3">
        <v>20</v>
      </c>
      <c r="B50" s="2" t="str">
        <f>"09110034500"</f>
        <v>09110034500</v>
      </c>
      <c r="C50" s="2" t="s">
        <v>5465</v>
      </c>
      <c r="D50" t="s">
        <v>29</v>
      </c>
      <c r="E50" s="2" t="s">
        <v>30</v>
      </c>
      <c r="F50" s="2">
        <v>37209</v>
      </c>
      <c r="G50" s="2" t="s">
        <v>64</v>
      </c>
      <c r="H50" t="s">
        <v>211</v>
      </c>
      <c r="I50" s="6">
        <v>40599</v>
      </c>
      <c r="J50" s="2" t="s">
        <v>5466</v>
      </c>
      <c r="K50" s="2">
        <v>0</v>
      </c>
      <c r="L50" t="s">
        <v>35</v>
      </c>
      <c r="M50" t="s">
        <v>29</v>
      </c>
      <c r="N50" t="s">
        <v>30</v>
      </c>
      <c r="O50">
        <v>37219</v>
      </c>
      <c r="P50" t="s">
        <v>5467</v>
      </c>
      <c r="Q50" s="2">
        <v>0.18</v>
      </c>
      <c r="R50" s="2">
        <v>57</v>
      </c>
      <c r="S50" s="2">
        <v>175</v>
      </c>
      <c r="T50" t="s">
        <v>5468</v>
      </c>
      <c r="U50" s="6">
        <v>24643</v>
      </c>
      <c r="V50" s="2">
        <v>47037013300</v>
      </c>
      <c r="W50" s="2" t="s">
        <v>68</v>
      </c>
      <c r="X50" s="1">
        <v>45658</v>
      </c>
      <c r="Y50" s="2">
        <v>2000</v>
      </c>
      <c r="Z50" s="2">
        <v>0</v>
      </c>
      <c r="AA50" s="2">
        <v>2000</v>
      </c>
    </row>
    <row r="51" spans="1:27" x14ac:dyDescent="0.3">
      <c r="A51" s="3">
        <v>20</v>
      </c>
      <c r="B51" s="2" t="str">
        <f>"09110034600"</f>
        <v>09110034600</v>
      </c>
      <c r="C51" s="2" t="s">
        <v>5469</v>
      </c>
      <c r="D51" t="s">
        <v>29</v>
      </c>
      <c r="E51" s="2" t="s">
        <v>30</v>
      </c>
      <c r="F51" s="2">
        <v>37209</v>
      </c>
      <c r="G51" s="2" t="s">
        <v>64</v>
      </c>
      <c r="H51" t="s">
        <v>211</v>
      </c>
      <c r="I51" s="6">
        <v>40527</v>
      </c>
      <c r="J51" s="2" t="s">
        <v>5470</v>
      </c>
      <c r="K51" s="2">
        <v>0</v>
      </c>
      <c r="L51" t="s">
        <v>35</v>
      </c>
      <c r="M51" t="s">
        <v>29</v>
      </c>
      <c r="N51" t="s">
        <v>30</v>
      </c>
      <c r="O51">
        <v>37219</v>
      </c>
      <c r="P51" t="s">
        <v>5471</v>
      </c>
      <c r="Q51" s="2">
        <v>0.18</v>
      </c>
      <c r="R51" s="2">
        <v>57</v>
      </c>
      <c r="S51" s="2">
        <v>173</v>
      </c>
      <c r="T51" t="s">
        <v>5472</v>
      </c>
      <c r="U51" s="6">
        <v>24682</v>
      </c>
      <c r="V51" s="2">
        <v>47037013300</v>
      </c>
      <c r="W51" s="2" t="s">
        <v>68</v>
      </c>
      <c r="X51" s="1">
        <v>45658</v>
      </c>
      <c r="Y51" s="2">
        <v>2000</v>
      </c>
      <c r="Z51" s="2">
        <v>0</v>
      </c>
      <c r="AA51" s="2">
        <v>2000</v>
      </c>
    </row>
    <row r="52" spans="1:27" x14ac:dyDescent="0.3">
      <c r="A52" s="3">
        <v>20</v>
      </c>
      <c r="B52" s="2" t="str">
        <f>"09110036100"</f>
        <v>09110036100</v>
      </c>
      <c r="C52" s="2" t="s">
        <v>5288</v>
      </c>
      <c r="D52" t="s">
        <v>29</v>
      </c>
      <c r="E52" s="2" t="s">
        <v>30</v>
      </c>
      <c r="F52" s="2">
        <v>37209</v>
      </c>
      <c r="G52" s="2" t="s">
        <v>64</v>
      </c>
      <c r="H52" t="s">
        <v>211</v>
      </c>
      <c r="I52" s="6">
        <v>40121</v>
      </c>
      <c r="J52" s="2" t="s">
        <v>5473</v>
      </c>
      <c r="K52" s="2">
        <v>401</v>
      </c>
      <c r="L52" t="s">
        <v>35</v>
      </c>
      <c r="M52" t="s">
        <v>29</v>
      </c>
      <c r="N52" t="s">
        <v>30</v>
      </c>
      <c r="O52">
        <v>37219</v>
      </c>
      <c r="P52" t="s">
        <v>5290</v>
      </c>
      <c r="Q52" s="2">
        <v>0.49</v>
      </c>
      <c r="R52" s="2">
        <v>113</v>
      </c>
      <c r="S52" s="2">
        <v>187</v>
      </c>
      <c r="T52" t="s">
        <v>5474</v>
      </c>
      <c r="U52" s="6">
        <v>21745</v>
      </c>
      <c r="V52" s="2">
        <v>47037013300</v>
      </c>
      <c r="W52" s="2" t="s">
        <v>68</v>
      </c>
      <c r="X52" s="1">
        <v>45658</v>
      </c>
      <c r="Y52" s="2">
        <v>2000</v>
      </c>
      <c r="Z52" s="2">
        <v>0</v>
      </c>
      <c r="AA52" s="2">
        <v>2000</v>
      </c>
    </row>
    <row r="53" spans="1:27" x14ac:dyDescent="0.3">
      <c r="A53" s="3">
        <v>20</v>
      </c>
      <c r="B53" s="2" t="str">
        <f>"09110034700"</f>
        <v>09110034700</v>
      </c>
      <c r="C53" s="2" t="s">
        <v>5475</v>
      </c>
      <c r="D53" t="s">
        <v>29</v>
      </c>
      <c r="E53" s="2" t="s">
        <v>30</v>
      </c>
      <c r="F53" s="2">
        <v>37209</v>
      </c>
      <c r="G53" s="2" t="s">
        <v>64</v>
      </c>
      <c r="H53" t="s">
        <v>211</v>
      </c>
      <c r="I53" s="6">
        <v>40613</v>
      </c>
      <c r="J53" s="2" t="s">
        <v>5476</v>
      </c>
      <c r="K53" s="2">
        <v>0</v>
      </c>
      <c r="L53" t="s">
        <v>35</v>
      </c>
      <c r="M53" t="s">
        <v>29</v>
      </c>
      <c r="N53" t="s">
        <v>30</v>
      </c>
      <c r="O53">
        <v>37219</v>
      </c>
      <c r="P53" t="s">
        <v>5477</v>
      </c>
      <c r="Q53" s="2">
        <v>0.16</v>
      </c>
      <c r="R53" s="2">
        <v>57</v>
      </c>
      <c r="S53" s="2">
        <v>166</v>
      </c>
      <c r="T53" t="s">
        <v>5478</v>
      </c>
      <c r="U53" s="6">
        <v>20516</v>
      </c>
      <c r="V53" s="2">
        <v>47037013300</v>
      </c>
      <c r="W53" s="2" t="s">
        <v>68</v>
      </c>
      <c r="X53" s="1">
        <v>45658</v>
      </c>
      <c r="Y53" s="2">
        <v>2000</v>
      </c>
      <c r="Z53" s="2">
        <v>0</v>
      </c>
      <c r="AA53" s="2">
        <v>2000</v>
      </c>
    </row>
    <row r="54" spans="1:27" x14ac:dyDescent="0.3">
      <c r="A54" s="3">
        <v>20</v>
      </c>
      <c r="B54" s="2" t="str">
        <f>"09110034800"</f>
        <v>09110034800</v>
      </c>
      <c r="C54" s="2" t="s">
        <v>5479</v>
      </c>
      <c r="D54" t="s">
        <v>29</v>
      </c>
      <c r="E54" s="2" t="s">
        <v>30</v>
      </c>
      <c r="F54" s="2">
        <v>37209</v>
      </c>
      <c r="G54" s="2" t="s">
        <v>64</v>
      </c>
      <c r="H54" t="s">
        <v>211</v>
      </c>
      <c r="I54" s="6">
        <v>40603</v>
      </c>
      <c r="J54" s="2" t="s">
        <v>5480</v>
      </c>
      <c r="K54" s="2">
        <v>0</v>
      </c>
      <c r="L54" t="s">
        <v>35</v>
      </c>
      <c r="M54" t="s">
        <v>29</v>
      </c>
      <c r="N54" t="s">
        <v>30</v>
      </c>
      <c r="O54">
        <v>37219</v>
      </c>
      <c r="P54" t="s">
        <v>5481</v>
      </c>
      <c r="Q54" s="2">
        <v>0.16</v>
      </c>
      <c r="R54" s="2">
        <v>52</v>
      </c>
      <c r="S54" s="2">
        <v>156</v>
      </c>
      <c r="T54" t="s">
        <v>5482</v>
      </c>
      <c r="U54" s="6">
        <v>24013</v>
      </c>
      <c r="V54" s="2">
        <v>47037013300</v>
      </c>
      <c r="W54" s="2" t="s">
        <v>68</v>
      </c>
      <c r="X54" s="1">
        <v>45658</v>
      </c>
      <c r="Y54" s="2">
        <v>2000</v>
      </c>
      <c r="Z54" s="2">
        <v>0</v>
      </c>
      <c r="AA54" s="2">
        <v>2000</v>
      </c>
    </row>
    <row r="55" spans="1:27" x14ac:dyDescent="0.3">
      <c r="A55" s="3">
        <v>20</v>
      </c>
      <c r="B55" s="2" t="str">
        <f>"09110034900"</f>
        <v>09110034900</v>
      </c>
      <c r="C55" s="2" t="s">
        <v>5483</v>
      </c>
      <c r="D55" t="s">
        <v>29</v>
      </c>
      <c r="E55" s="2" t="s">
        <v>30</v>
      </c>
      <c r="F55" s="2">
        <v>37209</v>
      </c>
      <c r="G55" s="2" t="s">
        <v>64</v>
      </c>
      <c r="H55" t="s">
        <v>211</v>
      </c>
      <c r="I55" s="6">
        <v>40603</v>
      </c>
      <c r="J55" s="2" t="s">
        <v>5484</v>
      </c>
      <c r="K55" s="2">
        <v>0</v>
      </c>
      <c r="L55" t="s">
        <v>35</v>
      </c>
      <c r="M55" t="s">
        <v>29</v>
      </c>
      <c r="N55" t="s">
        <v>30</v>
      </c>
      <c r="O55">
        <v>37219</v>
      </c>
      <c r="P55" t="s">
        <v>5485</v>
      </c>
      <c r="Q55" s="2">
        <v>0.15</v>
      </c>
      <c r="R55" s="2">
        <v>50</v>
      </c>
      <c r="S55" s="2">
        <v>137</v>
      </c>
      <c r="T55" t="s">
        <v>5486</v>
      </c>
      <c r="U55" s="6">
        <v>21125</v>
      </c>
      <c r="V55" s="2">
        <v>47037013300</v>
      </c>
      <c r="W55" s="2" t="s">
        <v>68</v>
      </c>
      <c r="X55" s="1">
        <v>45658</v>
      </c>
      <c r="Y55" s="2">
        <v>2000</v>
      </c>
      <c r="Z55" s="2">
        <v>0</v>
      </c>
      <c r="AA55" s="2">
        <v>2000</v>
      </c>
    </row>
    <row r="56" spans="1:27" x14ac:dyDescent="0.3">
      <c r="A56" s="3">
        <v>20</v>
      </c>
      <c r="B56" s="2" t="str">
        <f>"09110035500"</f>
        <v>09110035500</v>
      </c>
      <c r="C56" s="2" t="s">
        <v>5487</v>
      </c>
      <c r="D56" t="s">
        <v>29</v>
      </c>
      <c r="E56" s="2" t="s">
        <v>30</v>
      </c>
      <c r="F56" s="2">
        <v>37209</v>
      </c>
      <c r="G56" s="2" t="s">
        <v>64</v>
      </c>
      <c r="H56" t="s">
        <v>211</v>
      </c>
      <c r="I56" s="6">
        <v>40723</v>
      </c>
      <c r="J56" s="2" t="s">
        <v>5488</v>
      </c>
      <c r="K56" s="2">
        <v>0</v>
      </c>
      <c r="L56" t="s">
        <v>35</v>
      </c>
      <c r="M56" t="s">
        <v>29</v>
      </c>
      <c r="N56" t="s">
        <v>30</v>
      </c>
      <c r="O56">
        <v>37219</v>
      </c>
      <c r="P56" t="s">
        <v>5489</v>
      </c>
      <c r="Q56" s="2">
        <v>0.15</v>
      </c>
      <c r="R56" s="2">
        <v>24</v>
      </c>
      <c r="S56" s="2">
        <v>108</v>
      </c>
      <c r="T56" t="s">
        <v>5490</v>
      </c>
      <c r="U56" s="6">
        <v>22816</v>
      </c>
      <c r="V56" s="2">
        <v>47037013300</v>
      </c>
      <c r="W56" s="2" t="s">
        <v>68</v>
      </c>
      <c r="X56" s="1">
        <v>45658</v>
      </c>
      <c r="Y56" s="2">
        <v>2000</v>
      </c>
      <c r="Z56" s="2">
        <v>0</v>
      </c>
      <c r="AA56" s="2">
        <v>2000</v>
      </c>
    </row>
    <row r="57" spans="1:27" x14ac:dyDescent="0.3">
      <c r="A57" s="3">
        <v>20</v>
      </c>
      <c r="B57" s="2" t="str">
        <f>"09110035600"</f>
        <v>09110035600</v>
      </c>
      <c r="C57" s="2" t="s">
        <v>5296</v>
      </c>
      <c r="D57" t="s">
        <v>29</v>
      </c>
      <c r="E57" s="2" t="s">
        <v>30</v>
      </c>
      <c r="F57" s="2">
        <v>37209</v>
      </c>
      <c r="G57" s="2" t="s">
        <v>64</v>
      </c>
      <c r="H57" t="s">
        <v>211</v>
      </c>
      <c r="I57" s="6">
        <v>28236</v>
      </c>
      <c r="J57" s="2" t="s">
        <v>5491</v>
      </c>
      <c r="K57" s="2">
        <v>219</v>
      </c>
      <c r="L57" t="s">
        <v>35</v>
      </c>
      <c r="M57" t="s">
        <v>29</v>
      </c>
      <c r="N57" t="s">
        <v>30</v>
      </c>
      <c r="O57">
        <v>37219</v>
      </c>
      <c r="P57" t="s">
        <v>5492</v>
      </c>
      <c r="Q57" s="2">
        <v>0.27</v>
      </c>
      <c r="R57" s="2">
        <v>50</v>
      </c>
      <c r="S57" s="2">
        <v>170</v>
      </c>
      <c r="T57" t="s">
        <v>5490</v>
      </c>
      <c r="U57" s="6">
        <v>22816</v>
      </c>
      <c r="V57" s="2">
        <v>47037013300</v>
      </c>
      <c r="W57" s="2" t="s">
        <v>68</v>
      </c>
      <c r="X57" s="1">
        <v>45658</v>
      </c>
      <c r="Y57" s="2">
        <v>2000</v>
      </c>
      <c r="Z57" s="2">
        <v>0</v>
      </c>
      <c r="AA57" s="2">
        <v>2000</v>
      </c>
    </row>
    <row r="58" spans="1:27" x14ac:dyDescent="0.3">
      <c r="A58" s="3">
        <v>20</v>
      </c>
      <c r="B58" s="2" t="str">
        <f>"09110040100"</f>
        <v>09110040100</v>
      </c>
      <c r="C58" s="2" t="s">
        <v>5493</v>
      </c>
      <c r="D58" t="s">
        <v>29</v>
      </c>
      <c r="E58" s="2" t="s">
        <v>30</v>
      </c>
      <c r="F58" s="2">
        <v>37209</v>
      </c>
      <c r="G58" s="2" t="s">
        <v>64</v>
      </c>
      <c r="H58" t="s">
        <v>211</v>
      </c>
      <c r="I58" s="6">
        <v>40591</v>
      </c>
      <c r="J58" s="2" t="s">
        <v>5494</v>
      </c>
      <c r="K58" s="2">
        <v>0</v>
      </c>
      <c r="L58" t="s">
        <v>35</v>
      </c>
      <c r="M58" t="s">
        <v>29</v>
      </c>
      <c r="N58" t="s">
        <v>30</v>
      </c>
      <c r="O58">
        <v>37219</v>
      </c>
      <c r="P58" t="s">
        <v>5495</v>
      </c>
      <c r="Q58" s="2">
        <v>0.17</v>
      </c>
      <c r="R58" s="2">
        <v>60</v>
      </c>
      <c r="S58" s="2">
        <v>108</v>
      </c>
      <c r="T58" t="s">
        <v>5496</v>
      </c>
      <c r="U58" s="6">
        <v>27180</v>
      </c>
      <c r="V58" s="2">
        <v>47037013300</v>
      </c>
      <c r="W58" s="2" t="s">
        <v>68</v>
      </c>
      <c r="X58" s="1">
        <v>45658</v>
      </c>
      <c r="Y58" s="2">
        <v>2000</v>
      </c>
      <c r="Z58" s="2">
        <v>0</v>
      </c>
      <c r="AA58" s="2">
        <v>2000</v>
      </c>
    </row>
    <row r="59" spans="1:27" x14ac:dyDescent="0.3">
      <c r="A59" s="3">
        <v>20</v>
      </c>
      <c r="B59" s="2" t="str">
        <f>"09110040000"</f>
        <v>09110040000</v>
      </c>
      <c r="C59" s="2" t="s">
        <v>5296</v>
      </c>
      <c r="D59" t="s">
        <v>29</v>
      </c>
      <c r="E59" s="2" t="s">
        <v>30</v>
      </c>
      <c r="F59" s="2">
        <v>37209</v>
      </c>
      <c r="G59" s="2" t="s">
        <v>64</v>
      </c>
      <c r="H59" t="s">
        <v>211</v>
      </c>
      <c r="I59" s="6">
        <v>41586</v>
      </c>
      <c r="J59" s="2" t="s">
        <v>5497</v>
      </c>
      <c r="K59" s="2">
        <v>0</v>
      </c>
      <c r="L59" t="s">
        <v>343</v>
      </c>
      <c r="M59" t="s">
        <v>29</v>
      </c>
      <c r="N59" t="s">
        <v>30</v>
      </c>
      <c r="O59">
        <v>37201</v>
      </c>
      <c r="P59" t="s">
        <v>5498</v>
      </c>
      <c r="Q59" s="2">
        <v>1.18</v>
      </c>
      <c r="R59" s="2">
        <v>280</v>
      </c>
      <c r="S59" s="2">
        <v>161</v>
      </c>
      <c r="T59" t="s">
        <v>5499</v>
      </c>
      <c r="U59" s="6">
        <v>37148</v>
      </c>
      <c r="V59" s="2">
        <v>47037013300</v>
      </c>
      <c r="W59" s="2" t="s">
        <v>68</v>
      </c>
      <c r="X59" s="1">
        <v>45658</v>
      </c>
      <c r="Y59" s="2">
        <v>2400</v>
      </c>
      <c r="Z59" s="2">
        <v>0</v>
      </c>
      <c r="AA59" s="2">
        <v>2400</v>
      </c>
    </row>
    <row r="60" spans="1:27" x14ac:dyDescent="0.3">
      <c r="A60" s="3">
        <v>20</v>
      </c>
      <c r="B60" s="2" t="str">
        <f>"09110001700"</f>
        <v>09110001700</v>
      </c>
      <c r="C60" s="2" t="s">
        <v>5500</v>
      </c>
      <c r="D60" t="s">
        <v>29</v>
      </c>
      <c r="E60" s="2" t="s">
        <v>30</v>
      </c>
      <c r="F60" s="2">
        <v>37209</v>
      </c>
      <c r="G60" s="2" t="s">
        <v>64</v>
      </c>
      <c r="H60" t="s">
        <v>211</v>
      </c>
      <c r="I60" s="6">
        <v>28948</v>
      </c>
      <c r="J60" s="2" t="s">
        <v>5501</v>
      </c>
      <c r="K60" s="2">
        <v>462</v>
      </c>
      <c r="L60" t="s">
        <v>35</v>
      </c>
      <c r="M60" t="s">
        <v>29</v>
      </c>
      <c r="N60" t="s">
        <v>30</v>
      </c>
      <c r="O60">
        <v>37219</v>
      </c>
      <c r="P60" t="s">
        <v>5502</v>
      </c>
      <c r="Q60" s="2">
        <v>1.19</v>
      </c>
      <c r="R60" s="2">
        <v>0</v>
      </c>
      <c r="S60" s="2">
        <v>0</v>
      </c>
      <c r="T60" t="s">
        <v>5503</v>
      </c>
      <c r="U60" s="6">
        <v>20381</v>
      </c>
      <c r="V60" s="2">
        <v>47037013300</v>
      </c>
      <c r="W60" s="2" t="s">
        <v>68</v>
      </c>
      <c r="X60" s="1">
        <v>45658</v>
      </c>
      <c r="Y60" s="2">
        <v>2400</v>
      </c>
      <c r="Z60" s="2">
        <v>0</v>
      </c>
      <c r="AA60" s="2">
        <v>2400</v>
      </c>
    </row>
    <row r="61" spans="1:27" x14ac:dyDescent="0.3">
      <c r="A61" s="3">
        <v>20</v>
      </c>
      <c r="B61" s="2" t="str">
        <f>"09105017200"</f>
        <v>09105017200</v>
      </c>
      <c r="C61" s="2" t="s">
        <v>5504</v>
      </c>
      <c r="D61" t="s">
        <v>29</v>
      </c>
      <c r="E61" s="2" t="s">
        <v>30</v>
      </c>
      <c r="F61" s="2">
        <v>37209</v>
      </c>
      <c r="G61" s="2" t="s">
        <v>200</v>
      </c>
      <c r="H61" t="s">
        <v>5505</v>
      </c>
      <c r="I61" s="6">
        <v>18898</v>
      </c>
      <c r="J61" s="2" t="s">
        <v>5506</v>
      </c>
      <c r="K61" s="2">
        <v>0</v>
      </c>
      <c r="L61" t="s">
        <v>35</v>
      </c>
      <c r="M61" t="s">
        <v>29</v>
      </c>
      <c r="N61" t="s">
        <v>30</v>
      </c>
      <c r="O61">
        <v>37219</v>
      </c>
      <c r="P61" t="s">
        <v>5507</v>
      </c>
      <c r="Q61" s="2">
        <v>33.049999999999997</v>
      </c>
      <c r="R61" s="2">
        <v>0</v>
      </c>
      <c r="S61" s="2">
        <v>0</v>
      </c>
      <c r="T61" t="s">
        <v>278</v>
      </c>
      <c r="U61" s="6">
        <v>36580</v>
      </c>
      <c r="V61" s="2">
        <v>47037013300</v>
      </c>
      <c r="W61" s="2" t="s">
        <v>68</v>
      </c>
      <c r="X61" s="1">
        <v>45658</v>
      </c>
      <c r="Y61" s="2">
        <v>66100</v>
      </c>
      <c r="Z61" s="2">
        <v>0</v>
      </c>
      <c r="AA61" s="2">
        <v>66100</v>
      </c>
    </row>
    <row r="62" spans="1:27" x14ac:dyDescent="0.3">
      <c r="A62" s="3">
        <v>20</v>
      </c>
      <c r="B62" s="2" t="str">
        <f>"07900005700"</f>
        <v>07900005700</v>
      </c>
      <c r="C62" s="2" t="s">
        <v>5508</v>
      </c>
      <c r="D62" t="s">
        <v>29</v>
      </c>
      <c r="E62" s="2" t="s">
        <v>30</v>
      </c>
      <c r="F62" s="2">
        <v>37209</v>
      </c>
      <c r="G62" s="2" t="s">
        <v>1485</v>
      </c>
      <c r="H62" t="s">
        <v>5509</v>
      </c>
      <c r="I62" s="6">
        <v>33297</v>
      </c>
      <c r="J62" s="2" t="s">
        <v>5510</v>
      </c>
      <c r="K62" s="2">
        <v>787636</v>
      </c>
      <c r="L62" t="s">
        <v>35</v>
      </c>
      <c r="M62" t="s">
        <v>29</v>
      </c>
      <c r="N62" t="s">
        <v>30</v>
      </c>
      <c r="O62">
        <v>37219</v>
      </c>
      <c r="P62" t="s">
        <v>5511</v>
      </c>
      <c r="Q62" s="2">
        <v>6.53</v>
      </c>
      <c r="R62" s="2">
        <v>0</v>
      </c>
      <c r="S62" s="2">
        <v>0</v>
      </c>
      <c r="T62" t="s">
        <v>5510</v>
      </c>
      <c r="U62" s="6">
        <v>33297</v>
      </c>
      <c r="V62" s="2">
        <v>47037013000</v>
      </c>
      <c r="W62" s="2" t="s">
        <v>68</v>
      </c>
      <c r="X62" s="1">
        <v>45658</v>
      </c>
      <c r="Y62" s="2">
        <v>992600</v>
      </c>
      <c r="Z62" s="2">
        <v>0</v>
      </c>
      <c r="AA62" s="2">
        <v>992600</v>
      </c>
    </row>
    <row r="63" spans="1:27" x14ac:dyDescent="0.3">
      <c r="A63" s="3">
        <v>20</v>
      </c>
      <c r="B63" s="2" t="str">
        <f>"10203019500"</f>
        <v>10203019500</v>
      </c>
      <c r="C63" s="2" t="s">
        <v>5512</v>
      </c>
      <c r="D63" t="s">
        <v>29</v>
      </c>
      <c r="E63" s="2" t="s">
        <v>30</v>
      </c>
      <c r="F63" s="2">
        <v>37209</v>
      </c>
      <c r="G63" s="2" t="s">
        <v>64</v>
      </c>
      <c r="H63" t="s">
        <v>1332</v>
      </c>
      <c r="I63" s="6">
        <v>28383</v>
      </c>
      <c r="J63" s="2" t="s">
        <v>5513</v>
      </c>
      <c r="K63" s="2">
        <v>223</v>
      </c>
      <c r="L63" t="s">
        <v>35</v>
      </c>
      <c r="M63" t="s">
        <v>29</v>
      </c>
      <c r="N63" t="s">
        <v>30</v>
      </c>
      <c r="O63">
        <v>37219</v>
      </c>
      <c r="P63" t="s">
        <v>5514</v>
      </c>
      <c r="Q63" s="2">
        <v>0.11</v>
      </c>
      <c r="R63" s="2">
        <v>209</v>
      </c>
      <c r="S63" s="2">
        <v>222</v>
      </c>
      <c r="T63" t="s">
        <v>5515</v>
      </c>
      <c r="U63" s="6">
        <v>24107</v>
      </c>
      <c r="V63" s="2">
        <v>47037018101</v>
      </c>
      <c r="W63" s="2" t="s">
        <v>68</v>
      </c>
      <c r="X63" s="1">
        <v>45658</v>
      </c>
      <c r="Y63" s="2">
        <v>800</v>
      </c>
      <c r="Z63" s="2">
        <v>0</v>
      </c>
      <c r="AA63" s="2">
        <v>800</v>
      </c>
    </row>
    <row r="64" spans="1:27" x14ac:dyDescent="0.3">
      <c r="A64" s="3">
        <v>20</v>
      </c>
      <c r="B64" s="2" t="str">
        <f>"10203019300"</f>
        <v>10203019300</v>
      </c>
      <c r="C64" s="2" t="s">
        <v>5516</v>
      </c>
      <c r="D64" t="s">
        <v>29</v>
      </c>
      <c r="E64" s="2" t="s">
        <v>30</v>
      </c>
      <c r="F64" s="2">
        <v>37209</v>
      </c>
      <c r="G64" s="2" t="s">
        <v>64</v>
      </c>
      <c r="H64" t="s">
        <v>1332</v>
      </c>
      <c r="I64" s="6">
        <v>33073</v>
      </c>
      <c r="J64" s="2" t="s">
        <v>5517</v>
      </c>
      <c r="K64" s="2" t="s">
        <v>34</v>
      </c>
      <c r="L64" t="s">
        <v>35</v>
      </c>
      <c r="M64" t="s">
        <v>29</v>
      </c>
      <c r="N64" t="s">
        <v>30</v>
      </c>
      <c r="O64">
        <v>37219</v>
      </c>
      <c r="P64" t="s">
        <v>5518</v>
      </c>
      <c r="Q64" s="2">
        <v>0.02</v>
      </c>
      <c r="R64" s="2">
        <v>35</v>
      </c>
      <c r="S64" s="2">
        <v>185</v>
      </c>
      <c r="T64" t="s">
        <v>5519</v>
      </c>
      <c r="U64" s="6">
        <v>37657</v>
      </c>
      <c r="V64" s="2">
        <v>47037018101</v>
      </c>
      <c r="W64" s="2" t="s">
        <v>68</v>
      </c>
      <c r="X64" s="1">
        <v>45658</v>
      </c>
      <c r="Y64" s="2">
        <v>800</v>
      </c>
      <c r="Z64" s="2">
        <v>0</v>
      </c>
      <c r="AA64" s="2">
        <v>800</v>
      </c>
    </row>
    <row r="65" spans="1:27" x14ac:dyDescent="0.3">
      <c r="A65" s="3">
        <v>20</v>
      </c>
      <c r="B65" s="2" t="str">
        <f>"10203019400"</f>
        <v>10203019400</v>
      </c>
      <c r="C65" s="2" t="s">
        <v>5512</v>
      </c>
      <c r="D65" t="s">
        <v>29</v>
      </c>
      <c r="E65" s="2" t="s">
        <v>30</v>
      </c>
      <c r="F65" s="2">
        <v>37209</v>
      </c>
      <c r="G65" s="2" t="s">
        <v>64</v>
      </c>
      <c r="H65" t="s">
        <v>1332</v>
      </c>
      <c r="I65" s="6">
        <v>28383</v>
      </c>
      <c r="J65" s="2" t="s">
        <v>5520</v>
      </c>
      <c r="K65" s="2">
        <v>190</v>
      </c>
      <c r="L65" t="s">
        <v>35</v>
      </c>
      <c r="M65" t="s">
        <v>29</v>
      </c>
      <c r="N65" t="s">
        <v>30</v>
      </c>
      <c r="O65">
        <v>37219</v>
      </c>
      <c r="P65" t="s">
        <v>5514</v>
      </c>
      <c r="Q65" s="2">
        <v>0.01</v>
      </c>
      <c r="R65" s="2">
        <v>150</v>
      </c>
      <c r="S65" s="2">
        <v>154</v>
      </c>
      <c r="T65" t="s">
        <v>5515</v>
      </c>
      <c r="U65" s="6">
        <v>24107</v>
      </c>
      <c r="V65" s="2">
        <v>47037018101</v>
      </c>
      <c r="W65" s="2" t="s">
        <v>68</v>
      </c>
      <c r="X65" s="1">
        <v>45658</v>
      </c>
      <c r="Y65" s="2">
        <v>800</v>
      </c>
      <c r="Z65" s="2">
        <v>0</v>
      </c>
      <c r="AA65" s="2">
        <v>800</v>
      </c>
    </row>
    <row r="66" spans="1:27" x14ac:dyDescent="0.3">
      <c r="A66" s="3">
        <v>20</v>
      </c>
      <c r="B66" s="2" t="str">
        <f>"09105019000"</f>
        <v>09105019000</v>
      </c>
      <c r="C66" s="2" t="s">
        <v>5310</v>
      </c>
      <c r="D66" t="s">
        <v>29</v>
      </c>
      <c r="E66" s="2" t="s">
        <v>30</v>
      </c>
      <c r="F66" s="2">
        <v>37209</v>
      </c>
      <c r="G66" s="2" t="s">
        <v>1485</v>
      </c>
      <c r="H66" t="s">
        <v>237</v>
      </c>
      <c r="I66" s="6">
        <v>25168</v>
      </c>
      <c r="J66" s="2" t="s">
        <v>5521</v>
      </c>
      <c r="K66" s="2" t="s">
        <v>34</v>
      </c>
      <c r="L66" t="s">
        <v>35</v>
      </c>
      <c r="M66" t="s">
        <v>29</v>
      </c>
      <c r="N66" t="s">
        <v>30</v>
      </c>
      <c r="O66">
        <v>37219</v>
      </c>
      <c r="P66" t="s">
        <v>5522</v>
      </c>
      <c r="Q66" s="2">
        <v>0.78</v>
      </c>
      <c r="R66" s="2">
        <v>190</v>
      </c>
      <c r="S66" s="2">
        <v>250</v>
      </c>
      <c r="T66" t="s">
        <v>5523</v>
      </c>
      <c r="U66" s="6">
        <v>37230</v>
      </c>
      <c r="V66" s="2">
        <v>47037013300</v>
      </c>
      <c r="W66" s="2" t="s">
        <v>68</v>
      </c>
      <c r="X66" s="1">
        <v>45658</v>
      </c>
      <c r="Y66" s="2">
        <v>146300</v>
      </c>
      <c r="Z66" s="2">
        <v>0</v>
      </c>
      <c r="AA66" s="2">
        <v>146300</v>
      </c>
    </row>
    <row r="67" spans="1:27" x14ac:dyDescent="0.3">
      <c r="A67" s="3">
        <v>20</v>
      </c>
      <c r="B67" s="2" t="str">
        <f>"09110041100"</f>
        <v>09110041100</v>
      </c>
      <c r="C67" s="2" t="s">
        <v>5500</v>
      </c>
      <c r="D67" t="s">
        <v>29</v>
      </c>
      <c r="E67" s="2" t="s">
        <v>30</v>
      </c>
      <c r="F67" s="2">
        <v>37209</v>
      </c>
      <c r="G67" s="2" t="s">
        <v>64</v>
      </c>
      <c r="H67" t="s">
        <v>237</v>
      </c>
      <c r="I67" s="6">
        <v>25178</v>
      </c>
      <c r="J67" s="2" t="s">
        <v>5524</v>
      </c>
      <c r="K67" s="2" t="s">
        <v>34</v>
      </c>
      <c r="L67" t="s">
        <v>35</v>
      </c>
      <c r="M67" t="s">
        <v>29</v>
      </c>
      <c r="N67" t="s">
        <v>30</v>
      </c>
      <c r="O67">
        <v>37219</v>
      </c>
      <c r="P67" t="s">
        <v>5525</v>
      </c>
      <c r="Q67" s="2">
        <v>5.75</v>
      </c>
      <c r="R67" s="2">
        <v>0</v>
      </c>
      <c r="S67" s="2">
        <v>0</v>
      </c>
      <c r="T67" t="s">
        <v>5523</v>
      </c>
      <c r="U67" s="6">
        <v>37230</v>
      </c>
      <c r="V67" s="2">
        <v>47037013300</v>
      </c>
      <c r="W67" s="2" t="s">
        <v>68</v>
      </c>
      <c r="X67" s="1">
        <v>45658</v>
      </c>
      <c r="Y67" s="2">
        <v>11500</v>
      </c>
      <c r="Z67" s="2">
        <v>0</v>
      </c>
      <c r="AA67" s="2">
        <v>11500</v>
      </c>
    </row>
    <row r="68" spans="1:27" x14ac:dyDescent="0.3">
      <c r="A68" s="3">
        <v>20</v>
      </c>
      <c r="B68" s="2" t="str">
        <f>"09016016900"</f>
        <v>09016016900</v>
      </c>
      <c r="C68" s="2" t="s">
        <v>5526</v>
      </c>
      <c r="D68" t="s">
        <v>29</v>
      </c>
      <c r="E68" s="2" t="s">
        <v>30</v>
      </c>
      <c r="F68" s="2">
        <v>37209</v>
      </c>
      <c r="G68" s="2" t="s">
        <v>253</v>
      </c>
      <c r="H68" t="s">
        <v>5527</v>
      </c>
      <c r="I68" s="6">
        <v>21360</v>
      </c>
      <c r="J68" s="2" t="s">
        <v>5528</v>
      </c>
      <c r="K68" s="2" t="s">
        <v>34</v>
      </c>
      <c r="L68" t="s">
        <v>35</v>
      </c>
      <c r="M68" t="s">
        <v>29</v>
      </c>
      <c r="N68" t="s">
        <v>30</v>
      </c>
      <c r="O68">
        <v>37219</v>
      </c>
      <c r="P68" t="s">
        <v>5529</v>
      </c>
      <c r="Q68" s="2">
        <v>10.58</v>
      </c>
      <c r="R68" s="2">
        <v>0</v>
      </c>
      <c r="S68" s="2">
        <v>0</v>
      </c>
      <c r="T68" t="s">
        <v>5528</v>
      </c>
      <c r="U68" s="6">
        <v>21360</v>
      </c>
      <c r="V68" s="2">
        <v>47037013201</v>
      </c>
      <c r="W68" s="2" t="s">
        <v>68</v>
      </c>
      <c r="X68" s="1">
        <v>45658</v>
      </c>
      <c r="Y68" s="2">
        <v>650300</v>
      </c>
      <c r="Z68" s="2">
        <v>0</v>
      </c>
      <c r="AA68" s="2">
        <v>650300</v>
      </c>
    </row>
    <row r="69" spans="1:27" x14ac:dyDescent="0.3">
      <c r="A69" s="3">
        <v>20</v>
      </c>
      <c r="B69" s="2" t="str">
        <f>"09111028400"</f>
        <v>09111028400</v>
      </c>
      <c r="C69" s="2" t="s">
        <v>5530</v>
      </c>
      <c r="D69" t="s">
        <v>29</v>
      </c>
      <c r="E69" s="2" t="s">
        <v>30</v>
      </c>
      <c r="F69" s="2">
        <v>37209</v>
      </c>
      <c r="G69" s="2" t="s">
        <v>253</v>
      </c>
      <c r="H69" t="s">
        <v>5531</v>
      </c>
      <c r="I69" s="6">
        <v>14374</v>
      </c>
      <c r="J69" s="2" t="s">
        <v>5532</v>
      </c>
      <c r="K69" s="2" t="s">
        <v>34</v>
      </c>
      <c r="L69" t="s">
        <v>35</v>
      </c>
      <c r="M69" t="s">
        <v>29</v>
      </c>
      <c r="N69" t="s">
        <v>30</v>
      </c>
      <c r="O69">
        <v>37219</v>
      </c>
      <c r="P69" t="s">
        <v>5533</v>
      </c>
      <c r="Q69" s="2">
        <v>11.3</v>
      </c>
      <c r="R69" s="2">
        <v>0</v>
      </c>
      <c r="S69" s="2">
        <v>0</v>
      </c>
      <c r="T69" t="s">
        <v>5532</v>
      </c>
      <c r="U69" s="6">
        <v>14374</v>
      </c>
      <c r="V69" s="2">
        <v>47037013300</v>
      </c>
      <c r="W69" s="2" t="s">
        <v>68</v>
      </c>
      <c r="X69" s="1">
        <v>45658</v>
      </c>
      <c r="Y69" s="2">
        <v>443400</v>
      </c>
      <c r="Z69" s="2">
        <v>0</v>
      </c>
      <c r="AA69" s="2">
        <v>443400</v>
      </c>
    </row>
    <row r="70" spans="1:27" x14ac:dyDescent="0.3">
      <c r="A70" s="3">
        <v>20</v>
      </c>
      <c r="B70" s="2" t="str">
        <f>"09106021600"</f>
        <v>09106021600</v>
      </c>
      <c r="C70" s="2" t="s">
        <v>5534</v>
      </c>
      <c r="D70" t="s">
        <v>29</v>
      </c>
      <c r="E70" s="2" t="s">
        <v>30</v>
      </c>
      <c r="F70" s="2">
        <v>37209</v>
      </c>
      <c r="G70" s="2" t="s">
        <v>253</v>
      </c>
      <c r="H70" t="s">
        <v>5535</v>
      </c>
      <c r="I70" s="6">
        <v>27395</v>
      </c>
      <c r="J70" s="2" t="s">
        <v>5536</v>
      </c>
      <c r="K70" s="2" t="s">
        <v>34</v>
      </c>
      <c r="L70" t="s">
        <v>35</v>
      </c>
      <c r="M70" t="s">
        <v>29</v>
      </c>
      <c r="N70" t="s">
        <v>30</v>
      </c>
      <c r="O70">
        <v>37219</v>
      </c>
      <c r="P70" t="s">
        <v>5537</v>
      </c>
      <c r="Q70" s="2">
        <v>2.41</v>
      </c>
      <c r="R70" s="2">
        <v>325</v>
      </c>
      <c r="S70" s="2">
        <v>320</v>
      </c>
      <c r="T70" t="s">
        <v>5538</v>
      </c>
      <c r="U70" s="6">
        <v>3008</v>
      </c>
      <c r="V70" s="2">
        <v>47037013300</v>
      </c>
      <c r="W70" s="2" t="s">
        <v>68</v>
      </c>
      <c r="X70" s="1">
        <v>45658</v>
      </c>
      <c r="Y70" s="2">
        <v>285800</v>
      </c>
      <c r="Z70" s="2">
        <v>0</v>
      </c>
      <c r="AA70" s="2">
        <v>285800</v>
      </c>
    </row>
    <row r="71" spans="1:27" x14ac:dyDescent="0.3">
      <c r="A71" s="3">
        <v>20</v>
      </c>
      <c r="B71" s="2" t="str">
        <f>"09113030500"</f>
        <v>09113030500</v>
      </c>
      <c r="C71" s="2" t="s">
        <v>5539</v>
      </c>
      <c r="D71" t="s">
        <v>29</v>
      </c>
      <c r="E71" s="2" t="s">
        <v>30</v>
      </c>
      <c r="F71" s="2">
        <v>37209</v>
      </c>
      <c r="G71" s="2" t="s">
        <v>253</v>
      </c>
      <c r="H71" t="s">
        <v>5540</v>
      </c>
      <c r="I71" s="6">
        <v>14789</v>
      </c>
      <c r="J71" s="2" t="s">
        <v>5541</v>
      </c>
      <c r="K71" s="2" t="s">
        <v>34</v>
      </c>
      <c r="L71" t="s">
        <v>35</v>
      </c>
      <c r="M71" t="s">
        <v>29</v>
      </c>
      <c r="N71" t="s">
        <v>30</v>
      </c>
      <c r="O71">
        <v>37219</v>
      </c>
      <c r="P71" t="s">
        <v>5542</v>
      </c>
      <c r="Q71" s="2">
        <v>4.5</v>
      </c>
      <c r="R71" s="2">
        <v>444</v>
      </c>
      <c r="S71" s="2">
        <v>335</v>
      </c>
      <c r="T71" t="s">
        <v>5541</v>
      </c>
      <c r="U71" s="6">
        <v>14789</v>
      </c>
      <c r="V71" s="2">
        <v>47037018101</v>
      </c>
      <c r="W71" s="2" t="s">
        <v>68</v>
      </c>
      <c r="X71" s="1">
        <v>45658</v>
      </c>
      <c r="Y71" s="2">
        <v>254600</v>
      </c>
      <c r="Z71" s="2">
        <v>0</v>
      </c>
      <c r="AA71" s="2">
        <v>254600</v>
      </c>
    </row>
    <row r="72" spans="1:27" x14ac:dyDescent="0.3">
      <c r="A72" s="3">
        <v>20</v>
      </c>
      <c r="B72" s="2" t="str">
        <f>"09111024100"</f>
        <v>09111024100</v>
      </c>
      <c r="C72" s="2" t="s">
        <v>5543</v>
      </c>
      <c r="D72" t="s">
        <v>29</v>
      </c>
      <c r="E72" s="2" t="s">
        <v>30</v>
      </c>
      <c r="F72" s="2">
        <v>37209</v>
      </c>
      <c r="G72" s="2" t="s">
        <v>253</v>
      </c>
      <c r="H72" t="s">
        <v>5544</v>
      </c>
      <c r="I72" s="6">
        <v>27395</v>
      </c>
      <c r="J72" s="2" t="s">
        <v>5545</v>
      </c>
      <c r="K72" s="2" t="s">
        <v>34</v>
      </c>
      <c r="L72" t="s">
        <v>35</v>
      </c>
      <c r="M72" t="s">
        <v>29</v>
      </c>
      <c r="N72" t="s">
        <v>30</v>
      </c>
      <c r="O72">
        <v>37219</v>
      </c>
      <c r="P72" t="s">
        <v>5546</v>
      </c>
      <c r="Q72" s="2">
        <v>6.63</v>
      </c>
      <c r="R72" s="2">
        <v>0</v>
      </c>
      <c r="S72" s="2">
        <v>0</v>
      </c>
      <c r="T72" t="s">
        <v>5547</v>
      </c>
      <c r="U72" s="6">
        <v>22679</v>
      </c>
      <c r="V72" s="2">
        <v>47037013300</v>
      </c>
      <c r="W72" s="2" t="s">
        <v>68</v>
      </c>
      <c r="X72" s="1">
        <v>45658</v>
      </c>
      <c r="Y72" s="2">
        <v>371500</v>
      </c>
      <c r="Z72" s="2">
        <v>0</v>
      </c>
      <c r="AA72" s="2">
        <v>371500</v>
      </c>
    </row>
    <row r="73" spans="1:27" x14ac:dyDescent="0.3">
      <c r="A73" s="3">
        <v>20</v>
      </c>
      <c r="B73" s="2" t="str">
        <f>"09110044000"</f>
        <v>09110044000</v>
      </c>
      <c r="C73" s="2" t="s">
        <v>5548</v>
      </c>
      <c r="D73" t="s">
        <v>29</v>
      </c>
      <c r="E73" s="2" t="s">
        <v>30</v>
      </c>
      <c r="F73" s="2">
        <v>37209</v>
      </c>
      <c r="G73" s="2" t="s">
        <v>64</v>
      </c>
      <c r="H73" t="s">
        <v>280</v>
      </c>
      <c r="I73" s="6">
        <v>40653</v>
      </c>
      <c r="J73" s="2" t="s">
        <v>5549</v>
      </c>
      <c r="K73" s="2">
        <v>0</v>
      </c>
      <c r="L73" t="s">
        <v>35</v>
      </c>
      <c r="M73" t="s">
        <v>29</v>
      </c>
      <c r="N73" t="s">
        <v>30</v>
      </c>
      <c r="O73">
        <v>37219</v>
      </c>
      <c r="P73" t="s">
        <v>5550</v>
      </c>
      <c r="Q73" s="2">
        <v>7.0000000000000007E-2</v>
      </c>
      <c r="R73" s="2">
        <v>0</v>
      </c>
      <c r="S73" s="2">
        <v>62</v>
      </c>
      <c r="T73" t="s">
        <v>5551</v>
      </c>
      <c r="U73" s="6">
        <v>29550</v>
      </c>
      <c r="V73" s="2">
        <v>47037013300</v>
      </c>
      <c r="W73" s="2" t="s">
        <v>68</v>
      </c>
      <c r="X73" s="1">
        <v>45658</v>
      </c>
      <c r="Y73" s="2">
        <v>2000</v>
      </c>
      <c r="Z73" s="2">
        <v>0</v>
      </c>
      <c r="AA73" s="2">
        <v>2000</v>
      </c>
    </row>
    <row r="74" spans="1:27" x14ac:dyDescent="0.3">
      <c r="A74" s="3">
        <v>20</v>
      </c>
      <c r="B74" s="2" t="str">
        <f>"09110010900"</f>
        <v>09110010900</v>
      </c>
      <c r="C74" s="2" t="s">
        <v>5552</v>
      </c>
      <c r="D74" t="s">
        <v>29</v>
      </c>
      <c r="E74" s="2" t="s">
        <v>30</v>
      </c>
      <c r="F74" s="2">
        <v>37209</v>
      </c>
      <c r="G74" s="2" t="s">
        <v>64</v>
      </c>
      <c r="H74" t="s">
        <v>280</v>
      </c>
      <c r="I74" s="6">
        <v>42859</v>
      </c>
      <c r="J74" s="2" t="s">
        <v>5553</v>
      </c>
      <c r="K74" s="2">
        <v>0</v>
      </c>
      <c r="L74" t="s">
        <v>343</v>
      </c>
      <c r="M74" t="s">
        <v>29</v>
      </c>
      <c r="N74" t="s">
        <v>30</v>
      </c>
      <c r="O74">
        <v>37201</v>
      </c>
      <c r="P74" t="s">
        <v>5554</v>
      </c>
      <c r="Q74" s="2">
        <v>0.14000000000000001</v>
      </c>
      <c r="R74" s="2">
        <v>50</v>
      </c>
      <c r="S74" s="2">
        <v>126</v>
      </c>
      <c r="T74" t="s">
        <v>5555</v>
      </c>
      <c r="U74" s="6">
        <v>24216</v>
      </c>
      <c r="V74" s="2">
        <v>47037013300</v>
      </c>
      <c r="W74" s="2" t="s">
        <v>68</v>
      </c>
      <c r="X74" s="1">
        <v>45658</v>
      </c>
      <c r="Y74" s="2">
        <v>120000</v>
      </c>
      <c r="Z74" s="2">
        <v>0</v>
      </c>
      <c r="AA74" s="2">
        <v>120000</v>
      </c>
    </row>
    <row r="75" spans="1:27" x14ac:dyDescent="0.3">
      <c r="A75" s="3">
        <v>20</v>
      </c>
      <c r="B75" s="2" t="str">
        <f>"09011004700"</f>
        <v>09011004700</v>
      </c>
      <c r="C75" s="2" t="s">
        <v>5292</v>
      </c>
      <c r="D75" t="s">
        <v>29</v>
      </c>
      <c r="E75" s="2" t="s">
        <v>30</v>
      </c>
      <c r="F75" s="2">
        <v>37209</v>
      </c>
      <c r="G75" s="2" t="s">
        <v>64</v>
      </c>
      <c r="H75" t="s">
        <v>280</v>
      </c>
      <c r="I75" s="6">
        <v>21017</v>
      </c>
      <c r="J75" s="2" t="s">
        <v>5556</v>
      </c>
      <c r="K75" s="2" t="s">
        <v>34</v>
      </c>
      <c r="L75" t="s">
        <v>35</v>
      </c>
      <c r="M75" t="s">
        <v>29</v>
      </c>
      <c r="N75" t="s">
        <v>30</v>
      </c>
      <c r="O75">
        <v>37219</v>
      </c>
      <c r="P75" t="s">
        <v>5557</v>
      </c>
      <c r="Q75" s="2">
        <v>1.08</v>
      </c>
      <c r="R75" s="2">
        <v>20</v>
      </c>
      <c r="S75" s="2">
        <v>148</v>
      </c>
      <c r="T75" t="s">
        <v>5556</v>
      </c>
      <c r="U75" s="6">
        <v>21017</v>
      </c>
      <c r="V75" s="2">
        <v>47037013201</v>
      </c>
      <c r="W75" s="2" t="s">
        <v>68</v>
      </c>
      <c r="X75" s="1">
        <v>45658</v>
      </c>
      <c r="Y75" s="2">
        <v>2000</v>
      </c>
      <c r="Z75" s="2">
        <v>0</v>
      </c>
      <c r="AA75" s="2">
        <v>2000</v>
      </c>
    </row>
    <row r="76" spans="1:27" x14ac:dyDescent="0.3">
      <c r="A76" s="3">
        <v>20</v>
      </c>
      <c r="B76" s="2" t="str">
        <f>"09110012300"</f>
        <v>09110012300</v>
      </c>
      <c r="C76" s="2" t="s">
        <v>5558</v>
      </c>
      <c r="D76" t="s">
        <v>29</v>
      </c>
      <c r="E76" s="2" t="s">
        <v>30</v>
      </c>
      <c r="F76" s="2">
        <v>37209</v>
      </c>
      <c r="G76" s="2" t="s">
        <v>64</v>
      </c>
      <c r="H76" t="s">
        <v>280</v>
      </c>
      <c r="I76" s="6">
        <v>40653</v>
      </c>
      <c r="J76" s="2" t="s">
        <v>5559</v>
      </c>
      <c r="K76" s="2">
        <v>0</v>
      </c>
      <c r="L76" t="s">
        <v>35</v>
      </c>
      <c r="M76" t="s">
        <v>29</v>
      </c>
      <c r="N76" t="s">
        <v>30</v>
      </c>
      <c r="O76">
        <v>37219</v>
      </c>
      <c r="P76" t="s">
        <v>5560</v>
      </c>
      <c r="Q76" s="2">
        <v>0.22</v>
      </c>
      <c r="R76" s="2">
        <v>50</v>
      </c>
      <c r="S76" s="2">
        <v>196</v>
      </c>
      <c r="T76" t="s">
        <v>5561</v>
      </c>
      <c r="U76" s="6">
        <v>26722</v>
      </c>
      <c r="V76" s="2">
        <v>47037013300</v>
      </c>
      <c r="W76" s="2" t="s">
        <v>68</v>
      </c>
      <c r="X76" s="1">
        <v>45658</v>
      </c>
      <c r="Y76" s="2">
        <v>2000</v>
      </c>
      <c r="Z76" s="2">
        <v>0</v>
      </c>
      <c r="AA76" s="2">
        <v>2000</v>
      </c>
    </row>
    <row r="77" spans="1:27" x14ac:dyDescent="0.3">
      <c r="A77" s="3">
        <v>20</v>
      </c>
      <c r="B77" s="2" t="str">
        <f>"09110012400"</f>
        <v>09110012400</v>
      </c>
      <c r="C77" s="2" t="s">
        <v>5562</v>
      </c>
      <c r="D77" t="s">
        <v>29</v>
      </c>
      <c r="E77" s="2" t="s">
        <v>30</v>
      </c>
      <c r="F77" s="2">
        <v>37209</v>
      </c>
      <c r="G77" s="2" t="s">
        <v>64</v>
      </c>
      <c r="H77" t="s">
        <v>280</v>
      </c>
      <c r="I77" s="6">
        <v>40598</v>
      </c>
      <c r="J77" s="2" t="s">
        <v>5563</v>
      </c>
      <c r="K77" s="2">
        <v>0</v>
      </c>
      <c r="L77" t="s">
        <v>35</v>
      </c>
      <c r="M77" t="s">
        <v>29</v>
      </c>
      <c r="N77" t="s">
        <v>30</v>
      </c>
      <c r="O77">
        <v>37219</v>
      </c>
      <c r="P77" t="s">
        <v>5564</v>
      </c>
      <c r="Q77" s="2">
        <v>0.14000000000000001</v>
      </c>
      <c r="R77" s="2">
        <v>82</v>
      </c>
      <c r="S77" s="2">
        <v>178</v>
      </c>
      <c r="T77" t="s">
        <v>5565</v>
      </c>
      <c r="U77" s="6">
        <v>26737</v>
      </c>
      <c r="V77" s="2">
        <v>47037013300</v>
      </c>
      <c r="W77" s="2" t="s">
        <v>68</v>
      </c>
      <c r="X77" s="1">
        <v>45658</v>
      </c>
      <c r="Y77" s="2">
        <v>2000</v>
      </c>
      <c r="Z77" s="2">
        <v>0</v>
      </c>
      <c r="AA77" s="2">
        <v>2000</v>
      </c>
    </row>
    <row r="78" spans="1:27" x14ac:dyDescent="0.3">
      <c r="A78" s="3">
        <v>20</v>
      </c>
      <c r="B78" s="2" t="str">
        <f>"09111003200"</f>
        <v>09111003200</v>
      </c>
      <c r="C78" s="2" t="s">
        <v>5566</v>
      </c>
      <c r="D78" t="s">
        <v>29</v>
      </c>
      <c r="E78" s="2" t="s">
        <v>30</v>
      </c>
      <c r="F78" s="2">
        <v>37209</v>
      </c>
      <c r="G78" s="2" t="s">
        <v>194</v>
      </c>
      <c r="H78" t="s">
        <v>280</v>
      </c>
      <c r="I78" s="6">
        <v>45293</v>
      </c>
      <c r="J78" s="2" t="s">
        <v>5567</v>
      </c>
      <c r="K78" s="2" t="s">
        <v>34</v>
      </c>
      <c r="L78" t="s">
        <v>315</v>
      </c>
      <c r="M78" t="s">
        <v>29</v>
      </c>
      <c r="N78" t="s">
        <v>30</v>
      </c>
      <c r="O78">
        <v>37208</v>
      </c>
      <c r="P78" t="s">
        <v>5568</v>
      </c>
      <c r="Q78" s="2">
        <v>0.12</v>
      </c>
      <c r="R78" s="2">
        <v>50</v>
      </c>
      <c r="S78" s="2">
        <v>114</v>
      </c>
      <c r="T78" t="s">
        <v>5569</v>
      </c>
      <c r="U78" s="6">
        <v>21984</v>
      </c>
      <c r="V78" s="2">
        <v>47037013300</v>
      </c>
      <c r="W78" s="2" t="s">
        <v>68</v>
      </c>
      <c r="X78" s="1">
        <v>45658</v>
      </c>
      <c r="Y78" s="2">
        <v>140000</v>
      </c>
      <c r="Z78" s="2">
        <v>0</v>
      </c>
      <c r="AA78" s="2">
        <v>140000</v>
      </c>
    </row>
    <row r="79" spans="1:27" x14ac:dyDescent="0.3">
      <c r="A79" s="3">
        <v>20</v>
      </c>
      <c r="B79" s="2" t="str">
        <f>"09015001200"</f>
        <v>09015001200</v>
      </c>
      <c r="C79" s="2" t="s">
        <v>5570</v>
      </c>
      <c r="D79" t="s">
        <v>29</v>
      </c>
      <c r="E79" s="2" t="s">
        <v>30</v>
      </c>
      <c r="F79" s="2">
        <v>37209</v>
      </c>
      <c r="G79" s="2" t="s">
        <v>152</v>
      </c>
      <c r="H79" t="s">
        <v>280</v>
      </c>
      <c r="I79" s="6">
        <v>22553</v>
      </c>
      <c r="J79" s="2" t="s">
        <v>5571</v>
      </c>
      <c r="K79" s="2" t="s">
        <v>34</v>
      </c>
      <c r="L79" t="s">
        <v>35</v>
      </c>
      <c r="M79" t="s">
        <v>29</v>
      </c>
      <c r="N79" t="s">
        <v>30</v>
      </c>
      <c r="O79">
        <v>37219</v>
      </c>
      <c r="P79" t="s">
        <v>5572</v>
      </c>
      <c r="Q79" s="2">
        <v>0.09</v>
      </c>
      <c r="R79" s="2">
        <v>76</v>
      </c>
      <c r="S79" s="2">
        <v>50</v>
      </c>
      <c r="T79" t="s">
        <v>5571</v>
      </c>
      <c r="U79" s="6">
        <v>22553</v>
      </c>
      <c r="V79" s="2">
        <v>47037013201</v>
      </c>
      <c r="W79" s="2" t="s">
        <v>68</v>
      </c>
      <c r="X79" s="1">
        <v>45658</v>
      </c>
      <c r="Y79" s="2">
        <v>100</v>
      </c>
      <c r="Z79" s="2">
        <v>0</v>
      </c>
      <c r="AA79" s="2">
        <v>100</v>
      </c>
    </row>
    <row r="80" spans="1:27" x14ac:dyDescent="0.3">
      <c r="A80" s="3">
        <v>20</v>
      </c>
      <c r="B80" s="2" t="str">
        <f>"10203003400"</f>
        <v>10203003400</v>
      </c>
      <c r="C80" s="2" t="s">
        <v>5573</v>
      </c>
      <c r="D80" t="s">
        <v>29</v>
      </c>
      <c r="E80" s="2" t="s">
        <v>30</v>
      </c>
      <c r="F80" s="2">
        <v>37209</v>
      </c>
      <c r="G80" s="2" t="s">
        <v>152</v>
      </c>
      <c r="H80" t="s">
        <v>280</v>
      </c>
      <c r="I80" s="6">
        <v>23252</v>
      </c>
      <c r="J80" s="2" t="s">
        <v>5574</v>
      </c>
      <c r="K80" s="2" t="s">
        <v>34</v>
      </c>
      <c r="L80" t="s">
        <v>35</v>
      </c>
      <c r="M80" t="s">
        <v>29</v>
      </c>
      <c r="N80" t="s">
        <v>30</v>
      </c>
      <c r="O80">
        <v>37219</v>
      </c>
      <c r="P80" t="s">
        <v>5575</v>
      </c>
      <c r="Q80" s="2">
        <v>0.39</v>
      </c>
      <c r="R80" s="2">
        <v>118</v>
      </c>
      <c r="S80" s="2">
        <v>265</v>
      </c>
      <c r="T80" t="s">
        <v>5287</v>
      </c>
      <c r="U80" s="6">
        <v>33777</v>
      </c>
      <c r="V80" s="2">
        <v>47037013201</v>
      </c>
      <c r="W80" s="2" t="s">
        <v>68</v>
      </c>
      <c r="X80" s="1">
        <v>45658</v>
      </c>
      <c r="Y80" s="2">
        <v>315000</v>
      </c>
      <c r="Z80" s="2">
        <v>0</v>
      </c>
      <c r="AA80" s="2">
        <v>315000</v>
      </c>
    </row>
    <row r="81" spans="1:27" x14ac:dyDescent="0.3">
      <c r="A81" s="3">
        <v>20</v>
      </c>
      <c r="B81" s="2" t="str">
        <f>"10309006000"</f>
        <v>10309006000</v>
      </c>
      <c r="C81" s="2" t="s">
        <v>5576</v>
      </c>
      <c r="D81" t="s">
        <v>29</v>
      </c>
      <c r="E81" s="2" t="s">
        <v>30</v>
      </c>
      <c r="F81" s="2">
        <v>37209</v>
      </c>
      <c r="G81" s="2" t="s">
        <v>64</v>
      </c>
      <c r="H81" t="s">
        <v>280</v>
      </c>
      <c r="I81" s="6">
        <v>30924</v>
      </c>
      <c r="J81" s="2" t="s">
        <v>5577</v>
      </c>
      <c r="K81" s="2" t="s">
        <v>34</v>
      </c>
      <c r="L81" t="s">
        <v>35</v>
      </c>
      <c r="M81" t="s">
        <v>29</v>
      </c>
      <c r="N81" t="s">
        <v>30</v>
      </c>
      <c r="O81">
        <v>37219</v>
      </c>
      <c r="P81" t="s">
        <v>5578</v>
      </c>
      <c r="Q81" s="2">
        <v>0.3</v>
      </c>
      <c r="R81" s="2">
        <v>150</v>
      </c>
      <c r="S81" s="2">
        <v>100</v>
      </c>
      <c r="T81" t="s">
        <v>5579</v>
      </c>
      <c r="U81" s="6">
        <v>9859</v>
      </c>
      <c r="V81" s="2">
        <v>47037018102</v>
      </c>
      <c r="W81" s="2" t="s">
        <v>68</v>
      </c>
      <c r="X81" s="1">
        <v>45658</v>
      </c>
      <c r="Y81" s="2">
        <v>50000</v>
      </c>
      <c r="Z81" s="2">
        <v>0</v>
      </c>
      <c r="AA81" s="2">
        <v>50000</v>
      </c>
    </row>
    <row r="82" spans="1:27" x14ac:dyDescent="0.3">
      <c r="A82" s="3">
        <v>20</v>
      </c>
      <c r="B82" s="2" t="str">
        <f>"09110010100"</f>
        <v>09110010100</v>
      </c>
      <c r="C82" s="2" t="s">
        <v>5580</v>
      </c>
      <c r="D82" t="s">
        <v>29</v>
      </c>
      <c r="E82" s="2" t="s">
        <v>30</v>
      </c>
      <c r="F82" s="2">
        <v>37209</v>
      </c>
      <c r="G82" s="2" t="s">
        <v>64</v>
      </c>
      <c r="H82" t="s">
        <v>280</v>
      </c>
      <c r="I82" s="6">
        <v>40680</v>
      </c>
      <c r="J82" s="2" t="s">
        <v>5581</v>
      </c>
      <c r="K82" s="2">
        <v>0</v>
      </c>
      <c r="L82" t="s">
        <v>35</v>
      </c>
      <c r="M82" t="s">
        <v>29</v>
      </c>
      <c r="N82" t="s">
        <v>30</v>
      </c>
      <c r="O82">
        <v>37219</v>
      </c>
      <c r="P82" t="s">
        <v>5582</v>
      </c>
      <c r="Q82" s="2">
        <v>0.16</v>
      </c>
      <c r="R82" s="2">
        <v>37</v>
      </c>
      <c r="S82" s="2">
        <v>108</v>
      </c>
      <c r="T82" t="s">
        <v>5583</v>
      </c>
      <c r="U82" s="6">
        <v>25076</v>
      </c>
      <c r="V82" s="2">
        <v>47037013300</v>
      </c>
      <c r="W82" s="2" t="s">
        <v>68</v>
      </c>
      <c r="X82" s="1">
        <v>45658</v>
      </c>
      <c r="Y82" s="2">
        <v>2000</v>
      </c>
      <c r="Z82" s="2">
        <v>0</v>
      </c>
      <c r="AA82" s="2">
        <v>2000</v>
      </c>
    </row>
    <row r="83" spans="1:27" x14ac:dyDescent="0.3">
      <c r="A83" s="3">
        <v>20</v>
      </c>
      <c r="B83" s="2" t="str">
        <f>"09110010000"</f>
        <v>09110010000</v>
      </c>
      <c r="C83" s="2" t="s">
        <v>5584</v>
      </c>
      <c r="D83" t="s">
        <v>29</v>
      </c>
      <c r="E83" s="2" t="s">
        <v>30</v>
      </c>
      <c r="F83" s="2">
        <v>37209</v>
      </c>
      <c r="G83" s="2" t="s">
        <v>64</v>
      </c>
      <c r="H83" t="s">
        <v>280</v>
      </c>
      <c r="I83" s="6">
        <v>40527</v>
      </c>
      <c r="J83" s="2" t="s">
        <v>5585</v>
      </c>
      <c r="K83" s="2">
        <v>0</v>
      </c>
      <c r="L83" t="s">
        <v>35</v>
      </c>
      <c r="M83" t="s">
        <v>29</v>
      </c>
      <c r="N83" t="s">
        <v>30</v>
      </c>
      <c r="O83">
        <v>37219</v>
      </c>
      <c r="P83" t="s">
        <v>5586</v>
      </c>
      <c r="Q83" s="2">
        <v>0.16</v>
      </c>
      <c r="R83" s="2">
        <v>37</v>
      </c>
      <c r="S83" s="2">
        <v>108</v>
      </c>
      <c r="T83" t="s">
        <v>5587</v>
      </c>
      <c r="U83" s="6">
        <v>26375</v>
      </c>
      <c r="V83" s="2">
        <v>47037013300</v>
      </c>
      <c r="W83" s="2" t="s">
        <v>68</v>
      </c>
      <c r="X83" s="1">
        <v>45658</v>
      </c>
      <c r="Y83" s="2">
        <v>2000</v>
      </c>
      <c r="Z83" s="2">
        <v>0</v>
      </c>
      <c r="AA83" s="2">
        <v>2000</v>
      </c>
    </row>
    <row r="84" spans="1:27" x14ac:dyDescent="0.3">
      <c r="A84" s="3">
        <v>20</v>
      </c>
      <c r="B84" s="2" t="str">
        <f>"09110010500"</f>
        <v>09110010500</v>
      </c>
      <c r="C84" s="2" t="s">
        <v>5588</v>
      </c>
      <c r="D84" t="s">
        <v>29</v>
      </c>
      <c r="E84" s="2" t="s">
        <v>30</v>
      </c>
      <c r="F84" s="2">
        <v>37209</v>
      </c>
      <c r="G84" s="2" t="s">
        <v>64</v>
      </c>
      <c r="H84" t="s">
        <v>280</v>
      </c>
      <c r="I84" s="6">
        <v>40631</v>
      </c>
      <c r="J84" s="2" t="s">
        <v>5589</v>
      </c>
      <c r="K84" s="2">
        <v>0</v>
      </c>
      <c r="L84" t="s">
        <v>35</v>
      </c>
      <c r="M84" t="s">
        <v>29</v>
      </c>
      <c r="N84" t="s">
        <v>30</v>
      </c>
      <c r="O84">
        <v>37219</v>
      </c>
      <c r="P84" t="s">
        <v>5590</v>
      </c>
      <c r="Q84" s="2">
        <v>0.22</v>
      </c>
      <c r="R84" s="2">
        <v>50</v>
      </c>
      <c r="S84" s="2">
        <v>188</v>
      </c>
      <c r="T84" t="s">
        <v>5591</v>
      </c>
      <c r="U84" s="6">
        <v>29522</v>
      </c>
      <c r="V84" s="2">
        <v>47037013300</v>
      </c>
      <c r="W84" s="2" t="s">
        <v>68</v>
      </c>
      <c r="X84" s="1">
        <v>45658</v>
      </c>
      <c r="Y84" s="2">
        <v>2000</v>
      </c>
      <c r="Z84" s="2">
        <v>0</v>
      </c>
      <c r="AA84" s="2">
        <v>2000</v>
      </c>
    </row>
    <row r="85" spans="1:27" x14ac:dyDescent="0.3">
      <c r="A85" s="3">
        <v>20</v>
      </c>
      <c r="B85" s="2" t="str">
        <f>"09110009900"</f>
        <v>09110009900</v>
      </c>
      <c r="C85" s="2" t="s">
        <v>5592</v>
      </c>
      <c r="D85" t="s">
        <v>29</v>
      </c>
      <c r="E85" s="2" t="s">
        <v>30</v>
      </c>
      <c r="F85" s="2">
        <v>37209</v>
      </c>
      <c r="G85" s="2" t="s">
        <v>64</v>
      </c>
      <c r="H85" t="s">
        <v>280</v>
      </c>
      <c r="I85" s="6">
        <v>40591</v>
      </c>
      <c r="J85" s="2" t="s">
        <v>5593</v>
      </c>
      <c r="K85" s="2">
        <v>0</v>
      </c>
      <c r="L85" t="s">
        <v>35</v>
      </c>
      <c r="M85" t="s">
        <v>29</v>
      </c>
      <c r="N85" t="s">
        <v>30</v>
      </c>
      <c r="O85">
        <v>37219</v>
      </c>
      <c r="P85" t="s">
        <v>5594</v>
      </c>
      <c r="Q85" s="2">
        <v>0.17</v>
      </c>
      <c r="R85" s="2">
        <v>73</v>
      </c>
      <c r="S85" s="2">
        <v>125</v>
      </c>
      <c r="T85" t="s">
        <v>5595</v>
      </c>
      <c r="U85" s="6">
        <v>20118</v>
      </c>
      <c r="V85" s="2">
        <v>47037013300</v>
      </c>
      <c r="W85" s="2" t="s">
        <v>68</v>
      </c>
      <c r="X85" s="1">
        <v>45658</v>
      </c>
      <c r="Y85" s="2">
        <v>2000</v>
      </c>
      <c r="Z85" s="2">
        <v>0</v>
      </c>
      <c r="AA85" s="2">
        <v>2000</v>
      </c>
    </row>
    <row r="86" spans="1:27" x14ac:dyDescent="0.3">
      <c r="A86" s="3">
        <v>20</v>
      </c>
      <c r="B86" s="2" t="str">
        <f>"09110010600"</f>
        <v>09110010600</v>
      </c>
      <c r="C86" s="2" t="s">
        <v>5596</v>
      </c>
      <c r="D86" t="s">
        <v>29</v>
      </c>
      <c r="E86" s="2" t="s">
        <v>30</v>
      </c>
      <c r="F86" s="2">
        <v>37209</v>
      </c>
      <c r="G86" s="2" t="s">
        <v>64</v>
      </c>
      <c r="H86" t="s">
        <v>280</v>
      </c>
      <c r="I86" s="6">
        <v>40605</v>
      </c>
      <c r="J86" s="2" t="s">
        <v>5597</v>
      </c>
      <c r="K86" s="2">
        <v>0</v>
      </c>
      <c r="L86" t="s">
        <v>35</v>
      </c>
      <c r="M86" t="s">
        <v>29</v>
      </c>
      <c r="N86" t="s">
        <v>30</v>
      </c>
      <c r="O86">
        <v>37219</v>
      </c>
      <c r="P86" t="s">
        <v>5598</v>
      </c>
      <c r="Q86" s="2">
        <v>0.22</v>
      </c>
      <c r="R86" s="2">
        <v>50</v>
      </c>
      <c r="S86" s="2">
        <v>188</v>
      </c>
      <c r="T86" t="s">
        <v>5551</v>
      </c>
      <c r="U86" s="6">
        <v>29550</v>
      </c>
      <c r="V86" s="2">
        <v>47037013300</v>
      </c>
      <c r="W86" s="2" t="s">
        <v>68</v>
      </c>
      <c r="X86" s="1">
        <v>45658</v>
      </c>
      <c r="Y86" s="2">
        <v>2000</v>
      </c>
      <c r="Z86" s="2">
        <v>0</v>
      </c>
      <c r="AA86" s="2">
        <v>2000</v>
      </c>
    </row>
    <row r="87" spans="1:27" x14ac:dyDescent="0.3">
      <c r="A87" s="3">
        <v>20</v>
      </c>
      <c r="B87" s="2" t="str">
        <f>"09110009800"</f>
        <v>09110009800</v>
      </c>
      <c r="C87" s="2" t="s">
        <v>5599</v>
      </c>
      <c r="D87" t="s">
        <v>29</v>
      </c>
      <c r="E87" s="2" t="s">
        <v>30</v>
      </c>
      <c r="F87" s="2">
        <v>37209</v>
      </c>
      <c r="G87" s="2" t="s">
        <v>64</v>
      </c>
      <c r="H87" t="s">
        <v>280</v>
      </c>
      <c r="I87" s="6">
        <v>40591</v>
      </c>
      <c r="J87" s="2" t="s">
        <v>5600</v>
      </c>
      <c r="K87" s="2">
        <v>0</v>
      </c>
      <c r="L87" t="s">
        <v>35</v>
      </c>
      <c r="M87" t="s">
        <v>29</v>
      </c>
      <c r="N87" t="s">
        <v>30</v>
      </c>
      <c r="O87">
        <v>37219</v>
      </c>
      <c r="P87" t="s">
        <v>5601</v>
      </c>
      <c r="Q87" s="2">
        <v>0.14000000000000001</v>
      </c>
      <c r="R87" s="2">
        <v>50</v>
      </c>
      <c r="S87" s="2">
        <v>125</v>
      </c>
      <c r="T87" t="s">
        <v>5602</v>
      </c>
      <c r="U87" s="6">
        <v>19647</v>
      </c>
      <c r="V87" s="2">
        <v>47037013300</v>
      </c>
      <c r="W87" s="2" t="s">
        <v>68</v>
      </c>
      <c r="X87" s="1">
        <v>45658</v>
      </c>
      <c r="Y87" s="2">
        <v>2000</v>
      </c>
      <c r="Z87" s="2">
        <v>0</v>
      </c>
      <c r="AA87" s="2">
        <v>2000</v>
      </c>
    </row>
    <row r="88" spans="1:27" x14ac:dyDescent="0.3">
      <c r="A88" s="3">
        <v>20</v>
      </c>
      <c r="B88" s="2" t="str">
        <f>"09110010700"</f>
        <v>09110010700</v>
      </c>
      <c r="C88" s="2" t="s">
        <v>5603</v>
      </c>
      <c r="D88" t="s">
        <v>29</v>
      </c>
      <c r="E88" s="2" t="s">
        <v>30</v>
      </c>
      <c r="F88" s="2">
        <v>37209</v>
      </c>
      <c r="G88" s="2" t="s">
        <v>64</v>
      </c>
      <c r="H88" t="s">
        <v>280</v>
      </c>
      <c r="I88" s="6">
        <v>40653</v>
      </c>
      <c r="J88" s="2" t="s">
        <v>5549</v>
      </c>
      <c r="K88" s="2">
        <v>0</v>
      </c>
      <c r="L88" t="s">
        <v>35</v>
      </c>
      <c r="M88" t="s">
        <v>29</v>
      </c>
      <c r="N88" t="s">
        <v>30</v>
      </c>
      <c r="O88">
        <v>37219</v>
      </c>
      <c r="P88" t="s">
        <v>5604</v>
      </c>
      <c r="Q88" s="2">
        <v>0.14000000000000001</v>
      </c>
      <c r="R88" s="2">
        <v>50</v>
      </c>
      <c r="S88" s="2">
        <v>125</v>
      </c>
      <c r="T88" t="s">
        <v>5605</v>
      </c>
      <c r="U88" s="6">
        <v>23417</v>
      </c>
      <c r="V88" s="2">
        <v>47037013300</v>
      </c>
      <c r="W88" s="2" t="s">
        <v>68</v>
      </c>
      <c r="X88" s="1">
        <v>45658</v>
      </c>
      <c r="Y88" s="2">
        <v>2000</v>
      </c>
      <c r="Z88" s="2">
        <v>0</v>
      </c>
      <c r="AA88" s="2">
        <v>2000</v>
      </c>
    </row>
    <row r="89" spans="1:27" x14ac:dyDescent="0.3">
      <c r="A89" s="3">
        <v>20</v>
      </c>
      <c r="B89" s="2" t="str">
        <f>"09110009700"</f>
        <v>09110009700</v>
      </c>
      <c r="C89" s="2" t="s">
        <v>5606</v>
      </c>
      <c r="D89" t="s">
        <v>29</v>
      </c>
      <c r="E89" s="2" t="s">
        <v>30</v>
      </c>
      <c r="F89" s="2">
        <v>37209</v>
      </c>
      <c r="G89" s="2" t="s">
        <v>64</v>
      </c>
      <c r="H89" t="s">
        <v>280</v>
      </c>
      <c r="I89" s="6">
        <v>40606</v>
      </c>
      <c r="J89" s="2" t="s">
        <v>5607</v>
      </c>
      <c r="K89" s="2">
        <v>0</v>
      </c>
      <c r="L89" t="s">
        <v>35</v>
      </c>
      <c r="M89" t="s">
        <v>29</v>
      </c>
      <c r="N89" t="s">
        <v>30</v>
      </c>
      <c r="O89">
        <v>37219</v>
      </c>
      <c r="P89" t="s">
        <v>5608</v>
      </c>
      <c r="Q89" s="2">
        <v>0.14000000000000001</v>
      </c>
      <c r="R89" s="2">
        <v>50</v>
      </c>
      <c r="S89" s="2">
        <v>125</v>
      </c>
      <c r="T89" t="s">
        <v>5609</v>
      </c>
      <c r="U89" s="6">
        <v>27317</v>
      </c>
      <c r="V89" s="2">
        <v>47037013300</v>
      </c>
      <c r="W89" s="2" t="s">
        <v>68</v>
      </c>
      <c r="X89" s="1">
        <v>45658</v>
      </c>
      <c r="Y89" s="2">
        <v>2000</v>
      </c>
      <c r="Z89" s="2">
        <v>0</v>
      </c>
      <c r="AA89" s="2">
        <v>2000</v>
      </c>
    </row>
    <row r="90" spans="1:27" x14ac:dyDescent="0.3">
      <c r="A90" s="3">
        <v>20</v>
      </c>
      <c r="B90" s="2" t="str">
        <f>"09110010300"</f>
        <v>09110010300</v>
      </c>
      <c r="C90" s="2" t="s">
        <v>5610</v>
      </c>
      <c r="D90" t="s">
        <v>29</v>
      </c>
      <c r="E90" s="2" t="s">
        <v>30</v>
      </c>
      <c r="F90" s="2">
        <v>37209</v>
      </c>
      <c r="G90" s="2" t="s">
        <v>64</v>
      </c>
      <c r="H90" t="s">
        <v>280</v>
      </c>
      <c r="I90" s="6">
        <v>40658</v>
      </c>
      <c r="J90" s="2" t="s">
        <v>5611</v>
      </c>
      <c r="K90" s="2">
        <v>0</v>
      </c>
      <c r="L90" t="s">
        <v>35</v>
      </c>
      <c r="M90" t="s">
        <v>29</v>
      </c>
      <c r="N90" t="s">
        <v>30</v>
      </c>
      <c r="O90">
        <v>37219</v>
      </c>
      <c r="P90" t="s">
        <v>5612</v>
      </c>
      <c r="Q90" s="2">
        <v>0.16</v>
      </c>
      <c r="R90" s="2">
        <v>37</v>
      </c>
      <c r="S90" s="2">
        <v>251</v>
      </c>
      <c r="T90" t="s">
        <v>5613</v>
      </c>
      <c r="U90" s="6">
        <v>29522</v>
      </c>
      <c r="V90" s="2">
        <v>47037013300</v>
      </c>
      <c r="W90" s="2" t="s">
        <v>68</v>
      </c>
      <c r="X90" s="1">
        <v>45658</v>
      </c>
      <c r="Y90" s="2">
        <v>2000</v>
      </c>
      <c r="Z90" s="2">
        <v>0</v>
      </c>
      <c r="AA90" s="2">
        <v>2000</v>
      </c>
    </row>
    <row r="91" spans="1:27" x14ac:dyDescent="0.3">
      <c r="A91" s="3">
        <v>20</v>
      </c>
      <c r="B91" s="2" t="str">
        <f>"09110010400"</f>
        <v>09110010400</v>
      </c>
      <c r="C91" s="2" t="s">
        <v>5614</v>
      </c>
      <c r="D91" t="s">
        <v>29</v>
      </c>
      <c r="E91" s="2" t="s">
        <v>30</v>
      </c>
      <c r="F91" s="2">
        <v>37209</v>
      </c>
      <c r="G91" s="2" t="s">
        <v>64</v>
      </c>
      <c r="H91" t="s">
        <v>280</v>
      </c>
      <c r="I91" s="6">
        <v>40632</v>
      </c>
      <c r="J91" s="2" t="s">
        <v>5615</v>
      </c>
      <c r="K91" s="2">
        <v>0</v>
      </c>
      <c r="L91" t="s">
        <v>35</v>
      </c>
      <c r="M91" t="s">
        <v>29</v>
      </c>
      <c r="N91" t="s">
        <v>30</v>
      </c>
      <c r="O91">
        <v>37219</v>
      </c>
      <c r="P91" t="s">
        <v>5616</v>
      </c>
      <c r="Q91" s="2">
        <v>0.26</v>
      </c>
      <c r="R91" s="2">
        <v>70</v>
      </c>
      <c r="S91" s="2">
        <v>188</v>
      </c>
      <c r="T91" t="s">
        <v>278</v>
      </c>
      <c r="U91" s="6">
        <v>29587</v>
      </c>
      <c r="V91" s="2">
        <v>47037013300</v>
      </c>
      <c r="W91" s="2" t="s">
        <v>68</v>
      </c>
      <c r="X91" s="1">
        <v>45658</v>
      </c>
      <c r="Y91" s="2">
        <v>2000</v>
      </c>
      <c r="Z91" s="2">
        <v>0</v>
      </c>
      <c r="AA91" s="2">
        <v>2000</v>
      </c>
    </row>
    <row r="92" spans="1:27" x14ac:dyDescent="0.3">
      <c r="A92" s="3">
        <v>20</v>
      </c>
      <c r="B92" s="2" t="str">
        <f>"09110011000"</f>
        <v>09110011000</v>
      </c>
      <c r="C92" s="2" t="s">
        <v>5617</v>
      </c>
      <c r="D92" t="s">
        <v>29</v>
      </c>
      <c r="E92" s="2" t="s">
        <v>30</v>
      </c>
      <c r="F92" s="2">
        <v>37209</v>
      </c>
      <c r="G92" s="2" t="s">
        <v>194</v>
      </c>
      <c r="H92" t="s">
        <v>280</v>
      </c>
      <c r="I92" s="6">
        <v>45167</v>
      </c>
      <c r="J92" s="2" t="s">
        <v>5618</v>
      </c>
      <c r="K92" s="2">
        <v>0</v>
      </c>
      <c r="L92" t="s">
        <v>315</v>
      </c>
      <c r="M92" t="s">
        <v>29</v>
      </c>
      <c r="N92" t="s">
        <v>30</v>
      </c>
      <c r="O92">
        <v>37208</v>
      </c>
      <c r="P92" t="s">
        <v>5619</v>
      </c>
      <c r="Q92" s="2">
        <v>0.19</v>
      </c>
      <c r="R92" s="2">
        <v>57</v>
      </c>
      <c r="S92" s="2">
        <v>189</v>
      </c>
      <c r="T92" t="s">
        <v>5620</v>
      </c>
      <c r="U92" s="6">
        <v>29522</v>
      </c>
      <c r="V92" s="2">
        <v>47037013300</v>
      </c>
      <c r="W92" s="2" t="s">
        <v>68</v>
      </c>
      <c r="X92" s="1">
        <v>45658</v>
      </c>
      <c r="Y92" s="2">
        <v>120000</v>
      </c>
      <c r="Z92" s="2">
        <v>0</v>
      </c>
      <c r="AA92" s="2">
        <v>120000</v>
      </c>
    </row>
    <row r="93" spans="1:27" x14ac:dyDescent="0.3">
      <c r="A93" s="3">
        <v>20</v>
      </c>
      <c r="B93" s="2" t="str">
        <f>"09110011100"</f>
        <v>09110011100</v>
      </c>
      <c r="C93" s="2" t="s">
        <v>5621</v>
      </c>
      <c r="D93" t="s">
        <v>29</v>
      </c>
      <c r="E93" s="2" t="s">
        <v>30</v>
      </c>
      <c r="F93" s="2">
        <v>37209</v>
      </c>
      <c r="G93" s="2" t="s">
        <v>64</v>
      </c>
      <c r="H93" t="s">
        <v>280</v>
      </c>
      <c r="I93" s="6">
        <v>40599</v>
      </c>
      <c r="J93" s="2" t="s">
        <v>5622</v>
      </c>
      <c r="K93" s="2">
        <v>0</v>
      </c>
      <c r="L93" t="s">
        <v>35</v>
      </c>
      <c r="M93" t="s">
        <v>29</v>
      </c>
      <c r="N93" t="s">
        <v>30</v>
      </c>
      <c r="O93">
        <v>37219</v>
      </c>
      <c r="P93" t="s">
        <v>5623</v>
      </c>
      <c r="Q93" s="2">
        <v>0.15</v>
      </c>
      <c r="R93" s="2">
        <v>52</v>
      </c>
      <c r="S93" s="2">
        <v>128</v>
      </c>
      <c r="T93" t="s">
        <v>5624</v>
      </c>
      <c r="U93" s="6">
        <v>18850</v>
      </c>
      <c r="V93" s="2">
        <v>47037013300</v>
      </c>
      <c r="W93" s="2" t="s">
        <v>68</v>
      </c>
      <c r="X93" s="1">
        <v>45658</v>
      </c>
      <c r="Y93" s="2">
        <v>2000</v>
      </c>
      <c r="Z93" s="2">
        <v>0</v>
      </c>
      <c r="AA93" s="2">
        <v>2000</v>
      </c>
    </row>
    <row r="94" spans="1:27" x14ac:dyDescent="0.3">
      <c r="A94" s="3">
        <v>20</v>
      </c>
      <c r="B94" s="2" t="str">
        <f>"09110011300"</f>
        <v>09110011300</v>
      </c>
      <c r="C94" s="2" t="s">
        <v>5625</v>
      </c>
      <c r="D94" t="s">
        <v>29</v>
      </c>
      <c r="E94" s="2" t="s">
        <v>30</v>
      </c>
      <c r="F94" s="2">
        <v>37209</v>
      </c>
      <c r="G94" s="2" t="s">
        <v>64</v>
      </c>
      <c r="H94" t="s">
        <v>280</v>
      </c>
      <c r="I94" s="6">
        <v>40633</v>
      </c>
      <c r="J94" s="2" t="s">
        <v>5626</v>
      </c>
      <c r="K94" s="2">
        <v>0</v>
      </c>
      <c r="L94" t="s">
        <v>35</v>
      </c>
      <c r="M94" t="s">
        <v>29</v>
      </c>
      <c r="N94" t="s">
        <v>30</v>
      </c>
      <c r="O94">
        <v>37219</v>
      </c>
      <c r="P94" t="s">
        <v>5627</v>
      </c>
      <c r="Q94" s="2">
        <v>0.14000000000000001</v>
      </c>
      <c r="R94" s="2">
        <v>48</v>
      </c>
      <c r="S94" s="2">
        <v>139</v>
      </c>
      <c r="T94" t="s">
        <v>5628</v>
      </c>
      <c r="U94" s="6">
        <v>26350</v>
      </c>
      <c r="V94" s="2">
        <v>47037013300</v>
      </c>
      <c r="W94" s="2" t="s">
        <v>68</v>
      </c>
      <c r="X94" s="1">
        <v>45658</v>
      </c>
      <c r="Y94" s="2">
        <v>2000</v>
      </c>
      <c r="Z94" s="2">
        <v>0</v>
      </c>
      <c r="AA94" s="2">
        <v>2000</v>
      </c>
    </row>
    <row r="95" spans="1:27" x14ac:dyDescent="0.3">
      <c r="A95" s="3">
        <v>20</v>
      </c>
      <c r="B95" s="2" t="str">
        <f>"09110011500"</f>
        <v>09110011500</v>
      </c>
      <c r="C95" s="2" t="s">
        <v>5629</v>
      </c>
      <c r="D95" t="s">
        <v>29</v>
      </c>
      <c r="E95" s="2" t="s">
        <v>30</v>
      </c>
      <c r="F95" s="2">
        <v>37209</v>
      </c>
      <c r="G95" s="2" t="s">
        <v>64</v>
      </c>
      <c r="H95" t="s">
        <v>280</v>
      </c>
      <c r="I95" s="6">
        <v>40652</v>
      </c>
      <c r="J95" s="2" t="s">
        <v>5630</v>
      </c>
      <c r="K95" s="2">
        <v>0</v>
      </c>
      <c r="L95" t="s">
        <v>35</v>
      </c>
      <c r="M95" t="s">
        <v>29</v>
      </c>
      <c r="N95" t="s">
        <v>30</v>
      </c>
      <c r="O95">
        <v>37219</v>
      </c>
      <c r="P95" t="s">
        <v>5631</v>
      </c>
      <c r="Q95" s="2">
        <v>0.18</v>
      </c>
      <c r="R95" s="2">
        <v>50</v>
      </c>
      <c r="S95" s="2">
        <v>173</v>
      </c>
      <c r="T95" t="s">
        <v>5632</v>
      </c>
      <c r="U95" s="6">
        <v>24642</v>
      </c>
      <c r="V95" s="2">
        <v>47037013300</v>
      </c>
      <c r="W95" s="2" t="s">
        <v>68</v>
      </c>
      <c r="X95" s="1">
        <v>45658</v>
      </c>
      <c r="Y95" s="2">
        <v>2000</v>
      </c>
      <c r="Z95" s="2">
        <v>0</v>
      </c>
      <c r="AA95" s="2">
        <v>2000</v>
      </c>
    </row>
    <row r="96" spans="1:27" x14ac:dyDescent="0.3">
      <c r="A96" s="3">
        <v>20</v>
      </c>
      <c r="B96" s="2" t="str">
        <f>"09110008900"</f>
        <v>09110008900</v>
      </c>
      <c r="C96" s="2" t="s">
        <v>5633</v>
      </c>
      <c r="D96" t="s">
        <v>29</v>
      </c>
      <c r="E96" s="2" t="s">
        <v>30</v>
      </c>
      <c r="F96" s="2">
        <v>37209</v>
      </c>
      <c r="G96" s="2" t="s">
        <v>64</v>
      </c>
      <c r="H96" t="s">
        <v>280</v>
      </c>
      <c r="I96" s="6">
        <v>40701</v>
      </c>
      <c r="J96" s="2" t="s">
        <v>5634</v>
      </c>
      <c r="K96" s="2">
        <v>0</v>
      </c>
      <c r="L96" t="s">
        <v>35</v>
      </c>
      <c r="M96" t="s">
        <v>29</v>
      </c>
      <c r="N96" t="s">
        <v>30</v>
      </c>
      <c r="O96">
        <v>37219</v>
      </c>
      <c r="P96" t="s">
        <v>5635</v>
      </c>
      <c r="Q96" s="2">
        <v>0.18</v>
      </c>
      <c r="R96" s="2">
        <v>59</v>
      </c>
      <c r="S96" s="2">
        <v>109</v>
      </c>
      <c r="T96" t="s">
        <v>5636</v>
      </c>
      <c r="U96" s="6">
        <v>27117</v>
      </c>
      <c r="V96" s="2">
        <v>47037013300</v>
      </c>
      <c r="W96" s="2" t="s">
        <v>68</v>
      </c>
      <c r="X96" s="1">
        <v>45658</v>
      </c>
      <c r="Y96" s="2">
        <v>2000</v>
      </c>
      <c r="Z96" s="2">
        <v>0</v>
      </c>
      <c r="AA96" s="2">
        <v>2000</v>
      </c>
    </row>
    <row r="97" spans="1:27" x14ac:dyDescent="0.3">
      <c r="A97" s="3">
        <v>20</v>
      </c>
      <c r="B97" s="2" t="str">
        <f>"09110011700"</f>
        <v>09110011700</v>
      </c>
      <c r="C97" s="2" t="s">
        <v>5637</v>
      </c>
      <c r="D97" t="s">
        <v>29</v>
      </c>
      <c r="E97" s="2" t="s">
        <v>30</v>
      </c>
      <c r="F97" s="2">
        <v>37209</v>
      </c>
      <c r="G97" s="2" t="s">
        <v>64</v>
      </c>
      <c r="H97" t="s">
        <v>280</v>
      </c>
      <c r="I97" s="6">
        <v>41346</v>
      </c>
      <c r="J97" s="2" t="s">
        <v>5638</v>
      </c>
      <c r="K97" s="2">
        <v>0</v>
      </c>
      <c r="L97" t="s">
        <v>35</v>
      </c>
      <c r="M97" t="s">
        <v>29</v>
      </c>
      <c r="N97" t="s">
        <v>30</v>
      </c>
      <c r="O97">
        <v>37219</v>
      </c>
      <c r="P97" t="s">
        <v>5639</v>
      </c>
      <c r="Q97" s="2">
        <v>0.22</v>
      </c>
      <c r="R97" s="2">
        <v>50</v>
      </c>
      <c r="S97" s="2">
        <v>193</v>
      </c>
      <c r="T97" t="s">
        <v>5640</v>
      </c>
      <c r="U97" s="6">
        <v>27213</v>
      </c>
      <c r="V97" s="2">
        <v>47037013300</v>
      </c>
      <c r="W97" s="2" t="s">
        <v>68</v>
      </c>
      <c r="X97" s="1">
        <v>45658</v>
      </c>
      <c r="Y97" s="2">
        <v>120000</v>
      </c>
      <c r="Z97" s="2">
        <v>0</v>
      </c>
      <c r="AA97" s="2">
        <v>120000</v>
      </c>
    </row>
    <row r="98" spans="1:27" x14ac:dyDescent="0.3">
      <c r="A98" s="3">
        <v>20</v>
      </c>
      <c r="B98" s="2" t="str">
        <f>"09110009000"</f>
        <v>09110009000</v>
      </c>
      <c r="C98" s="2" t="s">
        <v>5641</v>
      </c>
      <c r="D98" t="s">
        <v>29</v>
      </c>
      <c r="E98" s="2" t="s">
        <v>30</v>
      </c>
      <c r="F98" s="2">
        <v>37209</v>
      </c>
      <c r="G98" s="2" t="s">
        <v>64</v>
      </c>
      <c r="H98" t="s">
        <v>280</v>
      </c>
      <c r="I98" s="6">
        <v>41383</v>
      </c>
      <c r="J98" s="2" t="s">
        <v>5642</v>
      </c>
      <c r="K98" s="2">
        <v>0</v>
      </c>
      <c r="L98" t="s">
        <v>35</v>
      </c>
      <c r="M98" t="s">
        <v>29</v>
      </c>
      <c r="N98" t="s">
        <v>30</v>
      </c>
      <c r="O98">
        <v>37219</v>
      </c>
      <c r="P98" t="s">
        <v>5643</v>
      </c>
      <c r="Q98" s="2">
        <v>0.16</v>
      </c>
      <c r="R98" s="2">
        <v>61</v>
      </c>
      <c r="S98" s="2">
        <v>121</v>
      </c>
      <c r="T98" t="s">
        <v>5644</v>
      </c>
      <c r="U98" s="6">
        <v>24604</v>
      </c>
      <c r="V98" s="2">
        <v>47037013300</v>
      </c>
      <c r="W98" s="2" t="s">
        <v>68</v>
      </c>
      <c r="X98" s="1">
        <v>45658</v>
      </c>
      <c r="Y98" s="2">
        <v>140000</v>
      </c>
      <c r="Z98" s="2">
        <v>0</v>
      </c>
      <c r="AA98" s="2">
        <v>140000</v>
      </c>
    </row>
    <row r="99" spans="1:27" x14ac:dyDescent="0.3">
      <c r="A99" s="3">
        <v>20</v>
      </c>
      <c r="B99" s="2" t="str">
        <f>"09110009200"</f>
        <v>09110009200</v>
      </c>
      <c r="C99" s="2" t="s">
        <v>5645</v>
      </c>
      <c r="D99" t="s">
        <v>29</v>
      </c>
      <c r="E99" s="2" t="s">
        <v>30</v>
      </c>
      <c r="F99" s="2">
        <v>37209</v>
      </c>
      <c r="G99" s="2" t="s">
        <v>64</v>
      </c>
      <c r="H99" t="s">
        <v>280</v>
      </c>
      <c r="I99" s="6">
        <v>40683</v>
      </c>
      <c r="J99" s="2" t="s">
        <v>5646</v>
      </c>
      <c r="K99" s="2">
        <v>0</v>
      </c>
      <c r="L99" t="s">
        <v>35</v>
      </c>
      <c r="M99" t="s">
        <v>29</v>
      </c>
      <c r="N99" t="s">
        <v>30</v>
      </c>
      <c r="O99">
        <v>37219</v>
      </c>
      <c r="P99" t="s">
        <v>5647</v>
      </c>
      <c r="Q99" s="2">
        <v>0.17</v>
      </c>
      <c r="R99" s="2">
        <v>49</v>
      </c>
      <c r="S99" s="2">
        <v>164</v>
      </c>
      <c r="T99" t="s">
        <v>5648</v>
      </c>
      <c r="U99" s="6">
        <v>23428</v>
      </c>
      <c r="V99" s="2">
        <v>47037013300</v>
      </c>
      <c r="W99" s="2" t="s">
        <v>68</v>
      </c>
      <c r="X99" s="1">
        <v>45658</v>
      </c>
      <c r="Y99" s="2">
        <v>2000</v>
      </c>
      <c r="Z99" s="2">
        <v>0</v>
      </c>
      <c r="AA99" s="2">
        <v>2000</v>
      </c>
    </row>
    <row r="100" spans="1:27" x14ac:dyDescent="0.3">
      <c r="A100" s="3">
        <v>20</v>
      </c>
      <c r="B100" s="2" t="str">
        <f>"09110009300"</f>
        <v>09110009300</v>
      </c>
      <c r="C100" s="2" t="s">
        <v>5649</v>
      </c>
      <c r="D100" t="s">
        <v>29</v>
      </c>
      <c r="E100" s="2" t="s">
        <v>30</v>
      </c>
      <c r="F100" s="2">
        <v>37209</v>
      </c>
      <c r="G100" s="2" t="s">
        <v>64</v>
      </c>
      <c r="H100" t="s">
        <v>280</v>
      </c>
      <c r="I100" s="6">
        <v>40683</v>
      </c>
      <c r="J100" s="2" t="s">
        <v>5650</v>
      </c>
      <c r="K100" s="2">
        <v>0</v>
      </c>
      <c r="L100" t="s">
        <v>35</v>
      </c>
      <c r="M100" t="s">
        <v>29</v>
      </c>
      <c r="N100" t="s">
        <v>30</v>
      </c>
      <c r="O100">
        <v>37219</v>
      </c>
      <c r="P100" t="s">
        <v>5651</v>
      </c>
      <c r="Q100" s="2">
        <v>0.14000000000000001</v>
      </c>
      <c r="R100" s="2">
        <v>49</v>
      </c>
      <c r="S100" s="2">
        <v>127</v>
      </c>
      <c r="T100" t="s">
        <v>5652</v>
      </c>
      <c r="U100" s="6">
        <v>22607</v>
      </c>
      <c r="V100" s="2">
        <v>47037013300</v>
      </c>
      <c r="W100" s="2" t="s">
        <v>68</v>
      </c>
      <c r="X100" s="1">
        <v>45658</v>
      </c>
      <c r="Y100" s="2">
        <v>2000</v>
      </c>
      <c r="Z100" s="2">
        <v>0</v>
      </c>
      <c r="AA100" s="2">
        <v>2000</v>
      </c>
    </row>
    <row r="101" spans="1:27" x14ac:dyDescent="0.3">
      <c r="A101" s="3">
        <v>20</v>
      </c>
      <c r="B101" s="2" t="str">
        <f>"09110039900"</f>
        <v>09110039900</v>
      </c>
      <c r="C101" s="2" t="s">
        <v>5653</v>
      </c>
      <c r="D101" t="s">
        <v>29</v>
      </c>
      <c r="E101" s="2" t="s">
        <v>30</v>
      </c>
      <c r="F101" s="2">
        <v>37209</v>
      </c>
      <c r="G101" s="2" t="s">
        <v>194</v>
      </c>
      <c r="H101" t="s">
        <v>280</v>
      </c>
      <c r="I101" s="6">
        <v>45482</v>
      </c>
      <c r="J101" s="2" t="s">
        <v>5654</v>
      </c>
      <c r="K101" s="2">
        <v>0</v>
      </c>
      <c r="L101" t="s">
        <v>1104</v>
      </c>
      <c r="M101" t="s">
        <v>29</v>
      </c>
      <c r="N101" t="s">
        <v>30</v>
      </c>
      <c r="O101">
        <v>37208</v>
      </c>
      <c r="P101" t="s">
        <v>5655</v>
      </c>
      <c r="Q101" s="2">
        <v>0.12</v>
      </c>
      <c r="R101" s="2">
        <v>50</v>
      </c>
      <c r="S101" s="2">
        <v>112</v>
      </c>
      <c r="T101" t="s">
        <v>5656</v>
      </c>
      <c r="U101" s="6">
        <v>25392</v>
      </c>
      <c r="V101" s="2">
        <v>47037013300</v>
      </c>
      <c r="W101" s="2" t="s">
        <v>68</v>
      </c>
      <c r="X101" s="1">
        <v>45658</v>
      </c>
      <c r="Y101" s="2">
        <v>198300</v>
      </c>
      <c r="Z101" s="2">
        <v>78300</v>
      </c>
      <c r="AA101" s="2">
        <v>120000</v>
      </c>
    </row>
    <row r="102" spans="1:27" x14ac:dyDescent="0.3">
      <c r="A102" s="3">
        <v>20</v>
      </c>
      <c r="B102" s="2" t="str">
        <f>"09106016800"</f>
        <v>09106016800</v>
      </c>
      <c r="C102" s="2" t="s">
        <v>5657</v>
      </c>
      <c r="D102" t="s">
        <v>29</v>
      </c>
      <c r="E102" s="2" t="s">
        <v>30</v>
      </c>
      <c r="F102" s="2">
        <v>37209</v>
      </c>
      <c r="G102" s="2" t="s">
        <v>64</v>
      </c>
      <c r="H102" t="s">
        <v>280</v>
      </c>
      <c r="I102" s="6">
        <v>40766</v>
      </c>
      <c r="J102" s="2" t="s">
        <v>5658</v>
      </c>
      <c r="K102" s="2">
        <v>0</v>
      </c>
      <c r="L102" t="s">
        <v>35</v>
      </c>
      <c r="M102" t="s">
        <v>29</v>
      </c>
      <c r="N102" t="s">
        <v>30</v>
      </c>
      <c r="O102">
        <v>37219</v>
      </c>
      <c r="P102" t="s">
        <v>5659</v>
      </c>
      <c r="Q102" s="2">
        <v>0.34</v>
      </c>
      <c r="R102" s="2">
        <v>35</v>
      </c>
      <c r="S102" s="2">
        <v>176</v>
      </c>
      <c r="T102" t="s">
        <v>5660</v>
      </c>
      <c r="U102" s="6">
        <v>25395</v>
      </c>
      <c r="V102" s="2">
        <v>47037013300</v>
      </c>
      <c r="W102" s="2" t="s">
        <v>68</v>
      </c>
      <c r="X102" s="1">
        <v>45658</v>
      </c>
      <c r="Y102" s="2">
        <v>2000</v>
      </c>
      <c r="Z102" s="2">
        <v>0</v>
      </c>
      <c r="AA102" s="2">
        <v>2000</v>
      </c>
    </row>
    <row r="103" spans="1:27" x14ac:dyDescent="0.3">
      <c r="A103" s="3">
        <v>20</v>
      </c>
      <c r="B103" s="2" t="str">
        <f>"09110001900"</f>
        <v>09110001900</v>
      </c>
      <c r="C103" s="2" t="s">
        <v>5661</v>
      </c>
      <c r="D103" t="s">
        <v>29</v>
      </c>
      <c r="E103" s="2" t="s">
        <v>30</v>
      </c>
      <c r="F103" s="2">
        <v>37209</v>
      </c>
      <c r="G103" s="2" t="s">
        <v>64</v>
      </c>
      <c r="H103" t="s">
        <v>280</v>
      </c>
      <c r="I103" s="6">
        <v>40700</v>
      </c>
      <c r="J103" s="2" t="s">
        <v>5662</v>
      </c>
      <c r="K103" s="2">
        <v>0</v>
      </c>
      <c r="L103" t="s">
        <v>35</v>
      </c>
      <c r="M103" t="s">
        <v>29</v>
      </c>
      <c r="N103" t="s">
        <v>30</v>
      </c>
      <c r="O103">
        <v>37216</v>
      </c>
      <c r="P103" t="s">
        <v>5663</v>
      </c>
      <c r="Q103" s="2">
        <v>0.27</v>
      </c>
      <c r="R103" s="2">
        <v>44</v>
      </c>
      <c r="S103" s="2">
        <v>141</v>
      </c>
      <c r="T103" t="s">
        <v>5664</v>
      </c>
      <c r="U103" s="6">
        <v>26634</v>
      </c>
      <c r="V103" s="2">
        <v>47037013300</v>
      </c>
      <c r="W103" s="2" t="s">
        <v>68</v>
      </c>
      <c r="X103" s="1">
        <v>45658</v>
      </c>
      <c r="Y103" s="2">
        <v>2000</v>
      </c>
      <c r="Z103" s="2">
        <v>0</v>
      </c>
      <c r="AA103" s="2">
        <v>2000</v>
      </c>
    </row>
    <row r="104" spans="1:27" x14ac:dyDescent="0.3">
      <c r="A104" s="3">
        <v>20</v>
      </c>
      <c r="B104" s="2" t="str">
        <f>"09106015400"</f>
        <v>09106015400</v>
      </c>
      <c r="C104" s="2" t="s">
        <v>5665</v>
      </c>
      <c r="D104" t="s">
        <v>29</v>
      </c>
      <c r="E104" s="2" t="s">
        <v>30</v>
      </c>
      <c r="F104" s="2">
        <v>37209</v>
      </c>
      <c r="G104" s="2" t="s">
        <v>64</v>
      </c>
      <c r="H104" t="s">
        <v>280</v>
      </c>
      <c r="I104" s="6">
        <v>40694</v>
      </c>
      <c r="J104" s="2" t="s">
        <v>5666</v>
      </c>
      <c r="K104" s="2">
        <v>0</v>
      </c>
      <c r="L104" t="s">
        <v>35</v>
      </c>
      <c r="M104" t="s">
        <v>29</v>
      </c>
      <c r="N104" t="s">
        <v>30</v>
      </c>
      <c r="O104">
        <v>37219</v>
      </c>
      <c r="P104" t="s">
        <v>5667</v>
      </c>
      <c r="Q104" s="2">
        <v>0.14000000000000001</v>
      </c>
      <c r="R104" s="2">
        <v>52</v>
      </c>
      <c r="S104" s="2">
        <v>125</v>
      </c>
      <c r="T104" t="s">
        <v>5668</v>
      </c>
      <c r="U104" s="6">
        <v>20342</v>
      </c>
      <c r="V104" s="2">
        <v>47037013300</v>
      </c>
      <c r="W104" s="2" t="s">
        <v>68</v>
      </c>
      <c r="X104" s="1">
        <v>45658</v>
      </c>
      <c r="Y104" s="2">
        <v>2000</v>
      </c>
      <c r="Z104" s="2">
        <v>0</v>
      </c>
      <c r="AA104" s="2">
        <v>2000</v>
      </c>
    </row>
    <row r="105" spans="1:27" x14ac:dyDescent="0.3">
      <c r="A105" s="3">
        <v>20</v>
      </c>
      <c r="B105" s="2" t="str">
        <f>"09106015300"</f>
        <v>09106015300</v>
      </c>
      <c r="C105" s="2" t="s">
        <v>5669</v>
      </c>
      <c r="D105" t="s">
        <v>29</v>
      </c>
      <c r="E105" s="2" t="s">
        <v>30</v>
      </c>
      <c r="F105" s="2">
        <v>37209</v>
      </c>
      <c r="G105" s="2" t="s">
        <v>64</v>
      </c>
      <c r="H105" t="s">
        <v>280</v>
      </c>
      <c r="I105" s="6">
        <v>41395</v>
      </c>
      <c r="J105" s="2" t="s">
        <v>5670</v>
      </c>
      <c r="K105" s="2" t="s">
        <v>34</v>
      </c>
      <c r="L105" t="s">
        <v>35</v>
      </c>
      <c r="M105" t="s">
        <v>29</v>
      </c>
      <c r="N105" t="s">
        <v>30</v>
      </c>
      <c r="O105">
        <v>37219</v>
      </c>
      <c r="P105" t="s">
        <v>5671</v>
      </c>
      <c r="Q105" s="2">
        <v>0.14000000000000001</v>
      </c>
      <c r="R105" s="2">
        <v>52</v>
      </c>
      <c r="S105" s="2">
        <v>125</v>
      </c>
      <c r="T105" t="s">
        <v>5672</v>
      </c>
      <c r="U105" s="6">
        <v>26932</v>
      </c>
      <c r="V105" s="2">
        <v>47037013300</v>
      </c>
      <c r="W105" s="2" t="s">
        <v>68</v>
      </c>
      <c r="X105" s="1">
        <v>45658</v>
      </c>
      <c r="Y105" s="2">
        <v>140000</v>
      </c>
      <c r="Z105" s="2">
        <v>0</v>
      </c>
      <c r="AA105" s="2">
        <v>140000</v>
      </c>
    </row>
    <row r="106" spans="1:27" x14ac:dyDescent="0.3">
      <c r="A106" s="3">
        <v>20</v>
      </c>
      <c r="B106" s="2" t="str">
        <f>"09106016700"</f>
        <v>09106016700</v>
      </c>
      <c r="C106" s="2" t="s">
        <v>5673</v>
      </c>
      <c r="D106" t="s">
        <v>29</v>
      </c>
      <c r="E106" s="2" t="s">
        <v>30</v>
      </c>
      <c r="F106" s="2">
        <v>37209</v>
      </c>
      <c r="G106" s="2" t="s">
        <v>64</v>
      </c>
      <c r="H106" t="s">
        <v>280</v>
      </c>
      <c r="I106" s="6">
        <v>40690</v>
      </c>
      <c r="J106" s="2" t="s">
        <v>5674</v>
      </c>
      <c r="K106" s="2">
        <v>0</v>
      </c>
      <c r="L106" t="s">
        <v>35</v>
      </c>
      <c r="M106" t="s">
        <v>29</v>
      </c>
      <c r="N106" t="s">
        <v>30</v>
      </c>
      <c r="O106">
        <v>37219</v>
      </c>
      <c r="P106" t="s">
        <v>5675</v>
      </c>
      <c r="Q106" s="2">
        <v>0.2</v>
      </c>
      <c r="R106" s="2">
        <v>69</v>
      </c>
      <c r="S106" s="2">
        <v>153</v>
      </c>
      <c r="T106" t="s">
        <v>5676</v>
      </c>
      <c r="U106" s="6">
        <v>20515</v>
      </c>
      <c r="V106" s="2">
        <v>47037013300</v>
      </c>
      <c r="W106" s="2" t="s">
        <v>68</v>
      </c>
      <c r="X106" s="1">
        <v>45658</v>
      </c>
      <c r="Y106" s="2">
        <v>2000</v>
      </c>
      <c r="Z106" s="2">
        <v>0</v>
      </c>
      <c r="AA106" s="2">
        <v>2000</v>
      </c>
    </row>
    <row r="107" spans="1:27" x14ac:dyDescent="0.3">
      <c r="A107" s="3">
        <v>20</v>
      </c>
      <c r="B107" s="2" t="str">
        <f>"09111003100"</f>
        <v>09111003100</v>
      </c>
      <c r="C107" s="2" t="s">
        <v>5677</v>
      </c>
      <c r="D107" t="s">
        <v>29</v>
      </c>
      <c r="E107" s="2" t="s">
        <v>30</v>
      </c>
      <c r="F107" s="2">
        <v>37209</v>
      </c>
      <c r="G107" s="2" t="s">
        <v>194</v>
      </c>
      <c r="H107" t="s">
        <v>1084</v>
      </c>
      <c r="I107" s="6">
        <v>45261</v>
      </c>
      <c r="J107" s="2" t="s">
        <v>5678</v>
      </c>
      <c r="K107" s="2">
        <v>0</v>
      </c>
      <c r="L107" t="s">
        <v>315</v>
      </c>
      <c r="M107" t="s">
        <v>29</v>
      </c>
      <c r="N107" t="s">
        <v>30</v>
      </c>
      <c r="O107">
        <v>37208</v>
      </c>
      <c r="P107" t="s">
        <v>5679</v>
      </c>
      <c r="Q107" s="2">
        <v>0.12</v>
      </c>
      <c r="R107" s="2">
        <v>50</v>
      </c>
      <c r="S107" s="2">
        <v>112</v>
      </c>
      <c r="T107" t="s">
        <v>5680</v>
      </c>
      <c r="U107" s="6">
        <v>22462</v>
      </c>
      <c r="V107" s="2">
        <v>47037013300</v>
      </c>
      <c r="W107" s="2" t="s">
        <v>68</v>
      </c>
      <c r="X107" s="1">
        <v>45658</v>
      </c>
      <c r="Y107" s="2">
        <v>140000</v>
      </c>
      <c r="Z107" s="2">
        <v>0</v>
      </c>
      <c r="AA107" s="2">
        <v>140000</v>
      </c>
    </row>
    <row r="108" spans="1:27" x14ac:dyDescent="0.3">
      <c r="A108" s="3">
        <v>20</v>
      </c>
      <c r="B108" s="2" t="str">
        <f>"09111001500"</f>
        <v>09111001500</v>
      </c>
      <c r="C108" s="2" t="s">
        <v>5681</v>
      </c>
      <c r="D108" t="s">
        <v>29</v>
      </c>
      <c r="E108" s="2" t="s">
        <v>30</v>
      </c>
      <c r="F108" s="2">
        <v>37209</v>
      </c>
      <c r="G108" s="2" t="s">
        <v>194</v>
      </c>
      <c r="H108" t="s">
        <v>1084</v>
      </c>
      <c r="I108" s="6">
        <v>45385</v>
      </c>
      <c r="J108" s="2" t="s">
        <v>5682</v>
      </c>
      <c r="K108" s="2" t="s">
        <v>34</v>
      </c>
      <c r="L108" t="s">
        <v>1104</v>
      </c>
      <c r="M108" t="s">
        <v>29</v>
      </c>
      <c r="N108" t="s">
        <v>30</v>
      </c>
      <c r="O108">
        <v>37208</v>
      </c>
      <c r="P108" t="s">
        <v>5683</v>
      </c>
      <c r="Q108" s="2">
        <v>0.19</v>
      </c>
      <c r="R108" s="2">
        <v>84</v>
      </c>
      <c r="S108" s="2">
        <v>70</v>
      </c>
      <c r="T108" t="s">
        <v>5684</v>
      </c>
      <c r="U108" s="6">
        <v>26036</v>
      </c>
      <c r="V108" s="2">
        <v>47037013300</v>
      </c>
      <c r="W108" s="2" t="s">
        <v>68</v>
      </c>
      <c r="X108" s="1">
        <v>45658</v>
      </c>
      <c r="Y108" s="2">
        <v>140000</v>
      </c>
      <c r="Z108" s="2">
        <v>0</v>
      </c>
      <c r="AA108" s="2">
        <v>140000</v>
      </c>
    </row>
    <row r="109" spans="1:27" x14ac:dyDescent="0.3">
      <c r="A109" s="3">
        <v>20</v>
      </c>
      <c r="B109" s="2" t="str">
        <f>"09110011600"</f>
        <v>09110011600</v>
      </c>
      <c r="C109" s="2" t="s">
        <v>5685</v>
      </c>
      <c r="D109" t="s">
        <v>29</v>
      </c>
      <c r="E109" s="2" t="s">
        <v>30</v>
      </c>
      <c r="F109" s="2">
        <v>37209</v>
      </c>
      <c r="G109" s="2" t="s">
        <v>64</v>
      </c>
      <c r="H109" t="s">
        <v>5686</v>
      </c>
      <c r="I109" s="6">
        <v>42915</v>
      </c>
      <c r="J109" s="2" t="s">
        <v>5687</v>
      </c>
      <c r="K109" s="2" t="s">
        <v>34</v>
      </c>
      <c r="L109" t="s">
        <v>343</v>
      </c>
      <c r="M109" t="s">
        <v>29</v>
      </c>
      <c r="N109" t="s">
        <v>30</v>
      </c>
      <c r="O109">
        <v>37201</v>
      </c>
      <c r="P109" t="s">
        <v>5688</v>
      </c>
      <c r="Q109" s="2">
        <v>0.2</v>
      </c>
      <c r="R109" s="2">
        <v>50</v>
      </c>
      <c r="S109" s="2">
        <v>193</v>
      </c>
      <c r="T109" t="s">
        <v>5689</v>
      </c>
      <c r="U109" s="6">
        <v>22418</v>
      </c>
      <c r="V109" s="2">
        <v>47037013300</v>
      </c>
      <c r="W109" s="2" t="s">
        <v>68</v>
      </c>
      <c r="X109" s="1">
        <v>45658</v>
      </c>
      <c r="Y109" s="2">
        <v>120000</v>
      </c>
      <c r="Z109" s="2">
        <v>0</v>
      </c>
      <c r="AA109" s="2">
        <v>120000</v>
      </c>
    </row>
    <row r="110" spans="1:27" x14ac:dyDescent="0.3">
      <c r="A110" s="3">
        <v>20</v>
      </c>
      <c r="B110" s="2" t="str">
        <f>"09110037900"</f>
        <v>09110037900</v>
      </c>
      <c r="C110" s="2" t="s">
        <v>5690</v>
      </c>
      <c r="D110" t="s">
        <v>29</v>
      </c>
      <c r="E110" s="2" t="s">
        <v>30</v>
      </c>
      <c r="F110" s="2">
        <v>37209</v>
      </c>
      <c r="G110" s="2" t="s">
        <v>194</v>
      </c>
      <c r="H110" t="s">
        <v>379</v>
      </c>
      <c r="I110" s="6">
        <v>45392</v>
      </c>
      <c r="J110" s="2" t="s">
        <v>5691</v>
      </c>
      <c r="K110" s="2" t="s">
        <v>34</v>
      </c>
      <c r="L110" t="s">
        <v>315</v>
      </c>
      <c r="M110" t="s">
        <v>29</v>
      </c>
      <c r="N110" t="s">
        <v>30</v>
      </c>
      <c r="O110">
        <v>37208</v>
      </c>
      <c r="P110" t="s">
        <v>5692</v>
      </c>
      <c r="Q110" s="2">
        <v>0.17</v>
      </c>
      <c r="R110" s="2">
        <v>46</v>
      </c>
      <c r="S110" s="2">
        <v>172</v>
      </c>
      <c r="T110" t="s">
        <v>5693</v>
      </c>
      <c r="U110" s="6">
        <v>23160</v>
      </c>
      <c r="V110" s="2">
        <v>47037013300</v>
      </c>
      <c r="W110" s="2" t="s">
        <v>68</v>
      </c>
      <c r="X110" s="1">
        <v>45658</v>
      </c>
      <c r="Y110" s="2">
        <v>120000</v>
      </c>
      <c r="Z110" s="2">
        <v>0</v>
      </c>
      <c r="AA110" s="2">
        <v>120000</v>
      </c>
    </row>
    <row r="111" spans="1:27" x14ac:dyDescent="0.3">
      <c r="A111" s="3">
        <v>20</v>
      </c>
      <c r="B111" s="2" t="str">
        <f>"09110037800"</f>
        <v>09110037800</v>
      </c>
      <c r="C111" s="2" t="s">
        <v>5694</v>
      </c>
      <c r="D111" t="s">
        <v>29</v>
      </c>
      <c r="E111" s="2" t="s">
        <v>30</v>
      </c>
      <c r="F111" s="2">
        <v>37209</v>
      </c>
      <c r="G111" s="2" t="s">
        <v>194</v>
      </c>
      <c r="H111" t="s">
        <v>379</v>
      </c>
      <c r="I111" s="6">
        <v>45555</v>
      </c>
      <c r="J111" s="2" t="s">
        <v>5695</v>
      </c>
      <c r="K111" s="2" t="s">
        <v>34</v>
      </c>
      <c r="L111" t="s">
        <v>315</v>
      </c>
      <c r="M111" t="s">
        <v>29</v>
      </c>
      <c r="N111" t="s">
        <v>30</v>
      </c>
      <c r="O111">
        <v>37208</v>
      </c>
      <c r="P111" t="s">
        <v>5696</v>
      </c>
      <c r="Q111" s="2">
        <v>0.13</v>
      </c>
      <c r="R111" s="2">
        <v>61</v>
      </c>
      <c r="S111" s="2">
        <v>145</v>
      </c>
      <c r="T111" t="s">
        <v>5697</v>
      </c>
      <c r="U111" s="6">
        <v>27177</v>
      </c>
      <c r="V111" s="2">
        <v>47037013300</v>
      </c>
      <c r="W111" s="2" t="s">
        <v>68</v>
      </c>
      <c r="X111" s="1">
        <v>45658</v>
      </c>
      <c r="Y111" s="2">
        <v>268500</v>
      </c>
      <c r="Z111" s="2">
        <v>148500</v>
      </c>
      <c r="AA111" s="2">
        <v>120000</v>
      </c>
    </row>
    <row r="112" spans="1:27" x14ac:dyDescent="0.3">
      <c r="A112" s="3">
        <v>20</v>
      </c>
      <c r="B112" s="2" t="str">
        <f>"09110037500"</f>
        <v>09110037500</v>
      </c>
      <c r="C112" s="2" t="s">
        <v>5698</v>
      </c>
      <c r="D112" t="s">
        <v>29</v>
      </c>
      <c r="E112" s="2" t="s">
        <v>30</v>
      </c>
      <c r="F112" s="2">
        <v>37209</v>
      </c>
      <c r="G112" s="2" t="s">
        <v>194</v>
      </c>
      <c r="H112" t="s">
        <v>379</v>
      </c>
      <c r="I112" s="6">
        <v>45260</v>
      </c>
      <c r="J112" s="2" t="s">
        <v>5699</v>
      </c>
      <c r="K112" s="2">
        <v>0</v>
      </c>
      <c r="L112" t="s">
        <v>315</v>
      </c>
      <c r="M112" t="s">
        <v>29</v>
      </c>
      <c r="N112" t="s">
        <v>30</v>
      </c>
      <c r="O112">
        <v>37208</v>
      </c>
      <c r="P112" t="s">
        <v>5700</v>
      </c>
      <c r="Q112" s="2">
        <v>0.11</v>
      </c>
      <c r="R112" s="2">
        <v>50</v>
      </c>
      <c r="S112" s="2">
        <v>117</v>
      </c>
      <c r="T112" t="s">
        <v>5701</v>
      </c>
      <c r="U112" s="6">
        <v>27271</v>
      </c>
      <c r="V112" s="2">
        <v>47037013300</v>
      </c>
      <c r="W112" s="2" t="s">
        <v>68</v>
      </c>
      <c r="X112" s="1">
        <v>45658</v>
      </c>
      <c r="Y112" s="2">
        <v>108000</v>
      </c>
      <c r="Z112" s="2">
        <v>0</v>
      </c>
      <c r="AA112" s="2">
        <v>108000</v>
      </c>
    </row>
    <row r="113" spans="1:27" x14ac:dyDescent="0.3">
      <c r="A113" s="3">
        <v>20</v>
      </c>
      <c r="B113" s="2" t="str">
        <f>"09110010800"</f>
        <v>09110010800</v>
      </c>
      <c r="C113" s="2" t="s">
        <v>5702</v>
      </c>
      <c r="D113" t="s">
        <v>29</v>
      </c>
      <c r="E113" s="2" t="s">
        <v>30</v>
      </c>
      <c r="F113" s="2">
        <v>37209</v>
      </c>
      <c r="G113" s="2" t="s">
        <v>64</v>
      </c>
      <c r="H113" t="s">
        <v>379</v>
      </c>
      <c r="I113" s="6">
        <v>43782</v>
      </c>
      <c r="J113" s="2" t="s">
        <v>5703</v>
      </c>
      <c r="K113" s="2" t="s">
        <v>34</v>
      </c>
      <c r="L113" t="s">
        <v>315</v>
      </c>
      <c r="M113" t="s">
        <v>29</v>
      </c>
      <c r="N113" t="s">
        <v>30</v>
      </c>
      <c r="O113">
        <v>37208</v>
      </c>
      <c r="P113" t="s">
        <v>5704</v>
      </c>
      <c r="Q113" s="2">
        <v>0.22</v>
      </c>
      <c r="R113" s="2">
        <v>50</v>
      </c>
      <c r="S113" s="2">
        <v>189</v>
      </c>
      <c r="T113" t="s">
        <v>5705</v>
      </c>
      <c r="U113" s="6">
        <v>29543</v>
      </c>
      <c r="V113" s="2">
        <v>47037013300</v>
      </c>
      <c r="W113" s="2" t="s">
        <v>68</v>
      </c>
      <c r="X113" s="1">
        <v>45658</v>
      </c>
      <c r="Y113" s="2">
        <v>120000</v>
      </c>
      <c r="Z113" s="2">
        <v>0</v>
      </c>
      <c r="AA113" s="2">
        <v>120000</v>
      </c>
    </row>
    <row r="114" spans="1:27" x14ac:dyDescent="0.3">
      <c r="A114" s="3">
        <v>20</v>
      </c>
      <c r="B114" s="2" t="str">
        <f>"09106018700"</f>
        <v>09106018700</v>
      </c>
      <c r="C114" s="2" t="s">
        <v>5706</v>
      </c>
      <c r="D114" t="s">
        <v>29</v>
      </c>
      <c r="E114" s="2" t="s">
        <v>30</v>
      </c>
      <c r="F114" s="2">
        <v>37209</v>
      </c>
      <c r="G114" s="2" t="s">
        <v>194</v>
      </c>
      <c r="H114" t="s">
        <v>379</v>
      </c>
      <c r="I114" s="6">
        <v>45294</v>
      </c>
      <c r="J114" s="2" t="s">
        <v>5707</v>
      </c>
      <c r="K114" s="2" t="s">
        <v>34</v>
      </c>
      <c r="L114" t="s">
        <v>315</v>
      </c>
      <c r="M114" t="s">
        <v>29</v>
      </c>
      <c r="N114" t="s">
        <v>30</v>
      </c>
      <c r="O114">
        <v>37208</v>
      </c>
      <c r="P114" t="s">
        <v>5708</v>
      </c>
      <c r="Q114" s="2">
        <v>0.17</v>
      </c>
      <c r="R114" s="2">
        <v>35</v>
      </c>
      <c r="S114" s="2">
        <v>108</v>
      </c>
      <c r="T114" t="s">
        <v>5709</v>
      </c>
      <c r="U114" s="6">
        <v>26584</v>
      </c>
      <c r="V114" s="2">
        <v>47037013300</v>
      </c>
      <c r="W114" s="2" t="s">
        <v>68</v>
      </c>
      <c r="X114" s="1">
        <v>45658</v>
      </c>
      <c r="Y114" s="2">
        <v>140000</v>
      </c>
      <c r="Z114" s="2">
        <v>0</v>
      </c>
      <c r="AA114" s="2">
        <v>140000</v>
      </c>
    </row>
    <row r="115" spans="1:27" x14ac:dyDescent="0.3">
      <c r="A115" s="3">
        <v>20</v>
      </c>
      <c r="B115" s="2" t="str">
        <f>"09110038200"</f>
        <v>09110038200</v>
      </c>
      <c r="C115" s="2" t="s">
        <v>5710</v>
      </c>
      <c r="D115" t="s">
        <v>29</v>
      </c>
      <c r="E115" s="2" t="s">
        <v>30</v>
      </c>
      <c r="F115" s="2">
        <v>37209</v>
      </c>
      <c r="G115" s="2" t="s">
        <v>194</v>
      </c>
      <c r="H115" t="s">
        <v>379</v>
      </c>
      <c r="I115" s="6">
        <v>45751</v>
      </c>
      <c r="J115" s="2" t="s">
        <v>5711</v>
      </c>
      <c r="K115" s="2">
        <v>0</v>
      </c>
      <c r="L115" t="s">
        <v>1104</v>
      </c>
      <c r="M115" t="s">
        <v>29</v>
      </c>
      <c r="N115" t="s">
        <v>30</v>
      </c>
      <c r="O115">
        <v>37208</v>
      </c>
      <c r="P115" t="s">
        <v>5712</v>
      </c>
      <c r="Q115" s="2">
        <v>0.15</v>
      </c>
      <c r="R115" s="2">
        <v>62</v>
      </c>
      <c r="S115" s="2">
        <v>160</v>
      </c>
      <c r="T115" t="s">
        <v>5713</v>
      </c>
      <c r="U115" s="6">
        <v>25057</v>
      </c>
      <c r="V115" s="2">
        <v>47037013300</v>
      </c>
      <c r="W115" s="2" t="s">
        <v>68</v>
      </c>
      <c r="X115" s="1">
        <v>45658</v>
      </c>
      <c r="Y115" s="2">
        <v>295400</v>
      </c>
      <c r="Z115" s="2">
        <v>175400</v>
      </c>
      <c r="AA115" s="2">
        <v>120000</v>
      </c>
    </row>
    <row r="116" spans="1:27" x14ac:dyDescent="0.3">
      <c r="A116" s="3">
        <v>20</v>
      </c>
      <c r="B116" s="2" t="str">
        <f>"09110038100"</f>
        <v>09110038100</v>
      </c>
      <c r="C116" s="2" t="s">
        <v>5714</v>
      </c>
      <c r="D116" t="s">
        <v>29</v>
      </c>
      <c r="E116" s="2" t="s">
        <v>30</v>
      </c>
      <c r="F116" s="2">
        <v>37209</v>
      </c>
      <c r="G116" s="2" t="s">
        <v>194</v>
      </c>
      <c r="H116" t="s">
        <v>379</v>
      </c>
      <c r="I116" s="6">
        <v>45490</v>
      </c>
      <c r="J116" s="2" t="s">
        <v>5715</v>
      </c>
      <c r="K116" s="2" t="s">
        <v>34</v>
      </c>
      <c r="L116" t="s">
        <v>1104</v>
      </c>
      <c r="M116" t="s">
        <v>29</v>
      </c>
      <c r="N116" t="s">
        <v>30</v>
      </c>
      <c r="O116">
        <v>37208</v>
      </c>
      <c r="P116" t="s">
        <v>5716</v>
      </c>
      <c r="Q116" s="2">
        <v>0.17</v>
      </c>
      <c r="R116" s="2">
        <v>48</v>
      </c>
      <c r="S116" s="2">
        <v>176</v>
      </c>
      <c r="T116" t="s">
        <v>5717</v>
      </c>
      <c r="U116" s="6">
        <v>27180</v>
      </c>
      <c r="V116" s="2">
        <v>47037013300</v>
      </c>
      <c r="W116" s="2" t="s">
        <v>68</v>
      </c>
      <c r="X116" s="1">
        <v>45658</v>
      </c>
      <c r="Y116" s="2">
        <v>277200</v>
      </c>
      <c r="Z116" s="2">
        <v>157200</v>
      </c>
      <c r="AA116" s="2">
        <v>120000</v>
      </c>
    </row>
    <row r="117" spans="1:27" x14ac:dyDescent="0.3">
      <c r="A117" s="3">
        <v>20</v>
      </c>
      <c r="B117" s="2" t="str">
        <f>"09110038000"</f>
        <v>09110038000</v>
      </c>
      <c r="C117" s="2" t="s">
        <v>5718</v>
      </c>
      <c r="D117" t="s">
        <v>29</v>
      </c>
      <c r="E117" s="2" t="s">
        <v>30</v>
      </c>
      <c r="F117" s="2">
        <v>37209</v>
      </c>
      <c r="G117" s="2" t="s">
        <v>194</v>
      </c>
      <c r="H117" t="s">
        <v>379</v>
      </c>
      <c r="I117" s="6">
        <v>45323</v>
      </c>
      <c r="J117" s="2" t="s">
        <v>5719</v>
      </c>
      <c r="K117" s="2" t="s">
        <v>34</v>
      </c>
      <c r="L117" t="s">
        <v>85</v>
      </c>
      <c r="M117" t="s">
        <v>29</v>
      </c>
      <c r="N117" t="s">
        <v>30</v>
      </c>
      <c r="O117">
        <v>37219</v>
      </c>
      <c r="P117" t="s">
        <v>5720</v>
      </c>
      <c r="Q117" s="2">
        <v>0.21</v>
      </c>
      <c r="R117" s="2">
        <v>48</v>
      </c>
      <c r="S117" s="2">
        <v>176</v>
      </c>
      <c r="T117" t="s">
        <v>5721</v>
      </c>
      <c r="U117" s="6">
        <v>20215</v>
      </c>
      <c r="V117" s="2">
        <v>47037013300</v>
      </c>
      <c r="W117" s="2" t="s">
        <v>68</v>
      </c>
      <c r="X117" s="1">
        <v>45658</v>
      </c>
      <c r="Y117" s="2">
        <v>120000</v>
      </c>
      <c r="Z117" s="2">
        <v>0</v>
      </c>
      <c r="AA117" s="2">
        <v>120000</v>
      </c>
    </row>
    <row r="118" spans="1:27" x14ac:dyDescent="0.3">
      <c r="A118" s="3">
        <v>20</v>
      </c>
      <c r="B118" s="2" t="str">
        <f>"09110037600"</f>
        <v>09110037600</v>
      </c>
      <c r="C118" s="2" t="s">
        <v>5722</v>
      </c>
      <c r="D118" t="s">
        <v>29</v>
      </c>
      <c r="E118" s="2" t="s">
        <v>30</v>
      </c>
      <c r="F118" s="2">
        <v>37209</v>
      </c>
      <c r="G118" s="2" t="s">
        <v>194</v>
      </c>
      <c r="H118" t="s">
        <v>379</v>
      </c>
      <c r="I118" s="6">
        <v>45671</v>
      </c>
      <c r="J118" s="2" t="s">
        <v>5723</v>
      </c>
      <c r="K118" s="2" t="s">
        <v>34</v>
      </c>
      <c r="L118" t="s">
        <v>315</v>
      </c>
      <c r="M118" t="s">
        <v>29</v>
      </c>
      <c r="N118" t="s">
        <v>30</v>
      </c>
      <c r="O118">
        <v>37208</v>
      </c>
      <c r="P118" t="s">
        <v>5724</v>
      </c>
      <c r="Q118" s="2">
        <v>0.16</v>
      </c>
      <c r="R118" s="2">
        <v>57</v>
      </c>
      <c r="S118" s="2">
        <v>83</v>
      </c>
      <c r="T118" t="s">
        <v>5725</v>
      </c>
      <c r="U118" s="6">
        <v>27138</v>
      </c>
      <c r="V118" s="2">
        <v>47037013300</v>
      </c>
      <c r="W118" s="2" t="s">
        <v>68</v>
      </c>
      <c r="X118" s="1">
        <v>45658</v>
      </c>
      <c r="Y118" s="2">
        <v>247200</v>
      </c>
      <c r="Z118" s="2">
        <v>127200</v>
      </c>
      <c r="AA118" s="2">
        <v>120000</v>
      </c>
    </row>
    <row r="119" spans="1:27" x14ac:dyDescent="0.3">
      <c r="A119" s="3">
        <v>20</v>
      </c>
      <c r="B119" s="2" t="str">
        <f>"09111003300"</f>
        <v>09111003300</v>
      </c>
      <c r="C119" s="2" t="s">
        <v>5726</v>
      </c>
      <c r="D119" t="s">
        <v>29</v>
      </c>
      <c r="E119" s="2" t="s">
        <v>30</v>
      </c>
      <c r="F119" s="2">
        <v>37209</v>
      </c>
      <c r="G119" s="2" t="s">
        <v>194</v>
      </c>
      <c r="H119" t="s">
        <v>379</v>
      </c>
      <c r="I119" s="6">
        <v>45414</v>
      </c>
      <c r="J119" s="2" t="s">
        <v>5727</v>
      </c>
      <c r="K119" s="2">
        <v>0</v>
      </c>
      <c r="L119" t="s">
        <v>85</v>
      </c>
      <c r="M119" t="s">
        <v>29</v>
      </c>
      <c r="N119" t="s">
        <v>30</v>
      </c>
      <c r="O119">
        <v>37219</v>
      </c>
      <c r="P119" t="s">
        <v>5728</v>
      </c>
      <c r="Q119" s="2">
        <v>0.17</v>
      </c>
      <c r="R119" s="2">
        <v>50</v>
      </c>
      <c r="S119" s="2">
        <v>105</v>
      </c>
      <c r="T119" t="s">
        <v>5729</v>
      </c>
      <c r="U119" s="6">
        <v>20047</v>
      </c>
      <c r="V119" s="2">
        <v>47037013300</v>
      </c>
      <c r="W119" s="2" t="s">
        <v>68</v>
      </c>
      <c r="X119" s="1">
        <v>45658</v>
      </c>
      <c r="Y119" s="2">
        <v>140000</v>
      </c>
      <c r="Z119" s="2">
        <v>0</v>
      </c>
      <c r="AA119" s="2">
        <v>140000</v>
      </c>
    </row>
    <row r="120" spans="1:27" x14ac:dyDescent="0.3">
      <c r="A120" s="3">
        <v>20</v>
      </c>
      <c r="B120" s="2" t="str">
        <f>"09110039700"</f>
        <v>09110039700</v>
      </c>
      <c r="C120" s="2" t="s">
        <v>5730</v>
      </c>
      <c r="D120" t="s">
        <v>29</v>
      </c>
      <c r="E120" s="2" t="s">
        <v>30</v>
      </c>
      <c r="F120" s="2">
        <v>37209</v>
      </c>
      <c r="G120" s="2" t="s">
        <v>194</v>
      </c>
      <c r="H120" t="s">
        <v>379</v>
      </c>
      <c r="I120" s="6">
        <v>45365</v>
      </c>
      <c r="J120" s="2" t="s">
        <v>5731</v>
      </c>
      <c r="K120" s="2" t="s">
        <v>34</v>
      </c>
      <c r="L120" t="s">
        <v>315</v>
      </c>
      <c r="M120" t="s">
        <v>29</v>
      </c>
      <c r="N120" t="s">
        <v>30</v>
      </c>
      <c r="O120">
        <v>37208</v>
      </c>
      <c r="P120" t="s">
        <v>5732</v>
      </c>
      <c r="Q120" s="2">
        <v>0.12</v>
      </c>
      <c r="R120" s="2">
        <v>50</v>
      </c>
      <c r="S120" s="2">
        <v>112</v>
      </c>
      <c r="T120" t="s">
        <v>5733</v>
      </c>
      <c r="U120" s="6">
        <v>25783</v>
      </c>
      <c r="V120" s="2">
        <v>47037013300</v>
      </c>
      <c r="W120" s="2" t="s">
        <v>68</v>
      </c>
      <c r="X120" s="1">
        <v>45658</v>
      </c>
      <c r="Y120" s="2">
        <v>120000</v>
      </c>
      <c r="Z120" s="2">
        <v>0</v>
      </c>
      <c r="AA120" s="2">
        <v>120000</v>
      </c>
    </row>
    <row r="121" spans="1:27" x14ac:dyDescent="0.3">
      <c r="A121" s="3">
        <v>20</v>
      </c>
      <c r="B121" s="2" t="str">
        <f>"09110039800"</f>
        <v>09110039800</v>
      </c>
      <c r="C121" s="2" t="s">
        <v>5734</v>
      </c>
      <c r="D121" t="s">
        <v>29</v>
      </c>
      <c r="E121" s="2" t="s">
        <v>30</v>
      </c>
      <c r="F121" s="2">
        <v>37209</v>
      </c>
      <c r="G121" s="2" t="s">
        <v>194</v>
      </c>
      <c r="H121" t="s">
        <v>379</v>
      </c>
      <c r="I121" s="6">
        <v>45275</v>
      </c>
      <c r="J121" s="2" t="s">
        <v>5735</v>
      </c>
      <c r="K121" s="2">
        <v>0</v>
      </c>
      <c r="L121" t="s">
        <v>315</v>
      </c>
      <c r="M121" t="s">
        <v>29</v>
      </c>
      <c r="N121" t="s">
        <v>30</v>
      </c>
      <c r="O121">
        <v>37208</v>
      </c>
      <c r="P121" t="s">
        <v>5736</v>
      </c>
      <c r="Q121" s="2">
        <v>0.12</v>
      </c>
      <c r="R121" s="2">
        <v>50</v>
      </c>
      <c r="S121" s="2">
        <v>112</v>
      </c>
      <c r="T121" t="s">
        <v>5737</v>
      </c>
      <c r="U121" s="6">
        <v>20047</v>
      </c>
      <c r="V121" s="2">
        <v>47037013300</v>
      </c>
      <c r="W121" s="2" t="s">
        <v>68</v>
      </c>
      <c r="X121" s="1">
        <v>45658</v>
      </c>
      <c r="Y121" s="2">
        <v>120000</v>
      </c>
      <c r="Z121" s="2">
        <v>0</v>
      </c>
      <c r="AA121" s="2">
        <v>120000</v>
      </c>
    </row>
    <row r="122" spans="1:27" x14ac:dyDescent="0.3">
      <c r="A122" s="3">
        <v>20</v>
      </c>
      <c r="B122" s="2" t="str">
        <f>"06800008200"</f>
        <v>06800008200</v>
      </c>
      <c r="C122" s="2" t="s">
        <v>5738</v>
      </c>
      <c r="D122" t="s">
        <v>29</v>
      </c>
      <c r="E122" s="2" t="s">
        <v>30</v>
      </c>
      <c r="F122" s="2">
        <v>37209</v>
      </c>
      <c r="G122" s="2" t="s">
        <v>1485</v>
      </c>
      <c r="H122" t="s">
        <v>2687</v>
      </c>
      <c r="I122" s="6">
        <v>32507</v>
      </c>
      <c r="J122" s="2" t="s">
        <v>5739</v>
      </c>
      <c r="K122" s="2">
        <v>450300</v>
      </c>
      <c r="L122" t="s">
        <v>2689</v>
      </c>
      <c r="M122" t="s">
        <v>29</v>
      </c>
      <c r="N122" t="s">
        <v>30</v>
      </c>
      <c r="O122">
        <v>37214</v>
      </c>
      <c r="P122" t="s">
        <v>5740</v>
      </c>
      <c r="Q122" s="2">
        <v>12.62</v>
      </c>
      <c r="R122" s="2">
        <v>0</v>
      </c>
      <c r="S122" s="2">
        <v>0</v>
      </c>
      <c r="T122" t="s">
        <v>5741</v>
      </c>
      <c r="U122" s="6">
        <v>32498</v>
      </c>
      <c r="V122" s="2">
        <v>47037013000</v>
      </c>
      <c r="W122" s="2" t="s">
        <v>68</v>
      </c>
      <c r="X122" s="1">
        <v>45658</v>
      </c>
      <c r="Y122" s="2">
        <v>2019200</v>
      </c>
      <c r="Z122" s="2">
        <v>0</v>
      </c>
      <c r="AA122" s="2">
        <v>2019200</v>
      </c>
    </row>
    <row r="123" spans="1:27" x14ac:dyDescent="0.3">
      <c r="A123" s="3">
        <v>20</v>
      </c>
      <c r="B123" s="2" t="str">
        <f>"06800008300"</f>
        <v>06800008300</v>
      </c>
      <c r="C123" s="2" t="s">
        <v>5738</v>
      </c>
      <c r="D123" t="s">
        <v>29</v>
      </c>
      <c r="E123" s="2" t="s">
        <v>30</v>
      </c>
      <c r="F123" s="2">
        <v>37209</v>
      </c>
      <c r="G123" s="2" t="s">
        <v>1485</v>
      </c>
      <c r="H123" t="s">
        <v>2687</v>
      </c>
      <c r="I123" s="6">
        <v>27073</v>
      </c>
      <c r="J123" s="2" t="s">
        <v>5742</v>
      </c>
      <c r="K123" s="2" t="s">
        <v>34</v>
      </c>
      <c r="L123" t="s">
        <v>2689</v>
      </c>
      <c r="M123" t="s">
        <v>29</v>
      </c>
      <c r="N123" t="s">
        <v>30</v>
      </c>
      <c r="O123">
        <v>37214</v>
      </c>
      <c r="P123" t="s">
        <v>5743</v>
      </c>
      <c r="Q123" s="2">
        <v>39.93</v>
      </c>
      <c r="R123" s="2">
        <v>0</v>
      </c>
      <c r="S123" s="2">
        <v>0</v>
      </c>
      <c r="T123" t="s">
        <v>5744</v>
      </c>
      <c r="U123" s="6">
        <v>32507</v>
      </c>
      <c r="V123" s="2">
        <v>47037013000</v>
      </c>
      <c r="W123" s="2" t="s">
        <v>68</v>
      </c>
      <c r="X123" s="1">
        <v>45658</v>
      </c>
      <c r="Y123" s="2">
        <v>7586700</v>
      </c>
      <c r="Z123" s="2">
        <v>0</v>
      </c>
      <c r="AA123" s="2">
        <v>7586700</v>
      </c>
    </row>
    <row r="124" spans="1:27" x14ac:dyDescent="0.3">
      <c r="A124" s="3">
        <v>20</v>
      </c>
      <c r="B124" s="2" t="str">
        <f>"07900010600"</f>
        <v>07900010600</v>
      </c>
      <c r="C124" s="2" t="s">
        <v>5745</v>
      </c>
      <c r="D124" t="s">
        <v>29</v>
      </c>
      <c r="E124" s="2" t="s">
        <v>30</v>
      </c>
      <c r="F124" s="2">
        <v>37209</v>
      </c>
      <c r="G124" s="2" t="s">
        <v>1485</v>
      </c>
      <c r="H124" t="s">
        <v>2687</v>
      </c>
      <c r="I124" s="6">
        <v>41976</v>
      </c>
      <c r="J124" s="2" t="s">
        <v>5746</v>
      </c>
      <c r="K124" s="2">
        <v>0</v>
      </c>
      <c r="L124" t="s">
        <v>5747</v>
      </c>
      <c r="M124" t="s">
        <v>29</v>
      </c>
      <c r="N124" t="s">
        <v>30</v>
      </c>
      <c r="O124">
        <v>37214</v>
      </c>
      <c r="P124" t="s">
        <v>5748</v>
      </c>
      <c r="Q124" s="2">
        <v>15.74</v>
      </c>
      <c r="R124" s="2">
        <v>100</v>
      </c>
      <c r="S124" s="2">
        <v>0</v>
      </c>
      <c r="T124" t="s">
        <v>5749</v>
      </c>
      <c r="U124" s="6">
        <v>41935</v>
      </c>
      <c r="V124" s="2">
        <v>47037013000</v>
      </c>
      <c r="W124" s="2" t="s">
        <v>68</v>
      </c>
      <c r="X124" s="1">
        <v>45658</v>
      </c>
      <c r="Y124" s="2">
        <v>1794400</v>
      </c>
      <c r="Z124" s="2">
        <v>0</v>
      </c>
      <c r="AA124" s="2">
        <v>1794400</v>
      </c>
    </row>
    <row r="125" spans="1:27" x14ac:dyDescent="0.3">
      <c r="A125" s="3">
        <v>20</v>
      </c>
      <c r="B125" s="2" t="str">
        <f>"07900003400"</f>
        <v>07900003400</v>
      </c>
      <c r="C125" s="2" t="s">
        <v>5750</v>
      </c>
      <c r="D125" t="s">
        <v>29</v>
      </c>
      <c r="E125" s="2" t="s">
        <v>30</v>
      </c>
      <c r="F125" s="2">
        <v>37209</v>
      </c>
      <c r="G125" s="2" t="s">
        <v>152</v>
      </c>
      <c r="H125" t="s">
        <v>2687</v>
      </c>
      <c r="I125" s="6">
        <v>27073</v>
      </c>
      <c r="J125" s="2" t="s">
        <v>5742</v>
      </c>
      <c r="K125" s="2" t="s">
        <v>34</v>
      </c>
      <c r="L125" t="s">
        <v>2689</v>
      </c>
      <c r="M125" t="s">
        <v>29</v>
      </c>
      <c r="N125" t="s">
        <v>30</v>
      </c>
      <c r="O125">
        <v>37214</v>
      </c>
      <c r="P125" t="s">
        <v>5751</v>
      </c>
      <c r="Q125" s="2">
        <v>301.19</v>
      </c>
      <c r="R125" s="2">
        <v>0</v>
      </c>
      <c r="S125" s="2">
        <v>0</v>
      </c>
      <c r="T125" t="s">
        <v>5337</v>
      </c>
      <c r="U125" s="6">
        <v>32833</v>
      </c>
      <c r="V125" s="2">
        <v>47037013000</v>
      </c>
      <c r="W125" s="2" t="s">
        <v>68</v>
      </c>
      <c r="X125" s="1">
        <v>45658</v>
      </c>
      <c r="Y125" s="2">
        <v>57226100</v>
      </c>
      <c r="Z125" s="2">
        <v>0</v>
      </c>
      <c r="AA125" s="2">
        <v>57226100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EE01-B763-4A20-A3C7-88E867E21A1B}">
  <sheetPr>
    <tabColor rgb="FF002060"/>
  </sheetPr>
  <dimension ref="A1:AA105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21</v>
      </c>
      <c r="B2" s="2" t="str">
        <f>"08111029400"</f>
        <v>08111029400</v>
      </c>
      <c r="C2" s="2" t="s">
        <v>5752</v>
      </c>
      <c r="D2" t="s">
        <v>29</v>
      </c>
      <c r="E2" s="2" t="s">
        <v>30</v>
      </c>
      <c r="F2" s="2">
        <v>37208</v>
      </c>
      <c r="G2" s="2" t="s">
        <v>64</v>
      </c>
      <c r="H2" t="s">
        <v>32</v>
      </c>
      <c r="I2" s="6">
        <v>37970</v>
      </c>
      <c r="J2" s="2" t="s">
        <v>5753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5754</v>
      </c>
      <c r="Q2" s="2">
        <v>0.1</v>
      </c>
      <c r="R2" s="2">
        <v>25</v>
      </c>
      <c r="S2" s="2">
        <v>170</v>
      </c>
      <c r="T2" t="s">
        <v>5755</v>
      </c>
      <c r="U2" s="6">
        <v>22762</v>
      </c>
      <c r="V2" s="2">
        <v>47037013900</v>
      </c>
      <c r="W2" s="2" t="s">
        <v>68</v>
      </c>
      <c r="X2" s="1">
        <v>45658</v>
      </c>
      <c r="Y2" s="2">
        <v>171000</v>
      </c>
      <c r="Z2" s="2">
        <v>0</v>
      </c>
      <c r="AA2" s="2">
        <v>171000</v>
      </c>
    </row>
    <row r="3" spans="1:27" x14ac:dyDescent="0.3">
      <c r="A3" s="3">
        <v>21</v>
      </c>
      <c r="B3" s="2" t="str">
        <f>"09210043500"</f>
        <v>09210043500</v>
      </c>
      <c r="C3" s="2" t="s">
        <v>5756</v>
      </c>
      <c r="D3" t="s">
        <v>29</v>
      </c>
      <c r="E3" s="2" t="s">
        <v>30</v>
      </c>
      <c r="F3" s="2">
        <v>37209</v>
      </c>
      <c r="G3" s="2" t="s">
        <v>41</v>
      </c>
      <c r="H3" t="s">
        <v>32</v>
      </c>
      <c r="I3" s="6">
        <v>42019</v>
      </c>
      <c r="J3" s="2" t="s">
        <v>5757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5758</v>
      </c>
      <c r="Q3" s="2">
        <v>0.48</v>
      </c>
      <c r="R3" s="2">
        <v>109</v>
      </c>
      <c r="S3" s="2">
        <v>452</v>
      </c>
      <c r="T3" t="s">
        <v>5759</v>
      </c>
      <c r="U3" s="6">
        <v>36203</v>
      </c>
      <c r="V3" s="2">
        <v>47037014400</v>
      </c>
      <c r="W3" s="2" t="s">
        <v>68</v>
      </c>
      <c r="X3" s="1">
        <v>45658</v>
      </c>
      <c r="Y3" s="2">
        <v>1881800</v>
      </c>
      <c r="Z3" s="2">
        <v>0</v>
      </c>
      <c r="AA3" s="2">
        <v>1881800</v>
      </c>
    </row>
    <row r="4" spans="1:27" x14ac:dyDescent="0.3">
      <c r="A4" s="3">
        <v>21</v>
      </c>
      <c r="B4" s="2" t="str">
        <f>"09210030200"</f>
        <v>09210030200</v>
      </c>
      <c r="C4" s="2" t="s">
        <v>5760</v>
      </c>
      <c r="D4" t="s">
        <v>29</v>
      </c>
      <c r="E4" s="2" t="s">
        <v>30</v>
      </c>
      <c r="F4" s="2">
        <v>37209</v>
      </c>
      <c r="G4" s="2" t="s">
        <v>41</v>
      </c>
      <c r="H4" t="s">
        <v>32</v>
      </c>
      <c r="I4" s="6">
        <v>42019</v>
      </c>
      <c r="J4" s="2" t="s">
        <v>5757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5761</v>
      </c>
      <c r="Q4" s="2">
        <v>1.04</v>
      </c>
      <c r="R4" s="2">
        <v>193</v>
      </c>
      <c r="S4" s="2">
        <v>295</v>
      </c>
      <c r="T4" t="s">
        <v>5762</v>
      </c>
      <c r="U4" s="6">
        <v>36188</v>
      </c>
      <c r="V4" s="2">
        <v>47037014400</v>
      </c>
      <c r="W4" s="2" t="s">
        <v>68</v>
      </c>
      <c r="X4" s="1">
        <v>45658</v>
      </c>
      <c r="Y4" s="2">
        <v>4077200</v>
      </c>
      <c r="Z4" s="2">
        <v>0</v>
      </c>
      <c r="AA4" s="2">
        <v>4077200</v>
      </c>
    </row>
    <row r="5" spans="1:27" x14ac:dyDescent="0.3">
      <c r="A5" s="3">
        <v>21</v>
      </c>
      <c r="B5" s="2" t="str">
        <f>"09210038300"</f>
        <v>09210038300</v>
      </c>
      <c r="C5" s="2" t="s">
        <v>5763</v>
      </c>
      <c r="D5" t="s">
        <v>29</v>
      </c>
      <c r="E5" s="2" t="s">
        <v>30</v>
      </c>
      <c r="F5" s="2">
        <v>37209</v>
      </c>
      <c r="G5" s="2" t="s">
        <v>2706</v>
      </c>
      <c r="H5" t="s">
        <v>32</v>
      </c>
      <c r="I5" s="6">
        <v>41793</v>
      </c>
      <c r="J5" s="2" t="s">
        <v>5764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5765</v>
      </c>
      <c r="Q5" s="2">
        <v>4.3499999999999996</v>
      </c>
      <c r="R5" s="2">
        <v>433</v>
      </c>
      <c r="S5" s="2">
        <v>85</v>
      </c>
      <c r="T5" t="s">
        <v>5766</v>
      </c>
      <c r="U5" s="6">
        <v>41726</v>
      </c>
      <c r="V5" s="2">
        <v>47037014400</v>
      </c>
      <c r="W5" s="2" t="s">
        <v>68</v>
      </c>
      <c r="X5" s="1">
        <v>45658</v>
      </c>
      <c r="Y5" s="2">
        <v>28422900</v>
      </c>
      <c r="Z5" s="2">
        <v>0</v>
      </c>
      <c r="AA5" s="2">
        <v>28422900</v>
      </c>
    </row>
    <row r="6" spans="1:27" x14ac:dyDescent="0.3">
      <c r="A6" s="3">
        <v>21</v>
      </c>
      <c r="B6" s="2" t="str">
        <f>"09209010700"</f>
        <v>09209010700</v>
      </c>
      <c r="C6" s="2" t="s">
        <v>5767</v>
      </c>
      <c r="D6" t="s">
        <v>29</v>
      </c>
      <c r="E6" s="2" t="s">
        <v>30</v>
      </c>
      <c r="F6" s="2">
        <v>37209</v>
      </c>
      <c r="G6" s="2" t="s">
        <v>64</v>
      </c>
      <c r="H6" t="s">
        <v>32</v>
      </c>
      <c r="I6" s="6">
        <v>41206</v>
      </c>
      <c r="J6" s="2" t="s">
        <v>5768</v>
      </c>
      <c r="K6" s="2" t="s">
        <v>34</v>
      </c>
      <c r="L6" t="s">
        <v>35</v>
      </c>
      <c r="M6" t="s">
        <v>29</v>
      </c>
      <c r="N6" t="s">
        <v>30</v>
      </c>
      <c r="O6">
        <v>37219</v>
      </c>
      <c r="P6" t="s">
        <v>5769</v>
      </c>
      <c r="Q6" s="2">
        <v>7.0000000000000007E-2</v>
      </c>
      <c r="R6" s="2">
        <v>50</v>
      </c>
      <c r="S6" s="2">
        <v>85</v>
      </c>
      <c r="T6" t="s">
        <v>5770</v>
      </c>
      <c r="U6" s="6">
        <v>24411</v>
      </c>
      <c r="V6" s="2">
        <v>47037013601</v>
      </c>
      <c r="W6" s="2" t="s">
        <v>68</v>
      </c>
      <c r="X6" s="1">
        <v>45658</v>
      </c>
      <c r="Y6" s="2">
        <v>1200</v>
      </c>
      <c r="Z6" s="2">
        <v>0</v>
      </c>
      <c r="AA6" s="2">
        <v>1200</v>
      </c>
    </row>
    <row r="7" spans="1:27" x14ac:dyDescent="0.3">
      <c r="A7" s="3">
        <v>21</v>
      </c>
      <c r="B7" s="2" t="str">
        <f>"09202024200"</f>
        <v>09202024200</v>
      </c>
      <c r="C7" s="2" t="s">
        <v>5771</v>
      </c>
      <c r="D7" t="s">
        <v>29</v>
      </c>
      <c r="E7" s="2" t="s">
        <v>30</v>
      </c>
      <c r="F7" s="2">
        <v>37208</v>
      </c>
      <c r="G7" s="2" t="s">
        <v>64</v>
      </c>
      <c r="H7" t="s">
        <v>99</v>
      </c>
      <c r="I7" s="6">
        <v>28593</v>
      </c>
      <c r="J7" s="2" t="s">
        <v>5772</v>
      </c>
      <c r="K7" s="2">
        <v>306</v>
      </c>
      <c r="L7" t="s">
        <v>35</v>
      </c>
      <c r="M7" t="s">
        <v>29</v>
      </c>
      <c r="N7" t="s">
        <v>30</v>
      </c>
      <c r="O7">
        <v>37210</v>
      </c>
      <c r="P7" t="s">
        <v>5773</v>
      </c>
      <c r="Q7" s="2">
        <v>0.02</v>
      </c>
      <c r="R7" s="2">
        <v>59</v>
      </c>
      <c r="S7" s="2">
        <v>46</v>
      </c>
      <c r="T7" t="s">
        <v>5774</v>
      </c>
      <c r="U7" s="6">
        <v>18515</v>
      </c>
      <c r="V7" s="2">
        <v>47037014300</v>
      </c>
      <c r="W7" s="2" t="s">
        <v>68</v>
      </c>
      <c r="X7" s="1">
        <v>45658</v>
      </c>
      <c r="Y7" s="2">
        <v>7500</v>
      </c>
      <c r="Z7" s="2">
        <v>0</v>
      </c>
      <c r="AA7" s="2">
        <v>7500</v>
      </c>
    </row>
    <row r="8" spans="1:27" x14ac:dyDescent="0.3">
      <c r="A8" s="3">
        <v>21</v>
      </c>
      <c r="B8" s="2" t="str">
        <f>"09206040800"</f>
        <v>09206040800</v>
      </c>
      <c r="C8" s="2" t="s">
        <v>5775</v>
      </c>
      <c r="D8" t="s">
        <v>29</v>
      </c>
      <c r="E8" s="2" t="s">
        <v>30</v>
      </c>
      <c r="F8" s="2">
        <v>37209</v>
      </c>
      <c r="G8" s="2" t="s">
        <v>64</v>
      </c>
      <c r="H8" t="s">
        <v>99</v>
      </c>
      <c r="I8" s="6">
        <v>28145</v>
      </c>
      <c r="J8" s="2" t="s">
        <v>5776</v>
      </c>
      <c r="K8" s="2">
        <v>304</v>
      </c>
      <c r="L8" t="s">
        <v>35</v>
      </c>
      <c r="M8" t="s">
        <v>29</v>
      </c>
      <c r="N8" t="s">
        <v>30</v>
      </c>
      <c r="O8">
        <v>37219</v>
      </c>
      <c r="P8" t="s">
        <v>5777</v>
      </c>
      <c r="Q8" s="2">
        <v>0.03</v>
      </c>
      <c r="R8" s="2">
        <v>32</v>
      </c>
      <c r="S8" s="2">
        <v>52</v>
      </c>
      <c r="T8" t="s">
        <v>5778</v>
      </c>
      <c r="U8" s="6">
        <v>16637</v>
      </c>
      <c r="V8" s="2">
        <v>47037013601</v>
      </c>
      <c r="W8" s="2" t="s">
        <v>68</v>
      </c>
      <c r="X8" s="1">
        <v>45658</v>
      </c>
      <c r="Y8" s="2">
        <v>100</v>
      </c>
      <c r="Z8" s="2">
        <v>0</v>
      </c>
      <c r="AA8" s="2">
        <v>100</v>
      </c>
    </row>
    <row r="9" spans="1:27" x14ac:dyDescent="0.3">
      <c r="A9" s="3">
        <v>21</v>
      </c>
      <c r="B9" s="2" t="str">
        <f>"08111027100"</f>
        <v>08111027100</v>
      </c>
      <c r="C9" s="2" t="s">
        <v>5779</v>
      </c>
      <c r="D9" t="s">
        <v>29</v>
      </c>
      <c r="E9" s="2" t="s">
        <v>30</v>
      </c>
      <c r="F9" s="2">
        <v>37208</v>
      </c>
      <c r="G9" s="2" t="s">
        <v>64</v>
      </c>
      <c r="H9" t="s">
        <v>99</v>
      </c>
      <c r="I9" s="6">
        <v>26885</v>
      </c>
      <c r="J9" s="2" t="s">
        <v>5780</v>
      </c>
      <c r="K9" s="2">
        <v>165</v>
      </c>
      <c r="L9" t="s">
        <v>35</v>
      </c>
      <c r="M9" t="s">
        <v>29</v>
      </c>
      <c r="N9" t="s">
        <v>30</v>
      </c>
      <c r="O9">
        <v>37219</v>
      </c>
      <c r="P9" t="s">
        <v>5781</v>
      </c>
      <c r="Q9" s="2">
        <v>0.01</v>
      </c>
      <c r="R9" s="2">
        <v>5</v>
      </c>
      <c r="S9" s="2">
        <v>170</v>
      </c>
      <c r="T9" t="s">
        <v>5782</v>
      </c>
      <c r="U9" s="6">
        <v>19998</v>
      </c>
      <c r="V9" s="2">
        <v>47037013900</v>
      </c>
      <c r="W9" s="2" t="s">
        <v>68</v>
      </c>
      <c r="X9" s="1">
        <v>45658</v>
      </c>
      <c r="Y9" s="2">
        <v>200</v>
      </c>
      <c r="Z9" s="2">
        <v>0</v>
      </c>
      <c r="AA9" s="2">
        <v>200</v>
      </c>
    </row>
    <row r="10" spans="1:27" x14ac:dyDescent="0.3">
      <c r="A10" s="3">
        <v>21</v>
      </c>
      <c r="B10" s="2" t="str">
        <f>"08115039800"</f>
        <v>08115039800</v>
      </c>
      <c r="C10" s="2" t="s">
        <v>5783</v>
      </c>
      <c r="D10" t="s">
        <v>29</v>
      </c>
      <c r="E10" s="2" t="s">
        <v>30</v>
      </c>
      <c r="F10" s="2">
        <v>37208</v>
      </c>
      <c r="G10" s="2" t="s">
        <v>64</v>
      </c>
      <c r="H10" t="s">
        <v>99</v>
      </c>
      <c r="I10" s="6">
        <v>28110</v>
      </c>
      <c r="J10" s="2" t="s">
        <v>5784</v>
      </c>
      <c r="K10" s="2">
        <v>368</v>
      </c>
      <c r="L10" t="s">
        <v>35</v>
      </c>
      <c r="M10" t="s">
        <v>29</v>
      </c>
      <c r="N10" t="s">
        <v>30</v>
      </c>
      <c r="O10">
        <v>37219</v>
      </c>
      <c r="P10" t="s">
        <v>5785</v>
      </c>
      <c r="Q10" s="2">
        <v>0.05</v>
      </c>
      <c r="R10" s="2">
        <v>30</v>
      </c>
      <c r="S10" s="2">
        <v>90</v>
      </c>
      <c r="T10" t="s">
        <v>5786</v>
      </c>
      <c r="U10" s="6">
        <v>13995</v>
      </c>
      <c r="V10" s="2">
        <v>47037013900</v>
      </c>
      <c r="W10" s="2" t="s">
        <v>68</v>
      </c>
      <c r="X10" s="1">
        <v>45658</v>
      </c>
      <c r="Y10" s="2">
        <v>1500</v>
      </c>
      <c r="Z10" s="2">
        <v>0</v>
      </c>
      <c r="AA10" s="2">
        <v>1500</v>
      </c>
    </row>
    <row r="11" spans="1:27" x14ac:dyDescent="0.3">
      <c r="A11" s="3">
        <v>21</v>
      </c>
      <c r="B11" s="2" t="str">
        <f>"09202025700"</f>
        <v>09202025700</v>
      </c>
      <c r="C11" s="2" t="s">
        <v>5787</v>
      </c>
      <c r="D11" t="s">
        <v>29</v>
      </c>
      <c r="E11" s="2" t="s">
        <v>30</v>
      </c>
      <c r="F11" s="2">
        <v>37208</v>
      </c>
      <c r="G11" s="2" t="s">
        <v>64</v>
      </c>
      <c r="H11" t="s">
        <v>99</v>
      </c>
      <c r="I11" s="6">
        <v>36825</v>
      </c>
      <c r="J11" s="2" t="s">
        <v>5788</v>
      </c>
      <c r="K11" s="2">
        <v>0</v>
      </c>
      <c r="L11" t="s">
        <v>35</v>
      </c>
      <c r="M11" t="s">
        <v>29</v>
      </c>
      <c r="N11" t="s">
        <v>30</v>
      </c>
      <c r="O11">
        <v>37210</v>
      </c>
      <c r="P11" t="s">
        <v>5789</v>
      </c>
      <c r="Q11" s="2">
        <v>0.04</v>
      </c>
      <c r="R11" s="2">
        <v>50</v>
      </c>
      <c r="S11" s="2">
        <v>70</v>
      </c>
      <c r="T11" t="s">
        <v>5790</v>
      </c>
      <c r="U11" s="6">
        <v>14733</v>
      </c>
      <c r="V11" s="2">
        <v>47037014300</v>
      </c>
      <c r="W11" s="2" t="s">
        <v>68</v>
      </c>
      <c r="X11" s="1">
        <v>45658</v>
      </c>
      <c r="Y11" s="2">
        <v>10000</v>
      </c>
      <c r="Z11" s="2">
        <v>0</v>
      </c>
      <c r="AA11" s="2">
        <v>10000</v>
      </c>
    </row>
    <row r="12" spans="1:27" x14ac:dyDescent="0.3">
      <c r="A12" s="3">
        <v>21</v>
      </c>
      <c r="B12" s="2" t="str">
        <f>"09206005700"</f>
        <v>09206005700</v>
      </c>
      <c r="C12" s="2" t="s">
        <v>5791</v>
      </c>
      <c r="D12" t="s">
        <v>29</v>
      </c>
      <c r="E12" s="2" t="s">
        <v>30</v>
      </c>
      <c r="F12" s="2">
        <v>37208</v>
      </c>
      <c r="G12" s="2" t="s">
        <v>64</v>
      </c>
      <c r="H12" t="s">
        <v>99</v>
      </c>
      <c r="I12" s="6">
        <v>28670</v>
      </c>
      <c r="J12" s="2" t="s">
        <v>5792</v>
      </c>
      <c r="K12" s="2">
        <v>321</v>
      </c>
      <c r="L12" t="s">
        <v>35</v>
      </c>
      <c r="M12" t="s">
        <v>29</v>
      </c>
      <c r="N12" t="s">
        <v>30</v>
      </c>
      <c r="O12">
        <v>37219</v>
      </c>
      <c r="P12" t="s">
        <v>5793</v>
      </c>
      <c r="Q12" s="2">
        <v>0.09</v>
      </c>
      <c r="R12" s="2">
        <v>130</v>
      </c>
      <c r="S12" s="2">
        <v>117</v>
      </c>
      <c r="T12" t="s">
        <v>5794</v>
      </c>
      <c r="U12" s="6">
        <v>30425</v>
      </c>
      <c r="V12" s="2">
        <v>47037014300</v>
      </c>
      <c r="W12" s="2" t="s">
        <v>68</v>
      </c>
      <c r="X12" s="1">
        <v>45658</v>
      </c>
      <c r="Y12" s="2">
        <v>90000</v>
      </c>
      <c r="Z12" s="2">
        <v>0</v>
      </c>
      <c r="AA12" s="2">
        <v>90000</v>
      </c>
    </row>
    <row r="13" spans="1:27" x14ac:dyDescent="0.3">
      <c r="A13" s="3">
        <v>21</v>
      </c>
      <c r="B13" s="2" t="str">
        <f>"09206012200"</f>
        <v>09206012200</v>
      </c>
      <c r="C13" s="2" t="s">
        <v>5795</v>
      </c>
      <c r="D13" t="s">
        <v>29</v>
      </c>
      <c r="E13" s="2" t="s">
        <v>30</v>
      </c>
      <c r="F13" s="2">
        <v>37208</v>
      </c>
      <c r="G13" s="2" t="s">
        <v>64</v>
      </c>
      <c r="H13" t="s">
        <v>99</v>
      </c>
      <c r="I13" s="6">
        <v>28145</v>
      </c>
      <c r="J13" s="2" t="s">
        <v>5796</v>
      </c>
      <c r="K13" s="2">
        <v>308</v>
      </c>
      <c r="L13" t="s">
        <v>35</v>
      </c>
      <c r="M13" t="s">
        <v>29</v>
      </c>
      <c r="N13" t="s">
        <v>30</v>
      </c>
      <c r="O13">
        <v>37219</v>
      </c>
      <c r="P13" t="s">
        <v>5797</v>
      </c>
      <c r="Q13" s="2">
        <v>0.01</v>
      </c>
      <c r="R13" s="2">
        <v>2</v>
      </c>
      <c r="S13" s="2">
        <v>199</v>
      </c>
      <c r="T13" t="s">
        <v>5798</v>
      </c>
      <c r="U13" s="6">
        <v>22678</v>
      </c>
      <c r="V13" s="2">
        <v>47037014300</v>
      </c>
      <c r="W13" s="2" t="s">
        <v>68</v>
      </c>
      <c r="X13" s="1">
        <v>45658</v>
      </c>
      <c r="Y13" s="2">
        <v>50000</v>
      </c>
      <c r="Z13" s="2">
        <v>0</v>
      </c>
      <c r="AA13" s="2">
        <v>50000</v>
      </c>
    </row>
    <row r="14" spans="1:27" x14ac:dyDescent="0.3">
      <c r="A14" s="3">
        <v>21</v>
      </c>
      <c r="B14" s="2" t="str">
        <f>"09206017300"</f>
        <v>09206017300</v>
      </c>
      <c r="C14" s="2" t="s">
        <v>5799</v>
      </c>
      <c r="D14" t="s">
        <v>29</v>
      </c>
      <c r="E14" s="2" t="s">
        <v>30</v>
      </c>
      <c r="F14" s="2">
        <v>37209</v>
      </c>
      <c r="G14" s="2" t="s">
        <v>64</v>
      </c>
      <c r="H14" t="s">
        <v>99</v>
      </c>
      <c r="I14" s="6">
        <v>41198</v>
      </c>
      <c r="J14" s="2" t="s">
        <v>5800</v>
      </c>
      <c r="K14" s="2">
        <v>860</v>
      </c>
      <c r="L14" t="s">
        <v>35</v>
      </c>
      <c r="M14" t="s">
        <v>29</v>
      </c>
      <c r="N14" t="s">
        <v>30</v>
      </c>
      <c r="O14">
        <v>37219</v>
      </c>
      <c r="P14" t="s">
        <v>5801</v>
      </c>
      <c r="Q14" s="2">
        <v>0.04</v>
      </c>
      <c r="R14" s="2">
        <v>41</v>
      </c>
      <c r="S14" s="2">
        <v>85</v>
      </c>
      <c r="T14" t="s">
        <v>5802</v>
      </c>
      <c r="U14" s="6">
        <v>23015</v>
      </c>
      <c r="V14" s="2">
        <v>47037013601</v>
      </c>
      <c r="W14" s="2" t="s">
        <v>68</v>
      </c>
      <c r="X14" s="1">
        <v>45658</v>
      </c>
      <c r="Y14" s="2">
        <v>100</v>
      </c>
      <c r="Z14" s="2">
        <v>0</v>
      </c>
      <c r="AA14" s="2">
        <v>100</v>
      </c>
    </row>
    <row r="15" spans="1:27" x14ac:dyDescent="0.3">
      <c r="A15" s="3">
        <v>21</v>
      </c>
      <c r="B15" s="2" t="str">
        <f>"09206062500"</f>
        <v>09206062500</v>
      </c>
      <c r="C15" s="2" t="s">
        <v>5803</v>
      </c>
      <c r="D15" t="s">
        <v>29</v>
      </c>
      <c r="E15" s="2" t="s">
        <v>30</v>
      </c>
      <c r="F15" s="2">
        <v>37208</v>
      </c>
      <c r="G15" s="2" t="s">
        <v>64</v>
      </c>
      <c r="H15" t="s">
        <v>99</v>
      </c>
      <c r="I15" s="6">
        <v>27493</v>
      </c>
      <c r="J15" s="2" t="s">
        <v>5804</v>
      </c>
      <c r="K15" s="2">
        <v>0</v>
      </c>
      <c r="L15" t="s">
        <v>35</v>
      </c>
      <c r="M15" t="s">
        <v>29</v>
      </c>
      <c r="N15" t="s">
        <v>30</v>
      </c>
      <c r="O15">
        <v>37219</v>
      </c>
      <c r="P15" t="s">
        <v>5805</v>
      </c>
      <c r="Q15" s="2">
        <v>0.04</v>
      </c>
      <c r="R15" s="2">
        <v>10</v>
      </c>
      <c r="S15" s="2">
        <v>153</v>
      </c>
      <c r="T15" t="s">
        <v>5806</v>
      </c>
      <c r="U15" s="6">
        <v>21923</v>
      </c>
      <c r="V15" s="2">
        <v>47037014300</v>
      </c>
      <c r="W15" s="2" t="s">
        <v>68</v>
      </c>
      <c r="X15" s="1">
        <v>45658</v>
      </c>
      <c r="Y15" s="2">
        <v>50000</v>
      </c>
      <c r="Z15" s="2">
        <v>0</v>
      </c>
      <c r="AA15" s="2">
        <v>50000</v>
      </c>
    </row>
    <row r="16" spans="1:27" x14ac:dyDescent="0.3">
      <c r="A16" s="3">
        <v>21</v>
      </c>
      <c r="B16" s="2" t="str">
        <f>"09206029300"</f>
        <v>09206029300</v>
      </c>
      <c r="C16" s="2" t="s">
        <v>5807</v>
      </c>
      <c r="D16" t="s">
        <v>29</v>
      </c>
      <c r="E16" s="2" t="s">
        <v>30</v>
      </c>
      <c r="F16" s="2">
        <v>37209</v>
      </c>
      <c r="G16" s="2" t="s">
        <v>64</v>
      </c>
      <c r="H16" t="s">
        <v>99</v>
      </c>
      <c r="I16" s="6">
        <v>28145</v>
      </c>
      <c r="J16" s="2" t="s">
        <v>5808</v>
      </c>
      <c r="K16" s="2">
        <v>300</v>
      </c>
      <c r="L16" t="s">
        <v>35</v>
      </c>
      <c r="M16" t="s">
        <v>29</v>
      </c>
      <c r="N16" t="s">
        <v>30</v>
      </c>
      <c r="O16">
        <v>37219</v>
      </c>
      <c r="P16" t="s">
        <v>5809</v>
      </c>
      <c r="Q16" s="2">
        <v>0.02</v>
      </c>
      <c r="R16" s="2">
        <v>47</v>
      </c>
      <c r="S16" s="2">
        <v>25</v>
      </c>
      <c r="T16" t="s">
        <v>5810</v>
      </c>
      <c r="U16" s="6">
        <v>3789</v>
      </c>
      <c r="V16" s="2">
        <v>47037013601</v>
      </c>
      <c r="W16" s="2" t="s">
        <v>68</v>
      </c>
      <c r="X16" s="1">
        <v>45658</v>
      </c>
      <c r="Y16" s="2">
        <v>100</v>
      </c>
      <c r="Z16" s="2">
        <v>0</v>
      </c>
      <c r="AA16" s="2">
        <v>100</v>
      </c>
    </row>
    <row r="17" spans="1:27" x14ac:dyDescent="0.3">
      <c r="A17" s="3">
        <v>21</v>
      </c>
      <c r="B17" s="2" t="str">
        <f>"09209015800"</f>
        <v>09209015800</v>
      </c>
      <c r="C17" s="2" t="s">
        <v>5811</v>
      </c>
      <c r="D17" t="s">
        <v>29</v>
      </c>
      <c r="E17" s="2" t="s">
        <v>30</v>
      </c>
      <c r="F17" s="2">
        <v>37209</v>
      </c>
      <c r="G17" s="2" t="s">
        <v>64</v>
      </c>
      <c r="H17" t="s">
        <v>99</v>
      </c>
      <c r="I17" s="6">
        <v>28110</v>
      </c>
      <c r="J17" s="2" t="s">
        <v>5812</v>
      </c>
      <c r="K17" s="2">
        <v>316</v>
      </c>
      <c r="L17" t="s">
        <v>35</v>
      </c>
      <c r="M17" t="s">
        <v>29</v>
      </c>
      <c r="N17" t="s">
        <v>30</v>
      </c>
      <c r="O17">
        <v>37219</v>
      </c>
      <c r="P17" t="s">
        <v>5813</v>
      </c>
      <c r="Q17" s="2">
        <v>0.02</v>
      </c>
      <c r="R17" s="2">
        <v>26</v>
      </c>
      <c r="S17" s="2">
        <v>67</v>
      </c>
      <c r="T17" t="s">
        <v>5814</v>
      </c>
      <c r="U17" s="6">
        <v>23348</v>
      </c>
      <c r="V17" s="2">
        <v>47037013601</v>
      </c>
      <c r="W17" s="2" t="s">
        <v>68</v>
      </c>
      <c r="X17" s="1">
        <v>45658</v>
      </c>
      <c r="Y17" s="2">
        <v>100</v>
      </c>
      <c r="Z17" s="2">
        <v>0</v>
      </c>
      <c r="AA17" s="2">
        <v>100</v>
      </c>
    </row>
    <row r="18" spans="1:27" x14ac:dyDescent="0.3">
      <c r="A18" s="3">
        <v>21</v>
      </c>
      <c r="B18" s="2" t="str">
        <f>"091040A00200CO"</f>
        <v>091040A00200CO</v>
      </c>
      <c r="C18" s="2" t="s">
        <v>5815</v>
      </c>
      <c r="D18" t="s">
        <v>29</v>
      </c>
      <c r="E18" s="2" t="s">
        <v>30</v>
      </c>
      <c r="F18" s="2">
        <v>37209</v>
      </c>
      <c r="G18" s="2" t="s">
        <v>64</v>
      </c>
      <c r="H18" t="s">
        <v>99</v>
      </c>
      <c r="I18" s="6">
        <v>40891</v>
      </c>
      <c r="J18" s="2" t="s">
        <v>5816</v>
      </c>
      <c r="K18" s="2">
        <v>1008</v>
      </c>
      <c r="L18" t="s">
        <v>35</v>
      </c>
      <c r="M18" t="s">
        <v>29</v>
      </c>
      <c r="N18" t="s">
        <v>30</v>
      </c>
      <c r="O18">
        <v>37219</v>
      </c>
      <c r="P18" t="s">
        <v>5817</v>
      </c>
      <c r="Q18" s="2">
        <v>0</v>
      </c>
      <c r="R18" s="2">
        <v>0</v>
      </c>
      <c r="S18" s="2">
        <v>0</v>
      </c>
      <c r="T18" t="s">
        <v>5818</v>
      </c>
      <c r="U18" s="6">
        <v>38944</v>
      </c>
      <c r="V18" s="2">
        <v>47037013601</v>
      </c>
      <c r="W18" s="2" t="s">
        <v>68</v>
      </c>
      <c r="X18" s="1">
        <v>45658</v>
      </c>
      <c r="Y18" s="2">
        <v>120000</v>
      </c>
      <c r="Z18" s="2">
        <v>0</v>
      </c>
      <c r="AA18" s="2">
        <v>120000</v>
      </c>
    </row>
    <row r="19" spans="1:27" x14ac:dyDescent="0.3">
      <c r="A19" s="3">
        <v>21</v>
      </c>
      <c r="B19" s="2" t="str">
        <f>"09202021800"</f>
        <v>09202021800</v>
      </c>
      <c r="C19" s="2" t="s">
        <v>5819</v>
      </c>
      <c r="D19" t="s">
        <v>29</v>
      </c>
      <c r="E19" s="2" t="s">
        <v>30</v>
      </c>
      <c r="F19" s="2">
        <v>37208</v>
      </c>
      <c r="G19" s="2" t="s">
        <v>64</v>
      </c>
      <c r="H19" t="s">
        <v>99</v>
      </c>
      <c r="I19" s="6">
        <v>28306</v>
      </c>
      <c r="J19" s="2" t="s">
        <v>5820</v>
      </c>
      <c r="K19" s="2">
        <v>155</v>
      </c>
      <c r="L19" t="s">
        <v>35</v>
      </c>
      <c r="M19" t="s">
        <v>29</v>
      </c>
      <c r="N19" t="s">
        <v>30</v>
      </c>
      <c r="O19">
        <v>37210</v>
      </c>
      <c r="P19" t="s">
        <v>5821</v>
      </c>
      <c r="Q19" s="2">
        <v>0.02</v>
      </c>
      <c r="R19" s="2">
        <v>44</v>
      </c>
      <c r="S19" s="2">
        <v>37</v>
      </c>
      <c r="T19" t="s">
        <v>5822</v>
      </c>
      <c r="U19" s="6">
        <v>23594</v>
      </c>
      <c r="V19" s="2">
        <v>47037014300</v>
      </c>
      <c r="W19" s="2" t="s">
        <v>68</v>
      </c>
      <c r="X19" s="1">
        <v>45658</v>
      </c>
      <c r="Y19" s="2">
        <v>7500</v>
      </c>
      <c r="Z19" s="2">
        <v>0</v>
      </c>
      <c r="AA19" s="2">
        <v>7500</v>
      </c>
    </row>
    <row r="20" spans="1:27" x14ac:dyDescent="0.3">
      <c r="A20" s="3">
        <v>21</v>
      </c>
      <c r="B20" s="2" t="str">
        <f>"08116001900"</f>
        <v>08116001900</v>
      </c>
      <c r="C20" s="2" t="s">
        <v>5823</v>
      </c>
      <c r="D20" t="s">
        <v>29</v>
      </c>
      <c r="E20" s="2" t="s">
        <v>30</v>
      </c>
      <c r="F20" s="2">
        <v>37208</v>
      </c>
      <c r="G20" s="2" t="s">
        <v>64</v>
      </c>
      <c r="H20" t="s">
        <v>99</v>
      </c>
      <c r="I20" s="6">
        <v>30238</v>
      </c>
      <c r="J20" s="2" t="s">
        <v>5824</v>
      </c>
      <c r="K20" s="2">
        <v>118</v>
      </c>
      <c r="L20" t="s">
        <v>35</v>
      </c>
      <c r="M20" t="s">
        <v>29</v>
      </c>
      <c r="N20" t="s">
        <v>30</v>
      </c>
      <c r="O20">
        <v>37219</v>
      </c>
      <c r="P20" t="s">
        <v>5825</v>
      </c>
      <c r="Q20" s="2">
        <v>0.06</v>
      </c>
      <c r="R20" s="2">
        <v>6</v>
      </c>
      <c r="S20" s="2">
        <v>170</v>
      </c>
      <c r="T20" t="s">
        <v>5826</v>
      </c>
      <c r="U20" s="6">
        <v>26225</v>
      </c>
      <c r="V20" s="2">
        <v>47037013900</v>
      </c>
      <c r="W20" s="2" t="s">
        <v>68</v>
      </c>
      <c r="X20" s="1">
        <v>45658</v>
      </c>
      <c r="Y20" s="2">
        <v>1500</v>
      </c>
      <c r="Z20" s="2">
        <v>0</v>
      </c>
      <c r="AA20" s="2">
        <v>1500</v>
      </c>
    </row>
    <row r="21" spans="1:27" x14ac:dyDescent="0.3">
      <c r="A21" s="3">
        <v>21</v>
      </c>
      <c r="B21" s="2" t="str">
        <f>"09210016400"</f>
        <v>09210016400</v>
      </c>
      <c r="C21" s="2" t="s">
        <v>5827</v>
      </c>
      <c r="D21" t="s">
        <v>29</v>
      </c>
      <c r="E21" s="2" t="s">
        <v>30</v>
      </c>
      <c r="F21" s="2">
        <v>37209</v>
      </c>
      <c r="G21" s="2" t="s">
        <v>64</v>
      </c>
      <c r="H21" t="s">
        <v>99</v>
      </c>
      <c r="I21" s="6">
        <v>38385</v>
      </c>
      <c r="J21" s="2" t="s">
        <v>5828</v>
      </c>
      <c r="K21" s="2">
        <v>1671</v>
      </c>
      <c r="L21" t="s">
        <v>35</v>
      </c>
      <c r="M21" t="s">
        <v>29</v>
      </c>
      <c r="N21" t="s">
        <v>30</v>
      </c>
      <c r="O21">
        <v>37219</v>
      </c>
      <c r="P21" t="s">
        <v>5829</v>
      </c>
      <c r="Q21" s="2">
        <v>0.21</v>
      </c>
      <c r="R21" s="2">
        <v>89</v>
      </c>
      <c r="S21" s="2">
        <v>201</v>
      </c>
      <c r="T21" t="s">
        <v>5830</v>
      </c>
      <c r="U21" s="6">
        <v>21541</v>
      </c>
      <c r="V21" s="2">
        <v>47037014300</v>
      </c>
      <c r="W21" s="2" t="s">
        <v>68</v>
      </c>
      <c r="X21" s="1">
        <v>45658</v>
      </c>
      <c r="Y21" s="2">
        <v>200000</v>
      </c>
      <c r="Z21" s="2">
        <v>0</v>
      </c>
      <c r="AA21" s="2">
        <v>200000</v>
      </c>
    </row>
    <row r="22" spans="1:27" x14ac:dyDescent="0.3">
      <c r="A22" s="3">
        <v>21</v>
      </c>
      <c r="B22" s="2" t="str">
        <f>"09210043200"</f>
        <v>09210043200</v>
      </c>
      <c r="C22" s="2" t="s">
        <v>5831</v>
      </c>
      <c r="D22" t="s">
        <v>29</v>
      </c>
      <c r="E22" s="2" t="s">
        <v>30</v>
      </c>
      <c r="F22" s="2">
        <v>37209</v>
      </c>
      <c r="G22" s="2" t="s">
        <v>64</v>
      </c>
      <c r="H22" t="s">
        <v>99</v>
      </c>
      <c r="I22" s="6">
        <v>41198</v>
      </c>
      <c r="J22" s="2" t="s">
        <v>5832</v>
      </c>
      <c r="K22" s="2">
        <v>769</v>
      </c>
      <c r="L22" t="s">
        <v>35</v>
      </c>
      <c r="M22" t="s">
        <v>29</v>
      </c>
      <c r="N22" t="s">
        <v>30</v>
      </c>
      <c r="O22">
        <v>37219</v>
      </c>
      <c r="P22" t="s">
        <v>5833</v>
      </c>
      <c r="Q22" s="2">
        <v>0.05</v>
      </c>
      <c r="R22" s="2">
        <v>20</v>
      </c>
      <c r="S22" s="2">
        <v>125</v>
      </c>
      <c r="T22" t="s">
        <v>5834</v>
      </c>
      <c r="U22" s="6">
        <v>32737</v>
      </c>
      <c r="V22" s="2">
        <v>47037014300</v>
      </c>
      <c r="W22" s="2" t="s">
        <v>68</v>
      </c>
      <c r="X22" s="1">
        <v>45658</v>
      </c>
      <c r="Y22" s="2">
        <v>100000</v>
      </c>
      <c r="Z22" s="2">
        <v>0</v>
      </c>
      <c r="AA22" s="2">
        <v>100000</v>
      </c>
    </row>
    <row r="23" spans="1:27" x14ac:dyDescent="0.3">
      <c r="A23" s="3">
        <v>21</v>
      </c>
      <c r="B23" s="2" t="str">
        <f>"09202035400"</f>
        <v>09202035400</v>
      </c>
      <c r="C23" s="2" t="s">
        <v>5835</v>
      </c>
      <c r="D23" t="s">
        <v>29</v>
      </c>
      <c r="E23" s="2" t="s">
        <v>30</v>
      </c>
      <c r="F23" s="2">
        <v>37208</v>
      </c>
      <c r="G23" s="2" t="s">
        <v>64</v>
      </c>
      <c r="H23" t="s">
        <v>99</v>
      </c>
      <c r="I23" s="6">
        <v>29195</v>
      </c>
      <c r="J23" s="2" t="s">
        <v>5836</v>
      </c>
      <c r="K23" s="2">
        <v>242</v>
      </c>
      <c r="L23" t="s">
        <v>35</v>
      </c>
      <c r="M23" t="s">
        <v>29</v>
      </c>
      <c r="N23" t="s">
        <v>30</v>
      </c>
      <c r="O23">
        <v>37219</v>
      </c>
      <c r="P23" t="s">
        <v>5837</v>
      </c>
      <c r="Q23" s="2">
        <v>0.03</v>
      </c>
      <c r="R23" s="2">
        <v>80</v>
      </c>
      <c r="S23" s="2">
        <v>85</v>
      </c>
      <c r="T23" t="s">
        <v>5838</v>
      </c>
      <c r="U23" s="6">
        <v>23219</v>
      </c>
      <c r="V23" s="2">
        <v>47037014300</v>
      </c>
      <c r="W23" s="2" t="s">
        <v>68</v>
      </c>
      <c r="X23" s="1">
        <v>45658</v>
      </c>
      <c r="Y23" s="2">
        <v>7500</v>
      </c>
      <c r="Z23" s="2">
        <v>0</v>
      </c>
      <c r="AA23" s="2">
        <v>7500</v>
      </c>
    </row>
    <row r="24" spans="1:27" x14ac:dyDescent="0.3">
      <c r="A24" s="3">
        <v>21</v>
      </c>
      <c r="B24" s="2" t="str">
        <f>"09206031600"</f>
        <v>09206031600</v>
      </c>
      <c r="C24" s="2" t="s">
        <v>5839</v>
      </c>
      <c r="D24" t="s">
        <v>29</v>
      </c>
      <c r="E24" s="2" t="s">
        <v>30</v>
      </c>
      <c r="F24" s="2">
        <v>37209</v>
      </c>
      <c r="G24" s="2" t="s">
        <v>64</v>
      </c>
      <c r="H24" t="s">
        <v>99</v>
      </c>
      <c r="I24" s="6">
        <v>28068</v>
      </c>
      <c r="J24" s="2" t="s">
        <v>5840</v>
      </c>
      <c r="K24" s="2">
        <v>212</v>
      </c>
      <c r="L24" t="s">
        <v>35</v>
      </c>
      <c r="M24" t="s">
        <v>29</v>
      </c>
      <c r="N24" t="s">
        <v>30</v>
      </c>
      <c r="O24">
        <v>37219</v>
      </c>
      <c r="P24" t="s">
        <v>5841</v>
      </c>
      <c r="Q24" s="2">
        <v>0.02</v>
      </c>
      <c r="R24" s="2">
        <v>40</v>
      </c>
      <c r="S24" s="2">
        <v>39</v>
      </c>
      <c r="T24" t="s">
        <v>5842</v>
      </c>
      <c r="U24" s="6">
        <v>18749</v>
      </c>
      <c r="V24" s="2">
        <v>47037014300</v>
      </c>
      <c r="W24" s="2" t="s">
        <v>68</v>
      </c>
      <c r="X24" s="1">
        <v>45658</v>
      </c>
      <c r="Y24" s="2">
        <v>10000</v>
      </c>
      <c r="Z24" s="2">
        <v>0</v>
      </c>
      <c r="AA24" s="2">
        <v>10000</v>
      </c>
    </row>
    <row r="25" spans="1:27" x14ac:dyDescent="0.3">
      <c r="A25" s="3">
        <v>21</v>
      </c>
      <c r="B25" s="2" t="str">
        <f>"09206031100"</f>
        <v>09206031100</v>
      </c>
      <c r="C25" s="2" t="s">
        <v>5843</v>
      </c>
      <c r="D25" t="s">
        <v>29</v>
      </c>
      <c r="E25" s="2" t="s">
        <v>30</v>
      </c>
      <c r="F25" s="2">
        <v>37209</v>
      </c>
      <c r="G25" s="2" t="s">
        <v>64</v>
      </c>
      <c r="H25" t="s">
        <v>99</v>
      </c>
      <c r="I25" s="6">
        <v>28145</v>
      </c>
      <c r="J25" s="2" t="s">
        <v>5844</v>
      </c>
      <c r="K25" s="2">
        <v>344</v>
      </c>
      <c r="L25" t="s">
        <v>35</v>
      </c>
      <c r="M25" t="s">
        <v>29</v>
      </c>
      <c r="N25" t="s">
        <v>30</v>
      </c>
      <c r="O25">
        <v>37219</v>
      </c>
      <c r="P25" t="s">
        <v>5845</v>
      </c>
      <c r="Q25" s="2">
        <v>0.09</v>
      </c>
      <c r="R25" s="2">
        <v>66</v>
      </c>
      <c r="S25" s="2">
        <v>84</v>
      </c>
      <c r="T25" t="s">
        <v>5846</v>
      </c>
      <c r="U25" s="6">
        <v>11344</v>
      </c>
      <c r="V25" s="2">
        <v>47037013601</v>
      </c>
      <c r="W25" s="2" t="s">
        <v>68</v>
      </c>
      <c r="X25" s="1">
        <v>45658</v>
      </c>
      <c r="Y25" s="2">
        <v>1500</v>
      </c>
      <c r="Z25" s="2">
        <v>0</v>
      </c>
      <c r="AA25" s="2">
        <v>1500</v>
      </c>
    </row>
    <row r="26" spans="1:27" x14ac:dyDescent="0.3">
      <c r="A26" s="3">
        <v>21</v>
      </c>
      <c r="B26" s="2" t="str">
        <f>"08112004200"</f>
        <v>08112004200</v>
      </c>
      <c r="C26" s="2" t="s">
        <v>5847</v>
      </c>
      <c r="D26" t="s">
        <v>29</v>
      </c>
      <c r="E26" s="2" t="s">
        <v>30</v>
      </c>
      <c r="F26" s="2">
        <v>37208</v>
      </c>
      <c r="G26" s="2" t="s">
        <v>64</v>
      </c>
      <c r="H26" t="s">
        <v>99</v>
      </c>
      <c r="I26" s="6">
        <v>35977</v>
      </c>
      <c r="J26" s="2" t="s">
        <v>5848</v>
      </c>
      <c r="K26" s="2">
        <v>325</v>
      </c>
      <c r="L26" t="s">
        <v>35</v>
      </c>
      <c r="M26" t="s">
        <v>29</v>
      </c>
      <c r="N26" t="s">
        <v>30</v>
      </c>
      <c r="O26">
        <v>37219</v>
      </c>
      <c r="P26" t="s">
        <v>5849</v>
      </c>
      <c r="Q26" s="2">
        <v>0.01</v>
      </c>
      <c r="R26" s="2">
        <v>35</v>
      </c>
      <c r="S26" s="2">
        <v>14</v>
      </c>
      <c r="T26" t="s">
        <v>5850</v>
      </c>
      <c r="U26" s="6">
        <v>15336</v>
      </c>
      <c r="V26" s="2">
        <v>47037013900</v>
      </c>
      <c r="W26" s="2" t="s">
        <v>68</v>
      </c>
      <c r="X26" s="1">
        <v>45658</v>
      </c>
      <c r="Y26" s="2">
        <v>200</v>
      </c>
      <c r="Z26" s="2">
        <v>0</v>
      </c>
      <c r="AA26" s="2">
        <v>200</v>
      </c>
    </row>
    <row r="27" spans="1:27" x14ac:dyDescent="0.3">
      <c r="A27" s="3">
        <v>21</v>
      </c>
      <c r="B27" s="2" t="str">
        <f>"08112004100"</f>
        <v>08112004100</v>
      </c>
      <c r="C27" s="2" t="s">
        <v>5851</v>
      </c>
      <c r="D27" t="s">
        <v>29</v>
      </c>
      <c r="E27" s="2" t="s">
        <v>30</v>
      </c>
      <c r="F27" s="2">
        <v>37208</v>
      </c>
      <c r="G27" s="2" t="s">
        <v>64</v>
      </c>
      <c r="H27" t="s">
        <v>99</v>
      </c>
      <c r="I27" s="6">
        <v>28383</v>
      </c>
      <c r="J27" s="2" t="s">
        <v>5852</v>
      </c>
      <c r="K27" s="2">
        <v>190</v>
      </c>
      <c r="L27" t="s">
        <v>35</v>
      </c>
      <c r="M27" t="s">
        <v>29</v>
      </c>
      <c r="N27" t="s">
        <v>30</v>
      </c>
      <c r="O27">
        <v>37219</v>
      </c>
      <c r="P27" t="s">
        <v>5853</v>
      </c>
      <c r="Q27" s="2">
        <v>0.01</v>
      </c>
      <c r="R27" s="2">
        <v>50</v>
      </c>
      <c r="S27" s="2">
        <v>29</v>
      </c>
      <c r="T27" t="s">
        <v>5854</v>
      </c>
      <c r="U27" s="6">
        <v>21119</v>
      </c>
      <c r="V27" s="2">
        <v>47037013900</v>
      </c>
      <c r="W27" s="2" t="s">
        <v>68</v>
      </c>
      <c r="X27" s="1">
        <v>45658</v>
      </c>
      <c r="Y27" s="2">
        <v>200</v>
      </c>
      <c r="Z27" s="2">
        <v>0</v>
      </c>
      <c r="AA27" s="2">
        <v>200</v>
      </c>
    </row>
    <row r="28" spans="1:27" x14ac:dyDescent="0.3">
      <c r="A28" s="3">
        <v>21</v>
      </c>
      <c r="B28" s="2" t="str">
        <f>"08112004000"</f>
        <v>08112004000</v>
      </c>
      <c r="C28" s="2" t="s">
        <v>5855</v>
      </c>
      <c r="D28" t="s">
        <v>29</v>
      </c>
      <c r="E28" s="2" t="s">
        <v>30</v>
      </c>
      <c r="F28" s="2">
        <v>37208</v>
      </c>
      <c r="G28" s="2" t="s">
        <v>64</v>
      </c>
      <c r="H28" t="s">
        <v>99</v>
      </c>
      <c r="I28" s="6">
        <v>28236</v>
      </c>
      <c r="J28" s="2" t="s">
        <v>5856</v>
      </c>
      <c r="K28" s="2">
        <v>205</v>
      </c>
      <c r="L28" t="s">
        <v>35</v>
      </c>
      <c r="M28" t="s">
        <v>29</v>
      </c>
      <c r="N28" t="s">
        <v>30</v>
      </c>
      <c r="O28">
        <v>37219</v>
      </c>
      <c r="P28" t="s">
        <v>5857</v>
      </c>
      <c r="Q28" s="2">
        <v>0.01</v>
      </c>
      <c r="R28" s="2">
        <v>13</v>
      </c>
      <c r="S28" s="2">
        <v>29</v>
      </c>
      <c r="T28" t="s">
        <v>5858</v>
      </c>
      <c r="U28" s="6">
        <v>21059</v>
      </c>
      <c r="V28" s="2">
        <v>47037013900</v>
      </c>
      <c r="W28" s="2" t="s">
        <v>68</v>
      </c>
      <c r="X28" s="1">
        <v>45658</v>
      </c>
      <c r="Y28" s="2">
        <v>200</v>
      </c>
      <c r="Z28" s="2">
        <v>0</v>
      </c>
      <c r="AA28" s="2">
        <v>200</v>
      </c>
    </row>
    <row r="29" spans="1:27" x14ac:dyDescent="0.3">
      <c r="A29" s="3">
        <v>21</v>
      </c>
      <c r="B29" s="2" t="str">
        <f>"08115051400"</f>
        <v>08115051400</v>
      </c>
      <c r="C29" s="2" t="s">
        <v>5859</v>
      </c>
      <c r="D29" t="s">
        <v>29</v>
      </c>
      <c r="E29" s="2" t="s">
        <v>30</v>
      </c>
      <c r="F29" s="2">
        <v>37208</v>
      </c>
      <c r="G29" s="2" t="s">
        <v>64</v>
      </c>
      <c r="H29" t="s">
        <v>99</v>
      </c>
      <c r="I29" s="6">
        <v>30077</v>
      </c>
      <c r="J29" s="2" t="s">
        <v>5860</v>
      </c>
      <c r="K29" s="2">
        <v>205</v>
      </c>
      <c r="L29" t="s">
        <v>35</v>
      </c>
      <c r="M29" t="s">
        <v>29</v>
      </c>
      <c r="N29" t="s">
        <v>30</v>
      </c>
      <c r="O29">
        <v>37219</v>
      </c>
      <c r="P29" t="s">
        <v>5861</v>
      </c>
      <c r="Q29" s="2">
        <v>0.02</v>
      </c>
      <c r="R29" s="2">
        <v>43</v>
      </c>
      <c r="S29" s="2">
        <v>32</v>
      </c>
      <c r="T29" t="s">
        <v>5862</v>
      </c>
      <c r="U29" s="6">
        <v>26077</v>
      </c>
      <c r="V29" s="2">
        <v>47037014200</v>
      </c>
      <c r="W29" s="2" t="s">
        <v>68</v>
      </c>
      <c r="X29" s="1">
        <v>45658</v>
      </c>
      <c r="Y29" s="2">
        <v>7600</v>
      </c>
      <c r="Z29" s="2">
        <v>0</v>
      </c>
      <c r="AA29" s="2">
        <v>7600</v>
      </c>
    </row>
    <row r="30" spans="1:27" x14ac:dyDescent="0.3">
      <c r="A30" s="3">
        <v>21</v>
      </c>
      <c r="B30" s="2" t="str">
        <f>"08115051500"</f>
        <v>08115051500</v>
      </c>
      <c r="C30" s="2" t="s">
        <v>5863</v>
      </c>
      <c r="D30" t="s">
        <v>29</v>
      </c>
      <c r="E30" s="2" t="s">
        <v>30</v>
      </c>
      <c r="F30" s="2">
        <v>37208</v>
      </c>
      <c r="G30" s="2" t="s">
        <v>64</v>
      </c>
      <c r="H30" t="s">
        <v>99</v>
      </c>
      <c r="I30" s="6">
        <v>28110</v>
      </c>
      <c r="J30" s="2" t="s">
        <v>5864</v>
      </c>
      <c r="K30" s="2">
        <v>205</v>
      </c>
      <c r="L30" t="s">
        <v>35</v>
      </c>
      <c r="M30" t="s">
        <v>29</v>
      </c>
      <c r="N30" t="s">
        <v>30</v>
      </c>
      <c r="O30">
        <v>37219</v>
      </c>
      <c r="P30" t="s">
        <v>5865</v>
      </c>
      <c r="Q30" s="2">
        <v>0.01</v>
      </c>
      <c r="R30" s="2">
        <v>42</v>
      </c>
      <c r="S30" s="2">
        <v>39</v>
      </c>
      <c r="T30" t="s">
        <v>5866</v>
      </c>
      <c r="U30" s="6">
        <v>16825</v>
      </c>
      <c r="V30" s="2">
        <v>47037014200</v>
      </c>
      <c r="W30" s="2" t="s">
        <v>68</v>
      </c>
      <c r="X30" s="1">
        <v>45658</v>
      </c>
      <c r="Y30" s="2">
        <v>7600</v>
      </c>
      <c r="Z30" s="2">
        <v>0</v>
      </c>
      <c r="AA30" s="2">
        <v>7600</v>
      </c>
    </row>
    <row r="31" spans="1:27" x14ac:dyDescent="0.3">
      <c r="A31" s="3">
        <v>21</v>
      </c>
      <c r="B31" s="2" t="str">
        <f>"08112019100"</f>
        <v>08112019100</v>
      </c>
      <c r="C31" s="2" t="s">
        <v>5867</v>
      </c>
      <c r="D31" t="s">
        <v>29</v>
      </c>
      <c r="E31" s="2" t="s">
        <v>30</v>
      </c>
      <c r="F31" s="2">
        <v>37208</v>
      </c>
      <c r="G31" s="2" t="s">
        <v>64</v>
      </c>
      <c r="H31" t="s">
        <v>99</v>
      </c>
      <c r="I31" s="6">
        <v>35655</v>
      </c>
      <c r="J31" s="2" t="s">
        <v>5868</v>
      </c>
      <c r="K31" s="2">
        <v>331</v>
      </c>
      <c r="L31" t="s">
        <v>35</v>
      </c>
      <c r="M31" t="s">
        <v>29</v>
      </c>
      <c r="N31" t="s">
        <v>30</v>
      </c>
      <c r="O31">
        <v>37219</v>
      </c>
      <c r="P31" t="s">
        <v>5869</v>
      </c>
      <c r="Q31" s="2">
        <v>0.04</v>
      </c>
      <c r="R31" s="2">
        <v>25</v>
      </c>
      <c r="S31" s="2">
        <v>86</v>
      </c>
      <c r="T31" t="s">
        <v>5870</v>
      </c>
      <c r="U31" s="6">
        <v>24870</v>
      </c>
      <c r="V31" s="2">
        <v>47037013900</v>
      </c>
      <c r="W31" s="2" t="s">
        <v>68</v>
      </c>
      <c r="X31" s="1">
        <v>45658</v>
      </c>
      <c r="Y31" s="2">
        <v>1500</v>
      </c>
      <c r="Z31" s="2">
        <v>0</v>
      </c>
      <c r="AA31" s="2">
        <v>1500</v>
      </c>
    </row>
    <row r="32" spans="1:27" x14ac:dyDescent="0.3">
      <c r="A32" s="3">
        <v>21</v>
      </c>
      <c r="B32" s="2" t="str">
        <f>"09206032800"</f>
        <v>09206032800</v>
      </c>
      <c r="C32" s="2" t="s">
        <v>5871</v>
      </c>
      <c r="D32" t="s">
        <v>29</v>
      </c>
      <c r="E32" s="2" t="s">
        <v>30</v>
      </c>
      <c r="F32" s="2">
        <v>37209</v>
      </c>
      <c r="G32" s="2" t="s">
        <v>64</v>
      </c>
      <c r="H32" t="s">
        <v>99</v>
      </c>
      <c r="I32" s="6">
        <v>39617</v>
      </c>
      <c r="J32" s="2" t="s">
        <v>5872</v>
      </c>
      <c r="K32" s="2" t="s">
        <v>34</v>
      </c>
      <c r="L32" t="s">
        <v>35</v>
      </c>
      <c r="M32" t="s">
        <v>29</v>
      </c>
      <c r="N32" t="s">
        <v>30</v>
      </c>
      <c r="O32">
        <v>37219</v>
      </c>
      <c r="P32" t="s">
        <v>5873</v>
      </c>
      <c r="Q32" s="2">
        <v>0.16</v>
      </c>
      <c r="R32" s="2">
        <v>42</v>
      </c>
      <c r="S32" s="2">
        <v>198</v>
      </c>
      <c r="T32" t="s">
        <v>5874</v>
      </c>
      <c r="U32" s="6">
        <v>20181</v>
      </c>
      <c r="V32" s="2">
        <v>47037014300</v>
      </c>
      <c r="W32" s="2" t="s">
        <v>68</v>
      </c>
      <c r="X32" s="1">
        <v>45658</v>
      </c>
      <c r="Y32" s="2">
        <v>10000</v>
      </c>
      <c r="Z32" s="2">
        <v>0</v>
      </c>
      <c r="AA32" s="2">
        <v>10000</v>
      </c>
    </row>
    <row r="33" spans="1:27" x14ac:dyDescent="0.3">
      <c r="A33" s="3">
        <v>21</v>
      </c>
      <c r="B33" s="2" t="str">
        <f>"08107024700"</f>
        <v>08107024700</v>
      </c>
      <c r="C33" s="2" t="s">
        <v>5875</v>
      </c>
      <c r="D33" t="s">
        <v>29</v>
      </c>
      <c r="E33" s="2" t="s">
        <v>30</v>
      </c>
      <c r="F33" s="2">
        <v>37208</v>
      </c>
      <c r="G33" s="2" t="s">
        <v>64</v>
      </c>
      <c r="H33" t="s">
        <v>99</v>
      </c>
      <c r="I33" s="6">
        <v>39430</v>
      </c>
      <c r="J33" s="2" t="s">
        <v>5876</v>
      </c>
      <c r="K33" s="2">
        <v>4961</v>
      </c>
      <c r="L33" t="s">
        <v>35</v>
      </c>
      <c r="M33" t="s">
        <v>29</v>
      </c>
      <c r="N33" t="s">
        <v>30</v>
      </c>
      <c r="O33">
        <v>37219</v>
      </c>
      <c r="P33" t="s">
        <v>5877</v>
      </c>
      <c r="Q33" s="2">
        <v>0.04</v>
      </c>
      <c r="R33" s="2">
        <v>42</v>
      </c>
      <c r="S33" s="2">
        <v>50</v>
      </c>
      <c r="T33" t="s">
        <v>5878</v>
      </c>
      <c r="U33" s="6">
        <v>26239</v>
      </c>
      <c r="V33" s="2">
        <v>47037013700</v>
      </c>
      <c r="W33" s="2" t="s">
        <v>68</v>
      </c>
      <c r="X33" s="1">
        <v>45658</v>
      </c>
      <c r="Y33" s="2">
        <v>139500</v>
      </c>
      <c r="Z33" s="2">
        <v>0</v>
      </c>
      <c r="AA33" s="2">
        <v>139500</v>
      </c>
    </row>
    <row r="34" spans="1:27" x14ac:dyDescent="0.3">
      <c r="A34" s="3">
        <v>21</v>
      </c>
      <c r="B34" s="2" t="str">
        <f>"09104010000"</f>
        <v>09104010000</v>
      </c>
      <c r="C34" s="2" t="s">
        <v>5879</v>
      </c>
      <c r="D34" t="s">
        <v>29</v>
      </c>
      <c r="E34" s="2" t="s">
        <v>30</v>
      </c>
      <c r="F34" s="2">
        <v>37209</v>
      </c>
      <c r="G34" s="2" t="s">
        <v>41</v>
      </c>
      <c r="H34" t="s">
        <v>99</v>
      </c>
      <c r="I34" s="6">
        <v>41234</v>
      </c>
      <c r="J34" s="2" t="s">
        <v>5880</v>
      </c>
      <c r="K34" s="2">
        <v>1348</v>
      </c>
      <c r="L34" t="s">
        <v>35</v>
      </c>
      <c r="M34" t="s">
        <v>29</v>
      </c>
      <c r="N34" t="s">
        <v>30</v>
      </c>
      <c r="O34">
        <v>37219</v>
      </c>
      <c r="P34" t="s">
        <v>5881</v>
      </c>
      <c r="Q34" s="2">
        <v>0.01</v>
      </c>
      <c r="R34" s="2">
        <v>7</v>
      </c>
      <c r="S34" s="2">
        <v>13</v>
      </c>
      <c r="T34" t="s">
        <v>5882</v>
      </c>
      <c r="U34" s="6">
        <v>34605</v>
      </c>
      <c r="V34" s="2">
        <v>47037013602</v>
      </c>
      <c r="W34" s="2" t="s">
        <v>68</v>
      </c>
      <c r="X34" s="1">
        <v>45658</v>
      </c>
      <c r="Y34" s="2">
        <v>4200</v>
      </c>
      <c r="Z34" s="2">
        <v>0</v>
      </c>
      <c r="AA34" s="2">
        <v>4200</v>
      </c>
    </row>
    <row r="35" spans="1:27" x14ac:dyDescent="0.3">
      <c r="A35" s="3">
        <v>21</v>
      </c>
      <c r="B35" s="2" t="str">
        <f>"08111007700"</f>
        <v>08111007700</v>
      </c>
      <c r="C35" s="2" t="s">
        <v>5883</v>
      </c>
      <c r="D35" t="s">
        <v>29</v>
      </c>
      <c r="E35" s="2" t="s">
        <v>30</v>
      </c>
      <c r="F35" s="2">
        <v>37208</v>
      </c>
      <c r="G35" s="2" t="s">
        <v>147</v>
      </c>
      <c r="H35" t="s">
        <v>5884</v>
      </c>
      <c r="I35" s="6">
        <v>23792</v>
      </c>
      <c r="J35" s="2" t="s">
        <v>5885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5886</v>
      </c>
      <c r="Q35" s="2">
        <v>0.64</v>
      </c>
      <c r="R35" s="2">
        <v>121</v>
      </c>
      <c r="S35" s="2">
        <v>210</v>
      </c>
      <c r="T35" t="s">
        <v>4954</v>
      </c>
      <c r="U35" s="6">
        <v>29986</v>
      </c>
      <c r="V35" s="2">
        <v>47037013900</v>
      </c>
      <c r="W35" s="2" t="s">
        <v>68</v>
      </c>
      <c r="X35" s="1">
        <v>45658</v>
      </c>
      <c r="Y35" s="2">
        <v>210000</v>
      </c>
      <c r="Z35" s="2">
        <v>0</v>
      </c>
      <c r="AA35" s="2">
        <v>210000</v>
      </c>
    </row>
    <row r="36" spans="1:27" x14ac:dyDescent="0.3">
      <c r="A36" s="3">
        <v>21</v>
      </c>
      <c r="B36" s="2" t="str">
        <f>"09202002800"</f>
        <v>09202002800</v>
      </c>
      <c r="C36" s="2" t="s">
        <v>5887</v>
      </c>
      <c r="D36" t="s">
        <v>29</v>
      </c>
      <c r="E36" s="2" t="s">
        <v>30</v>
      </c>
      <c r="F36" s="2">
        <v>37208</v>
      </c>
      <c r="G36" s="2" t="s">
        <v>901</v>
      </c>
      <c r="H36" t="s">
        <v>5888</v>
      </c>
      <c r="I36" s="6">
        <v>27395</v>
      </c>
      <c r="J36" s="2" t="s">
        <v>5889</v>
      </c>
      <c r="K36" s="2" t="s">
        <v>34</v>
      </c>
      <c r="L36" t="s">
        <v>35</v>
      </c>
      <c r="M36" t="s">
        <v>29</v>
      </c>
      <c r="N36" t="s">
        <v>30</v>
      </c>
      <c r="O36">
        <v>37210</v>
      </c>
      <c r="P36" t="s">
        <v>5890</v>
      </c>
      <c r="Q36" s="2">
        <v>0.5</v>
      </c>
      <c r="R36" s="2">
        <v>150</v>
      </c>
      <c r="S36" s="2">
        <v>150</v>
      </c>
      <c r="T36" t="s">
        <v>5891</v>
      </c>
      <c r="U36" s="6">
        <v>4517</v>
      </c>
      <c r="V36" s="2">
        <v>47037013602</v>
      </c>
      <c r="W36" s="2" t="s">
        <v>68</v>
      </c>
      <c r="X36" s="1">
        <v>45658</v>
      </c>
      <c r="Y36" s="2">
        <v>240000</v>
      </c>
      <c r="Z36" s="2">
        <v>0</v>
      </c>
      <c r="AA36" s="2">
        <v>240000</v>
      </c>
    </row>
    <row r="37" spans="1:27" x14ac:dyDescent="0.3">
      <c r="A37" s="3">
        <v>21</v>
      </c>
      <c r="B37" s="2" t="str">
        <f>"08116032500"</f>
        <v>08116032500</v>
      </c>
      <c r="C37" s="2" t="s">
        <v>5892</v>
      </c>
      <c r="D37" t="s">
        <v>29</v>
      </c>
      <c r="E37" s="2" t="s">
        <v>30</v>
      </c>
      <c r="F37" s="2">
        <v>37208</v>
      </c>
      <c r="G37" s="2" t="s">
        <v>64</v>
      </c>
      <c r="H37" t="s">
        <v>5893</v>
      </c>
      <c r="I37" s="6">
        <v>41444</v>
      </c>
      <c r="J37" s="2" t="s">
        <v>5894</v>
      </c>
      <c r="K37" s="2">
        <v>470</v>
      </c>
      <c r="L37" t="s">
        <v>35</v>
      </c>
      <c r="M37" t="s">
        <v>29</v>
      </c>
      <c r="N37" t="s">
        <v>30</v>
      </c>
      <c r="O37">
        <v>37219</v>
      </c>
      <c r="P37" t="s">
        <v>5895</v>
      </c>
      <c r="Q37" s="2">
        <v>0.06</v>
      </c>
      <c r="R37" s="2">
        <v>25</v>
      </c>
      <c r="S37" s="2">
        <v>101</v>
      </c>
      <c r="T37" t="s">
        <v>5896</v>
      </c>
      <c r="U37" s="6">
        <v>17330</v>
      </c>
      <c r="V37" s="2">
        <v>47037014200</v>
      </c>
      <c r="W37" s="2" t="s">
        <v>68</v>
      </c>
      <c r="X37" s="1">
        <v>45658</v>
      </c>
      <c r="Y37" s="2">
        <v>45600</v>
      </c>
      <c r="Z37" s="2">
        <v>0</v>
      </c>
      <c r="AA37" s="2">
        <v>45600</v>
      </c>
    </row>
    <row r="38" spans="1:27" x14ac:dyDescent="0.3">
      <c r="A38" s="3">
        <v>21</v>
      </c>
      <c r="B38" s="2" t="str">
        <f>"09203002100"</f>
        <v>09203002100</v>
      </c>
      <c r="C38" s="2" t="s">
        <v>5897</v>
      </c>
      <c r="D38" t="s">
        <v>29</v>
      </c>
      <c r="E38" s="2" t="s">
        <v>30</v>
      </c>
      <c r="F38" s="2">
        <v>37208</v>
      </c>
      <c r="G38" s="2" t="s">
        <v>41</v>
      </c>
      <c r="H38" t="s">
        <v>911</v>
      </c>
      <c r="I38" s="6">
        <v>27310</v>
      </c>
      <c r="J38" s="2" t="s">
        <v>5898</v>
      </c>
      <c r="K38" s="2">
        <v>36000</v>
      </c>
      <c r="L38" t="s">
        <v>35</v>
      </c>
      <c r="M38" t="s">
        <v>29</v>
      </c>
      <c r="N38" t="s">
        <v>30</v>
      </c>
      <c r="O38">
        <v>37219</v>
      </c>
      <c r="P38" t="s">
        <v>5899</v>
      </c>
      <c r="Q38" s="2">
        <v>0.17</v>
      </c>
      <c r="R38" s="2">
        <v>67</v>
      </c>
      <c r="S38" s="2">
        <v>127</v>
      </c>
      <c r="T38" t="s">
        <v>5898</v>
      </c>
      <c r="U38" s="6">
        <v>27310</v>
      </c>
      <c r="V38" s="2">
        <v>47037014200</v>
      </c>
      <c r="W38" s="2" t="s">
        <v>68</v>
      </c>
      <c r="X38" s="1">
        <v>45658</v>
      </c>
      <c r="Y38" s="2">
        <v>444300</v>
      </c>
      <c r="Z38" s="2">
        <v>0</v>
      </c>
      <c r="AA38" s="2">
        <v>444300</v>
      </c>
    </row>
    <row r="39" spans="1:27" x14ac:dyDescent="0.3">
      <c r="A39" s="3">
        <v>21</v>
      </c>
      <c r="B39" s="2" t="str">
        <f>"08100002002"</f>
        <v>08100002002</v>
      </c>
      <c r="C39" s="2" t="s">
        <v>5900</v>
      </c>
      <c r="D39" t="s">
        <v>29</v>
      </c>
      <c r="E39" s="2" t="s">
        <v>30</v>
      </c>
      <c r="F39" s="2">
        <v>37208</v>
      </c>
      <c r="G39" s="2" t="s">
        <v>152</v>
      </c>
      <c r="H39" t="s">
        <v>176</v>
      </c>
      <c r="I39" s="6">
        <v>22014</v>
      </c>
      <c r="J39" s="2" t="s">
        <v>5901</v>
      </c>
      <c r="K39" s="2" t="s">
        <v>34</v>
      </c>
      <c r="L39" t="s">
        <v>178</v>
      </c>
      <c r="M39" t="s">
        <v>29</v>
      </c>
      <c r="N39" t="s">
        <v>30</v>
      </c>
      <c r="O39">
        <v>37246</v>
      </c>
      <c r="P39" t="s">
        <v>5902</v>
      </c>
      <c r="Q39" s="2">
        <v>0.21</v>
      </c>
      <c r="R39" s="2">
        <v>65</v>
      </c>
      <c r="S39" s="2">
        <v>124</v>
      </c>
      <c r="T39" t="s">
        <v>5901</v>
      </c>
      <c r="U39" s="6">
        <v>22014</v>
      </c>
      <c r="V39" s="2">
        <v>47037013700</v>
      </c>
      <c r="W39" s="2" t="s">
        <v>68</v>
      </c>
      <c r="X39" s="1">
        <v>45658</v>
      </c>
      <c r="Y39" s="2">
        <v>185000</v>
      </c>
      <c r="Z39" s="2">
        <v>0</v>
      </c>
      <c r="AA39" s="2">
        <v>185000</v>
      </c>
    </row>
    <row r="40" spans="1:27" x14ac:dyDescent="0.3">
      <c r="A40" s="3">
        <v>21</v>
      </c>
      <c r="B40" s="2" t="str">
        <f>"09208001100"</f>
        <v>09208001100</v>
      </c>
      <c r="C40" s="2" t="s">
        <v>5903</v>
      </c>
      <c r="D40" t="s">
        <v>29</v>
      </c>
      <c r="E40" s="2" t="s">
        <v>30</v>
      </c>
      <c r="F40" s="2">
        <v>37203</v>
      </c>
      <c r="G40" s="2" t="s">
        <v>152</v>
      </c>
      <c r="H40" t="s">
        <v>176</v>
      </c>
      <c r="I40" s="6">
        <v>17828</v>
      </c>
      <c r="J40" s="2" t="s">
        <v>5904</v>
      </c>
      <c r="K40" s="2" t="s">
        <v>34</v>
      </c>
      <c r="L40" t="s">
        <v>178</v>
      </c>
      <c r="M40" t="s">
        <v>29</v>
      </c>
      <c r="N40" t="s">
        <v>30</v>
      </c>
      <c r="O40">
        <v>37246</v>
      </c>
      <c r="P40" t="s">
        <v>5905</v>
      </c>
      <c r="Q40" s="2">
        <v>1.81</v>
      </c>
      <c r="R40" s="2">
        <v>182</v>
      </c>
      <c r="S40" s="2">
        <v>382</v>
      </c>
      <c r="T40" t="s">
        <v>5906</v>
      </c>
      <c r="U40" s="6">
        <v>30001</v>
      </c>
      <c r="V40" s="2">
        <v>47037014400</v>
      </c>
      <c r="W40" s="2" t="s">
        <v>68</v>
      </c>
      <c r="X40" s="1">
        <v>45658</v>
      </c>
      <c r="Y40" s="2">
        <v>7096000</v>
      </c>
      <c r="Z40" s="2">
        <v>0</v>
      </c>
      <c r="AA40" s="2">
        <v>7096000</v>
      </c>
    </row>
    <row r="41" spans="1:27" x14ac:dyDescent="0.3">
      <c r="A41" s="3">
        <v>21</v>
      </c>
      <c r="B41" s="2" t="str">
        <f>"09211002000"</f>
        <v>09211002000</v>
      </c>
      <c r="C41" s="2" t="s">
        <v>5907</v>
      </c>
      <c r="D41" t="s">
        <v>29</v>
      </c>
      <c r="E41" s="2" t="s">
        <v>30</v>
      </c>
      <c r="F41" s="2">
        <v>37209</v>
      </c>
      <c r="G41" s="2" t="s">
        <v>1485</v>
      </c>
      <c r="H41" t="s">
        <v>176</v>
      </c>
      <c r="I41" s="6">
        <v>35198</v>
      </c>
      <c r="J41" s="2" t="s">
        <v>5908</v>
      </c>
      <c r="K41" s="2">
        <v>415000</v>
      </c>
      <c r="L41" t="s">
        <v>178</v>
      </c>
      <c r="M41" t="s">
        <v>29</v>
      </c>
      <c r="N41" t="s">
        <v>30</v>
      </c>
      <c r="O41">
        <v>37246</v>
      </c>
      <c r="P41" t="s">
        <v>5909</v>
      </c>
      <c r="Q41" s="2">
        <v>3.49</v>
      </c>
      <c r="R41" s="2">
        <v>675</v>
      </c>
      <c r="S41" s="2">
        <v>193</v>
      </c>
      <c r="T41" t="s">
        <v>5910</v>
      </c>
      <c r="U41" s="6">
        <v>35479</v>
      </c>
      <c r="V41" s="2">
        <v>47037014400</v>
      </c>
      <c r="W41" s="2" t="s">
        <v>68</v>
      </c>
      <c r="X41" s="1">
        <v>45658</v>
      </c>
      <c r="Y41" s="2">
        <v>13682300</v>
      </c>
      <c r="Z41" s="2">
        <v>0</v>
      </c>
      <c r="AA41" s="2">
        <v>13682300</v>
      </c>
    </row>
    <row r="42" spans="1:27" x14ac:dyDescent="0.3">
      <c r="A42" s="3">
        <v>21</v>
      </c>
      <c r="B42" s="2" t="str">
        <f>"09112021900"</f>
        <v>09112021900</v>
      </c>
      <c r="C42" s="2" t="s">
        <v>5911</v>
      </c>
      <c r="D42" t="s">
        <v>29</v>
      </c>
      <c r="E42" s="2" t="s">
        <v>30</v>
      </c>
      <c r="F42" s="2">
        <v>37209</v>
      </c>
      <c r="G42" s="2" t="s">
        <v>152</v>
      </c>
      <c r="H42" t="s">
        <v>176</v>
      </c>
      <c r="I42" s="6">
        <v>18122</v>
      </c>
      <c r="J42" s="2" t="s">
        <v>5912</v>
      </c>
      <c r="K42" s="2" t="s">
        <v>34</v>
      </c>
      <c r="L42" t="s">
        <v>178</v>
      </c>
      <c r="M42" t="s">
        <v>29</v>
      </c>
      <c r="N42" t="s">
        <v>30</v>
      </c>
      <c r="O42">
        <v>37246</v>
      </c>
      <c r="P42" t="s">
        <v>5913</v>
      </c>
      <c r="Q42" s="2">
        <v>0.26</v>
      </c>
      <c r="R42" s="2">
        <v>95</v>
      </c>
      <c r="S42" s="2">
        <v>118</v>
      </c>
      <c r="T42" t="s">
        <v>5914</v>
      </c>
      <c r="U42" s="6">
        <v>37069</v>
      </c>
      <c r="V42" s="2">
        <v>47037013601</v>
      </c>
      <c r="W42" s="2" t="s">
        <v>68</v>
      </c>
      <c r="X42" s="1">
        <v>45658</v>
      </c>
      <c r="Y42" s="2">
        <v>224200</v>
      </c>
      <c r="Z42" s="2">
        <v>0</v>
      </c>
      <c r="AA42" s="2">
        <v>224200</v>
      </c>
    </row>
    <row r="43" spans="1:27" x14ac:dyDescent="0.3">
      <c r="A43" s="3">
        <v>21</v>
      </c>
      <c r="B43" s="2" t="str">
        <f>"08115030700"</f>
        <v>08115030700</v>
      </c>
      <c r="C43" s="2" t="s">
        <v>5915</v>
      </c>
      <c r="D43" t="s">
        <v>29</v>
      </c>
      <c r="E43" s="2" t="s">
        <v>30</v>
      </c>
      <c r="F43" s="2">
        <v>37208</v>
      </c>
      <c r="G43" s="2" t="s">
        <v>152</v>
      </c>
      <c r="H43" t="s">
        <v>176</v>
      </c>
      <c r="I43" s="6">
        <v>14472</v>
      </c>
      <c r="J43" s="2" t="s">
        <v>1267</v>
      </c>
      <c r="K43" s="2" t="s">
        <v>34</v>
      </c>
      <c r="L43" t="s">
        <v>178</v>
      </c>
      <c r="M43" t="s">
        <v>29</v>
      </c>
      <c r="N43" t="s">
        <v>30</v>
      </c>
      <c r="O43">
        <v>37246</v>
      </c>
      <c r="P43" t="s">
        <v>5916</v>
      </c>
      <c r="Q43" s="2">
        <v>0.19</v>
      </c>
      <c r="R43" s="2">
        <v>50</v>
      </c>
      <c r="S43" s="2">
        <v>177</v>
      </c>
      <c r="T43" t="s">
        <v>1267</v>
      </c>
      <c r="U43" s="6">
        <v>14472</v>
      </c>
      <c r="V43" s="2">
        <v>47037013900</v>
      </c>
      <c r="W43" s="2" t="s">
        <v>68</v>
      </c>
      <c r="X43" s="1">
        <v>45658</v>
      </c>
      <c r="Y43" s="2">
        <v>190000</v>
      </c>
      <c r="Z43" s="2">
        <v>0</v>
      </c>
      <c r="AA43" s="2">
        <v>190000</v>
      </c>
    </row>
    <row r="44" spans="1:27" x14ac:dyDescent="0.3">
      <c r="A44" s="3">
        <v>21</v>
      </c>
      <c r="B44" s="2" t="str">
        <f>"09108030200"</f>
        <v>09108030200</v>
      </c>
      <c r="C44" s="2" t="s">
        <v>5917</v>
      </c>
      <c r="D44" t="s">
        <v>29</v>
      </c>
      <c r="E44" s="2" t="s">
        <v>30</v>
      </c>
      <c r="F44" s="2">
        <v>37209</v>
      </c>
      <c r="G44" s="2" t="s">
        <v>64</v>
      </c>
      <c r="H44" t="s">
        <v>176</v>
      </c>
      <c r="I44" s="6">
        <v>30320</v>
      </c>
      <c r="J44" s="2" t="s">
        <v>5918</v>
      </c>
      <c r="K44" s="2">
        <v>82500</v>
      </c>
      <c r="L44" t="s">
        <v>178</v>
      </c>
      <c r="M44" t="s">
        <v>29</v>
      </c>
      <c r="N44" t="s">
        <v>30</v>
      </c>
      <c r="O44">
        <v>37246</v>
      </c>
      <c r="P44" t="s">
        <v>5919</v>
      </c>
      <c r="Q44" s="2">
        <v>1.1499999999999999</v>
      </c>
      <c r="R44" s="2">
        <v>217</v>
      </c>
      <c r="S44" s="2">
        <v>218</v>
      </c>
      <c r="T44" t="s">
        <v>5920</v>
      </c>
      <c r="U44" s="6">
        <v>33455</v>
      </c>
      <c r="V44" s="2">
        <v>47037013601</v>
      </c>
      <c r="W44" s="2" t="s">
        <v>68</v>
      </c>
      <c r="X44" s="1">
        <v>45658</v>
      </c>
      <c r="Y44" s="2">
        <v>299700</v>
      </c>
      <c r="Z44" s="2">
        <v>0</v>
      </c>
      <c r="AA44" s="2">
        <v>299700</v>
      </c>
    </row>
    <row r="45" spans="1:27" x14ac:dyDescent="0.3">
      <c r="A45" s="3">
        <v>21</v>
      </c>
      <c r="B45" s="2" t="str">
        <f>"09108030300"</f>
        <v>09108030300</v>
      </c>
      <c r="C45" s="2" t="s">
        <v>5921</v>
      </c>
      <c r="D45" t="s">
        <v>29</v>
      </c>
      <c r="E45" s="2" t="s">
        <v>30</v>
      </c>
      <c r="F45" s="2">
        <v>37209</v>
      </c>
      <c r="G45" s="2" t="s">
        <v>64</v>
      </c>
      <c r="H45" t="s">
        <v>176</v>
      </c>
      <c r="I45" s="6">
        <v>30320</v>
      </c>
      <c r="J45" s="2" t="s">
        <v>5918</v>
      </c>
      <c r="K45" s="2">
        <v>82500</v>
      </c>
      <c r="L45" t="s">
        <v>178</v>
      </c>
      <c r="M45" t="s">
        <v>29</v>
      </c>
      <c r="N45" t="s">
        <v>30</v>
      </c>
      <c r="O45">
        <v>37246</v>
      </c>
      <c r="P45" t="s">
        <v>5922</v>
      </c>
      <c r="Q45" s="2">
        <v>2.19</v>
      </c>
      <c r="R45" s="2">
        <v>0</v>
      </c>
      <c r="S45" s="2">
        <v>0</v>
      </c>
      <c r="T45" t="s">
        <v>5923</v>
      </c>
      <c r="U45" s="6">
        <v>33955</v>
      </c>
      <c r="V45" s="2">
        <v>47037013601</v>
      </c>
      <c r="W45" s="2" t="s">
        <v>68</v>
      </c>
      <c r="X45" s="1">
        <v>45658</v>
      </c>
      <c r="Y45" s="2">
        <v>355900</v>
      </c>
      <c r="Z45" s="2">
        <v>0</v>
      </c>
      <c r="AA45" s="2">
        <v>355900</v>
      </c>
    </row>
    <row r="46" spans="1:27" x14ac:dyDescent="0.3">
      <c r="A46" s="3">
        <v>21</v>
      </c>
      <c r="B46" s="2" t="str">
        <f>"09215003300"</f>
        <v>09215003300</v>
      </c>
      <c r="C46" s="2" t="s">
        <v>5924</v>
      </c>
      <c r="D46" t="s">
        <v>29</v>
      </c>
      <c r="E46" s="2" t="s">
        <v>30</v>
      </c>
      <c r="F46" s="2">
        <v>37203</v>
      </c>
      <c r="G46" s="2" t="s">
        <v>200</v>
      </c>
      <c r="H46" t="s">
        <v>5925</v>
      </c>
      <c r="I46" s="6">
        <v>27484</v>
      </c>
      <c r="J46" s="2" t="s">
        <v>5926</v>
      </c>
      <c r="K46" s="2" t="s">
        <v>34</v>
      </c>
      <c r="L46" t="s">
        <v>35</v>
      </c>
      <c r="M46" t="s">
        <v>29</v>
      </c>
      <c r="N46" t="s">
        <v>30</v>
      </c>
      <c r="O46">
        <v>37219</v>
      </c>
      <c r="P46" t="s">
        <v>5927</v>
      </c>
      <c r="Q46" s="2">
        <v>17.03</v>
      </c>
      <c r="R46" s="2">
        <v>0</v>
      </c>
      <c r="S46" s="2">
        <v>0</v>
      </c>
      <c r="T46" t="s">
        <v>5928</v>
      </c>
      <c r="U46" s="6">
        <v>41688</v>
      </c>
      <c r="V46" s="2">
        <v>47037016500</v>
      </c>
      <c r="W46" s="2" t="s">
        <v>68</v>
      </c>
      <c r="X46" s="1">
        <v>45658</v>
      </c>
      <c r="Y46" s="2">
        <v>111274100</v>
      </c>
      <c r="Z46" s="2">
        <v>0</v>
      </c>
      <c r="AA46" s="2">
        <v>111274100</v>
      </c>
    </row>
    <row r="47" spans="1:27" x14ac:dyDescent="0.3">
      <c r="A47" s="3">
        <v>21</v>
      </c>
      <c r="B47" s="2" t="str">
        <f>"09214004600"</f>
        <v>09214004600</v>
      </c>
      <c r="C47" s="2" t="s">
        <v>5929</v>
      </c>
      <c r="D47" t="s">
        <v>29</v>
      </c>
      <c r="E47" s="2" t="s">
        <v>30</v>
      </c>
      <c r="F47" s="2">
        <v>37203</v>
      </c>
      <c r="G47" s="2" t="s">
        <v>200</v>
      </c>
      <c r="H47" t="s">
        <v>5925</v>
      </c>
      <c r="I47" s="6">
        <v>9966</v>
      </c>
      <c r="J47" s="2" t="s">
        <v>5930</v>
      </c>
      <c r="K47" s="2" t="s">
        <v>34</v>
      </c>
      <c r="L47" t="s">
        <v>35</v>
      </c>
      <c r="M47" t="s">
        <v>29</v>
      </c>
      <c r="N47" t="s">
        <v>30</v>
      </c>
      <c r="O47">
        <v>37219</v>
      </c>
      <c r="P47" t="s">
        <v>5931</v>
      </c>
      <c r="Q47" s="2">
        <v>0.3</v>
      </c>
      <c r="R47" s="2">
        <v>357</v>
      </c>
      <c r="S47" s="2">
        <v>76</v>
      </c>
      <c r="T47" t="s">
        <v>5932</v>
      </c>
      <c r="U47" s="6">
        <v>31153</v>
      </c>
      <c r="V47" s="2">
        <v>47037016600</v>
      </c>
      <c r="W47" s="2" t="s">
        <v>68</v>
      </c>
      <c r="X47" s="1">
        <v>45658</v>
      </c>
      <c r="Y47" s="2">
        <v>280800</v>
      </c>
      <c r="Z47" s="2">
        <v>0</v>
      </c>
      <c r="AA47" s="2">
        <v>280800</v>
      </c>
    </row>
    <row r="48" spans="1:27" x14ac:dyDescent="0.3">
      <c r="A48" s="3">
        <v>21</v>
      </c>
      <c r="B48" s="2" t="str">
        <f>"09214009300"</f>
        <v>09214009300</v>
      </c>
      <c r="C48" s="2" t="s">
        <v>5933</v>
      </c>
      <c r="D48" t="s">
        <v>29</v>
      </c>
      <c r="E48" s="2" t="s">
        <v>30</v>
      </c>
      <c r="F48" s="2">
        <v>37203</v>
      </c>
      <c r="G48" s="2" t="s">
        <v>200</v>
      </c>
      <c r="H48" t="s">
        <v>5925</v>
      </c>
      <c r="I48" s="6">
        <v>26364</v>
      </c>
      <c r="J48" s="2" t="s">
        <v>5934</v>
      </c>
      <c r="K48" s="2" t="s">
        <v>34</v>
      </c>
      <c r="L48" t="s">
        <v>35</v>
      </c>
      <c r="M48" t="s">
        <v>29</v>
      </c>
      <c r="N48" t="s">
        <v>30</v>
      </c>
      <c r="O48">
        <v>37219</v>
      </c>
      <c r="P48" t="s">
        <v>5935</v>
      </c>
      <c r="Q48" s="2">
        <v>10.1</v>
      </c>
      <c r="R48" s="2">
        <v>0</v>
      </c>
      <c r="S48" s="2">
        <v>0</v>
      </c>
      <c r="T48" t="s">
        <v>278</v>
      </c>
      <c r="U48" s="6">
        <v>31414</v>
      </c>
      <c r="V48" s="2">
        <v>47037016600</v>
      </c>
      <c r="W48" s="2" t="s">
        <v>68</v>
      </c>
      <c r="X48" s="1">
        <v>45658</v>
      </c>
      <c r="Y48" s="2">
        <v>1030000</v>
      </c>
      <c r="Z48" s="2">
        <v>0</v>
      </c>
      <c r="AA48" s="2">
        <v>1030000</v>
      </c>
    </row>
    <row r="49" spans="1:27" x14ac:dyDescent="0.3">
      <c r="A49" s="3">
        <v>21</v>
      </c>
      <c r="B49" s="2" t="str">
        <f>"09214007600"</f>
        <v>09214007600</v>
      </c>
      <c r="C49" s="2" t="s">
        <v>5936</v>
      </c>
      <c r="D49" t="s">
        <v>29</v>
      </c>
      <c r="E49" s="2" t="s">
        <v>30</v>
      </c>
      <c r="F49" s="2">
        <v>37203</v>
      </c>
      <c r="G49" s="2" t="s">
        <v>200</v>
      </c>
      <c r="H49" t="s">
        <v>5925</v>
      </c>
      <c r="I49" s="6">
        <v>26364</v>
      </c>
      <c r="J49" s="2" t="s">
        <v>5934</v>
      </c>
      <c r="K49" s="2" t="s">
        <v>34</v>
      </c>
      <c r="L49" t="s">
        <v>35</v>
      </c>
      <c r="M49" t="s">
        <v>29</v>
      </c>
      <c r="N49" t="s">
        <v>30</v>
      </c>
      <c r="O49">
        <v>37219</v>
      </c>
      <c r="P49" t="s">
        <v>5937</v>
      </c>
      <c r="Q49" s="2">
        <v>91.28</v>
      </c>
      <c r="R49" s="2">
        <v>0</v>
      </c>
      <c r="S49" s="2">
        <v>0</v>
      </c>
      <c r="T49" t="s">
        <v>278</v>
      </c>
      <c r="U49" s="6">
        <v>31414</v>
      </c>
      <c r="V49" s="2">
        <v>47037016600</v>
      </c>
      <c r="W49" s="2" t="s">
        <v>68</v>
      </c>
      <c r="X49" s="1">
        <v>45658</v>
      </c>
      <c r="Y49" s="2">
        <v>1039000</v>
      </c>
      <c r="Z49" s="2">
        <v>0</v>
      </c>
      <c r="AA49" s="2">
        <v>1039000</v>
      </c>
    </row>
    <row r="50" spans="1:27" x14ac:dyDescent="0.3">
      <c r="A50" s="3">
        <v>21</v>
      </c>
      <c r="B50" s="2" t="str">
        <f>"08111050300"</f>
        <v>08111050300</v>
      </c>
      <c r="C50" s="2" t="s">
        <v>5938</v>
      </c>
      <c r="D50" t="s">
        <v>29</v>
      </c>
      <c r="E50" s="2" t="s">
        <v>30</v>
      </c>
      <c r="F50" s="2">
        <v>37208</v>
      </c>
      <c r="G50" s="2" t="s">
        <v>200</v>
      </c>
      <c r="H50" t="s">
        <v>5939</v>
      </c>
      <c r="I50" s="6">
        <v>43790</v>
      </c>
      <c r="J50" s="2" t="s">
        <v>5940</v>
      </c>
      <c r="K50" s="2">
        <v>0</v>
      </c>
      <c r="L50" t="s">
        <v>35</v>
      </c>
      <c r="M50" t="s">
        <v>29</v>
      </c>
      <c r="N50" t="s">
        <v>30</v>
      </c>
      <c r="O50">
        <v>37219</v>
      </c>
      <c r="P50" t="s">
        <v>5941</v>
      </c>
      <c r="Q50" s="2">
        <v>1.53</v>
      </c>
      <c r="R50" s="2">
        <v>725</v>
      </c>
      <c r="S50" s="2">
        <v>748</v>
      </c>
      <c r="T50" t="s">
        <v>5940</v>
      </c>
      <c r="U50" s="6">
        <v>1</v>
      </c>
      <c r="V50" s="2">
        <v>47037013900</v>
      </c>
      <c r="W50" s="2" t="s">
        <v>68</v>
      </c>
      <c r="X50" s="1">
        <v>45658</v>
      </c>
      <c r="Y50" s="2">
        <v>223800</v>
      </c>
      <c r="Z50" s="2">
        <v>0</v>
      </c>
      <c r="AA50" s="2">
        <v>223800</v>
      </c>
    </row>
    <row r="51" spans="1:27" x14ac:dyDescent="0.3">
      <c r="A51" s="3">
        <v>21</v>
      </c>
      <c r="B51" s="2" t="str">
        <f>"09202001500"</f>
        <v>09202001500</v>
      </c>
      <c r="C51" s="2" t="s">
        <v>5942</v>
      </c>
      <c r="D51" t="s">
        <v>29</v>
      </c>
      <c r="E51" s="2" t="s">
        <v>30</v>
      </c>
      <c r="F51" s="2">
        <v>37208</v>
      </c>
      <c r="G51" s="2" t="s">
        <v>200</v>
      </c>
      <c r="H51" t="s">
        <v>5943</v>
      </c>
      <c r="I51" s="6">
        <v>4542</v>
      </c>
      <c r="J51" s="2" t="s">
        <v>5944</v>
      </c>
      <c r="K51" s="2" t="s">
        <v>34</v>
      </c>
      <c r="L51" t="s">
        <v>35</v>
      </c>
      <c r="M51" t="s">
        <v>29</v>
      </c>
      <c r="N51" t="s">
        <v>30</v>
      </c>
      <c r="O51">
        <v>37210</v>
      </c>
      <c r="P51" t="s">
        <v>5945</v>
      </c>
      <c r="Q51" s="2">
        <v>33.950000000000003</v>
      </c>
      <c r="R51" s="2">
        <v>0</v>
      </c>
      <c r="S51" s="2">
        <v>0</v>
      </c>
      <c r="T51" t="s">
        <v>5946</v>
      </c>
      <c r="U51" s="6">
        <v>30026</v>
      </c>
      <c r="V51" s="2">
        <v>47037013602</v>
      </c>
      <c r="W51" s="2" t="s">
        <v>68</v>
      </c>
      <c r="X51" s="1">
        <v>45658</v>
      </c>
      <c r="Y51" s="2">
        <v>734300</v>
      </c>
      <c r="Z51" s="2">
        <v>0</v>
      </c>
      <c r="AA51" s="2">
        <v>734300</v>
      </c>
    </row>
    <row r="52" spans="1:27" x14ac:dyDescent="0.3">
      <c r="A52" s="3">
        <v>21</v>
      </c>
      <c r="B52" s="2" t="str">
        <f>"09210022700"</f>
        <v>09210022700</v>
      </c>
      <c r="C52" s="2" t="s">
        <v>5947</v>
      </c>
      <c r="D52" t="s">
        <v>29</v>
      </c>
      <c r="E52" s="2" t="s">
        <v>30</v>
      </c>
      <c r="F52" s="2">
        <v>37209</v>
      </c>
      <c r="G52" s="2" t="s">
        <v>200</v>
      </c>
      <c r="H52" t="s">
        <v>5948</v>
      </c>
      <c r="I52" s="6">
        <v>29490</v>
      </c>
      <c r="J52" s="2" t="s">
        <v>5949</v>
      </c>
      <c r="K52" s="2">
        <v>3500</v>
      </c>
      <c r="L52" t="s">
        <v>35</v>
      </c>
      <c r="M52" t="s">
        <v>29</v>
      </c>
      <c r="N52" t="s">
        <v>30</v>
      </c>
      <c r="O52">
        <v>37219</v>
      </c>
      <c r="P52" t="s">
        <v>5950</v>
      </c>
      <c r="Q52" s="2">
        <v>0.32</v>
      </c>
      <c r="R52" s="2">
        <v>67</v>
      </c>
      <c r="S52" s="2">
        <v>200</v>
      </c>
      <c r="T52" t="s">
        <v>5951</v>
      </c>
      <c r="U52" s="6">
        <v>17139</v>
      </c>
      <c r="V52" s="2">
        <v>47037014300</v>
      </c>
      <c r="W52" s="2" t="s">
        <v>68</v>
      </c>
      <c r="X52" s="1">
        <v>45658</v>
      </c>
      <c r="Y52" s="2">
        <v>280000</v>
      </c>
      <c r="Z52" s="2">
        <v>0</v>
      </c>
      <c r="AA52" s="2">
        <v>280000</v>
      </c>
    </row>
    <row r="53" spans="1:27" x14ac:dyDescent="0.3">
      <c r="A53" s="3">
        <v>21</v>
      </c>
      <c r="B53" s="2" t="str">
        <f>"09210022600"</f>
        <v>09210022600</v>
      </c>
      <c r="C53" s="2" t="s">
        <v>5952</v>
      </c>
      <c r="D53" t="s">
        <v>29</v>
      </c>
      <c r="E53" s="2" t="s">
        <v>30</v>
      </c>
      <c r="F53" s="2">
        <v>37209</v>
      </c>
      <c r="G53" s="2" t="s">
        <v>200</v>
      </c>
      <c r="H53" t="s">
        <v>5948</v>
      </c>
      <c r="I53" s="6">
        <v>12414</v>
      </c>
      <c r="J53" s="2" t="s">
        <v>5953</v>
      </c>
      <c r="K53" s="2" t="s">
        <v>34</v>
      </c>
      <c r="L53" t="s">
        <v>35</v>
      </c>
      <c r="M53" t="s">
        <v>29</v>
      </c>
      <c r="N53" t="s">
        <v>30</v>
      </c>
      <c r="O53">
        <v>37219</v>
      </c>
      <c r="P53" t="s">
        <v>5954</v>
      </c>
      <c r="Q53" s="2">
        <v>0.89</v>
      </c>
      <c r="R53" s="2">
        <v>200</v>
      </c>
      <c r="S53" s="2">
        <v>190</v>
      </c>
      <c r="T53" t="s">
        <v>5953</v>
      </c>
      <c r="U53" s="6">
        <v>12414</v>
      </c>
      <c r="V53" s="2">
        <v>47037014300</v>
      </c>
      <c r="W53" s="2" t="s">
        <v>68</v>
      </c>
      <c r="X53" s="1">
        <v>45658</v>
      </c>
      <c r="Y53" s="2">
        <v>322000</v>
      </c>
      <c r="Z53" s="2">
        <v>0</v>
      </c>
      <c r="AA53" s="2">
        <v>322000</v>
      </c>
    </row>
    <row r="54" spans="1:27" x14ac:dyDescent="0.3">
      <c r="A54" s="3">
        <v>21</v>
      </c>
      <c r="B54" s="2" t="str">
        <f>"08110029600"</f>
        <v>08110029600</v>
      </c>
      <c r="C54" s="2" t="s">
        <v>5955</v>
      </c>
      <c r="D54" t="s">
        <v>29</v>
      </c>
      <c r="E54" s="2" t="s">
        <v>30</v>
      </c>
      <c r="F54" s="2">
        <v>37208</v>
      </c>
      <c r="G54" s="2" t="s">
        <v>64</v>
      </c>
      <c r="H54" t="s">
        <v>5956</v>
      </c>
      <c r="I54" s="6">
        <v>28285</v>
      </c>
      <c r="J54" s="2" t="s">
        <v>5957</v>
      </c>
      <c r="K54" s="2" t="s">
        <v>34</v>
      </c>
      <c r="L54" t="s">
        <v>35</v>
      </c>
      <c r="M54" t="s">
        <v>29</v>
      </c>
      <c r="N54" t="s">
        <v>30</v>
      </c>
      <c r="O54">
        <v>37219</v>
      </c>
      <c r="P54" t="s">
        <v>5958</v>
      </c>
      <c r="Q54" s="2">
        <v>2.21</v>
      </c>
      <c r="R54" s="2">
        <v>159</v>
      </c>
      <c r="S54" s="2">
        <v>400</v>
      </c>
      <c r="T54" t="s">
        <v>278</v>
      </c>
      <c r="U54" s="6">
        <v>36578</v>
      </c>
      <c r="V54" s="2">
        <v>47037013800</v>
      </c>
      <c r="W54" s="2" t="s">
        <v>68</v>
      </c>
      <c r="X54" s="1">
        <v>45658</v>
      </c>
      <c r="Y54" s="2">
        <v>300800</v>
      </c>
      <c r="Z54" s="2">
        <v>0</v>
      </c>
      <c r="AA54" s="2">
        <v>300800</v>
      </c>
    </row>
    <row r="55" spans="1:27" x14ac:dyDescent="0.3">
      <c r="A55" s="3">
        <v>21</v>
      </c>
      <c r="B55" s="2" t="str">
        <f>"08114006000"</f>
        <v>08114006000</v>
      </c>
      <c r="C55" s="2" t="s">
        <v>5959</v>
      </c>
      <c r="D55" t="s">
        <v>29</v>
      </c>
      <c r="E55" s="2" t="s">
        <v>30</v>
      </c>
      <c r="F55" s="2">
        <v>37208</v>
      </c>
      <c r="G55" s="2" t="s">
        <v>64</v>
      </c>
      <c r="H55" t="s">
        <v>5960</v>
      </c>
      <c r="I55" s="6">
        <v>28278</v>
      </c>
      <c r="J55" s="2" t="s">
        <v>5961</v>
      </c>
      <c r="K55" s="2">
        <v>50000</v>
      </c>
      <c r="L55" t="s">
        <v>35</v>
      </c>
      <c r="M55" t="s">
        <v>29</v>
      </c>
      <c r="N55" t="s">
        <v>30</v>
      </c>
      <c r="O55">
        <v>37219</v>
      </c>
      <c r="P55" t="s">
        <v>5962</v>
      </c>
      <c r="Q55" s="2">
        <v>5.1100000000000003</v>
      </c>
      <c r="R55" s="2">
        <v>0</v>
      </c>
      <c r="S55" s="2">
        <v>0</v>
      </c>
      <c r="T55" t="s">
        <v>278</v>
      </c>
      <c r="U55" s="6">
        <v>36578</v>
      </c>
      <c r="V55" s="2">
        <v>47037013800</v>
      </c>
      <c r="W55" s="2" t="s">
        <v>68</v>
      </c>
      <c r="X55" s="1">
        <v>45658</v>
      </c>
      <c r="Y55" s="2">
        <v>487400</v>
      </c>
      <c r="Z55" s="2">
        <v>0</v>
      </c>
      <c r="AA55" s="2">
        <v>487400</v>
      </c>
    </row>
    <row r="56" spans="1:27" x14ac:dyDescent="0.3">
      <c r="A56" s="3">
        <v>21</v>
      </c>
      <c r="B56" s="2" t="str">
        <f>"09214004400"</f>
        <v>09214004400</v>
      </c>
      <c r="C56" s="2" t="s">
        <v>5963</v>
      </c>
      <c r="D56" t="s">
        <v>29</v>
      </c>
      <c r="E56" s="2" t="s">
        <v>30</v>
      </c>
      <c r="F56" s="2">
        <v>37203</v>
      </c>
      <c r="G56" s="2" t="s">
        <v>3569</v>
      </c>
      <c r="H56" t="s">
        <v>206</v>
      </c>
      <c r="I56" s="6">
        <v>31958</v>
      </c>
      <c r="J56" s="2" t="s">
        <v>5964</v>
      </c>
      <c r="K56" s="2">
        <v>4974129</v>
      </c>
      <c r="L56" t="s">
        <v>35</v>
      </c>
      <c r="M56" t="s">
        <v>29</v>
      </c>
      <c r="N56" t="s">
        <v>30</v>
      </c>
      <c r="O56">
        <v>37219</v>
      </c>
      <c r="P56" t="s">
        <v>5965</v>
      </c>
      <c r="Q56" s="2">
        <v>2.34</v>
      </c>
      <c r="R56" s="2">
        <v>0</v>
      </c>
      <c r="S56" s="2">
        <v>0</v>
      </c>
      <c r="T56" t="s">
        <v>5932</v>
      </c>
      <c r="U56" s="6">
        <v>31153</v>
      </c>
      <c r="V56" s="2">
        <v>47037016600</v>
      </c>
      <c r="W56" s="2" t="s">
        <v>68</v>
      </c>
      <c r="X56" s="1">
        <v>45658</v>
      </c>
      <c r="Y56" s="2">
        <v>7208400</v>
      </c>
      <c r="Z56" s="2">
        <v>710400</v>
      </c>
      <c r="AA56" s="2">
        <v>6498000</v>
      </c>
    </row>
    <row r="57" spans="1:27" x14ac:dyDescent="0.3">
      <c r="A57" s="3">
        <v>21</v>
      </c>
      <c r="B57" s="2" t="str">
        <f>"09214004800"</f>
        <v>09214004800</v>
      </c>
      <c r="C57" s="2" t="s">
        <v>5966</v>
      </c>
      <c r="D57" t="s">
        <v>29</v>
      </c>
      <c r="E57" s="2" t="s">
        <v>30</v>
      </c>
      <c r="F57" s="2">
        <v>37203</v>
      </c>
      <c r="G57" s="2" t="s">
        <v>2495</v>
      </c>
      <c r="H57" t="s">
        <v>206</v>
      </c>
      <c r="I57" s="6">
        <v>31958</v>
      </c>
      <c r="J57" s="2" t="s">
        <v>5964</v>
      </c>
      <c r="K57" s="2">
        <v>4974129</v>
      </c>
      <c r="L57" t="s">
        <v>35</v>
      </c>
      <c r="M57" t="s">
        <v>29</v>
      </c>
      <c r="N57" t="s">
        <v>30</v>
      </c>
      <c r="O57">
        <v>37219</v>
      </c>
      <c r="P57" t="s">
        <v>5967</v>
      </c>
      <c r="Q57" s="2">
        <v>0.85</v>
      </c>
      <c r="R57" s="2">
        <v>308</v>
      </c>
      <c r="S57" s="2">
        <v>138</v>
      </c>
      <c r="T57" t="s">
        <v>5932</v>
      </c>
      <c r="U57" s="6">
        <v>31153</v>
      </c>
      <c r="V57" s="2">
        <v>47037016600</v>
      </c>
      <c r="W57" s="2" t="s">
        <v>68</v>
      </c>
      <c r="X57" s="1">
        <v>45658</v>
      </c>
      <c r="Y57" s="2">
        <v>2804000</v>
      </c>
      <c r="Z57" s="2">
        <v>27000</v>
      </c>
      <c r="AA57" s="2">
        <v>2777000</v>
      </c>
    </row>
    <row r="58" spans="1:27" x14ac:dyDescent="0.3">
      <c r="A58" s="3">
        <v>21</v>
      </c>
      <c r="B58" s="2" t="str">
        <f>"09214005100"</f>
        <v>09214005100</v>
      </c>
      <c r="C58" s="2" t="s">
        <v>5968</v>
      </c>
      <c r="D58" t="s">
        <v>29</v>
      </c>
      <c r="E58" s="2" t="s">
        <v>30</v>
      </c>
      <c r="F58" s="2">
        <v>37203</v>
      </c>
      <c r="G58" s="2" t="s">
        <v>1485</v>
      </c>
      <c r="H58" t="s">
        <v>206</v>
      </c>
      <c r="I58" s="6">
        <v>31958</v>
      </c>
      <c r="J58" s="2" t="s">
        <v>5964</v>
      </c>
      <c r="K58" s="2" t="s">
        <v>34</v>
      </c>
      <c r="L58" t="s">
        <v>35</v>
      </c>
      <c r="M58" t="s">
        <v>29</v>
      </c>
      <c r="N58" t="s">
        <v>30</v>
      </c>
      <c r="O58">
        <v>37219</v>
      </c>
      <c r="P58" t="s">
        <v>5969</v>
      </c>
      <c r="Q58" s="2">
        <v>0.15</v>
      </c>
      <c r="R58" s="2">
        <v>53</v>
      </c>
      <c r="S58" s="2">
        <v>135</v>
      </c>
      <c r="T58" t="s">
        <v>5970</v>
      </c>
      <c r="U58" s="6">
        <v>13464</v>
      </c>
      <c r="V58" s="2">
        <v>47037016600</v>
      </c>
      <c r="W58" s="2" t="s">
        <v>68</v>
      </c>
      <c r="X58" s="1">
        <v>45658</v>
      </c>
      <c r="Y58" s="2">
        <v>536600</v>
      </c>
      <c r="Z58" s="2">
        <v>0</v>
      </c>
      <c r="AA58" s="2">
        <v>536600</v>
      </c>
    </row>
    <row r="59" spans="1:27" x14ac:dyDescent="0.3">
      <c r="A59" s="3">
        <v>21</v>
      </c>
      <c r="B59" s="2" t="str">
        <f>"09214005000"</f>
        <v>09214005000</v>
      </c>
      <c r="C59" s="2" t="s">
        <v>5971</v>
      </c>
      <c r="D59" t="s">
        <v>29</v>
      </c>
      <c r="E59" s="2" t="s">
        <v>30</v>
      </c>
      <c r="F59" s="2">
        <v>37203</v>
      </c>
      <c r="G59" s="2" t="s">
        <v>1485</v>
      </c>
      <c r="H59" t="s">
        <v>206</v>
      </c>
      <c r="I59" s="6">
        <v>31958</v>
      </c>
      <c r="J59" s="2" t="s">
        <v>5964</v>
      </c>
      <c r="K59" s="2" t="s">
        <v>34</v>
      </c>
      <c r="L59" t="s">
        <v>35</v>
      </c>
      <c r="M59" t="s">
        <v>29</v>
      </c>
      <c r="N59" t="s">
        <v>30</v>
      </c>
      <c r="O59">
        <v>37219</v>
      </c>
      <c r="P59" t="s">
        <v>5972</v>
      </c>
      <c r="Q59" s="2">
        <v>0.15</v>
      </c>
      <c r="R59" s="2">
        <v>50</v>
      </c>
      <c r="S59" s="2">
        <v>135</v>
      </c>
      <c r="T59" t="s">
        <v>5973</v>
      </c>
      <c r="U59" s="6">
        <v>9217</v>
      </c>
      <c r="V59" s="2">
        <v>47037016600</v>
      </c>
      <c r="W59" s="2" t="s">
        <v>68</v>
      </c>
      <c r="X59" s="1">
        <v>45658</v>
      </c>
      <c r="Y59" s="2">
        <v>506300</v>
      </c>
      <c r="Z59" s="2">
        <v>0</v>
      </c>
      <c r="AA59" s="2">
        <v>506300</v>
      </c>
    </row>
    <row r="60" spans="1:27" x14ac:dyDescent="0.3">
      <c r="A60" s="3">
        <v>21</v>
      </c>
      <c r="B60" s="2" t="str">
        <f>"09214004900"</f>
        <v>09214004900</v>
      </c>
      <c r="C60" s="2" t="s">
        <v>5974</v>
      </c>
      <c r="D60" t="s">
        <v>29</v>
      </c>
      <c r="E60" s="2" t="s">
        <v>30</v>
      </c>
      <c r="F60" s="2">
        <v>37203</v>
      </c>
      <c r="G60" s="2" t="s">
        <v>1485</v>
      </c>
      <c r="H60" t="s">
        <v>206</v>
      </c>
      <c r="I60" s="6">
        <v>31958</v>
      </c>
      <c r="J60" s="2" t="s">
        <v>5964</v>
      </c>
      <c r="K60" s="2" t="s">
        <v>34</v>
      </c>
      <c r="L60" t="s">
        <v>35</v>
      </c>
      <c r="M60" t="s">
        <v>29</v>
      </c>
      <c r="N60" t="s">
        <v>30</v>
      </c>
      <c r="O60">
        <v>37219</v>
      </c>
      <c r="P60" t="s">
        <v>5975</v>
      </c>
      <c r="Q60" s="2">
        <v>0.15</v>
      </c>
      <c r="R60" s="2">
        <v>50</v>
      </c>
      <c r="S60" s="2">
        <v>135</v>
      </c>
      <c r="T60" t="s">
        <v>5976</v>
      </c>
      <c r="U60" s="6">
        <v>11212</v>
      </c>
      <c r="V60" s="2">
        <v>47037016600</v>
      </c>
      <c r="W60" s="2" t="s">
        <v>68</v>
      </c>
      <c r="X60" s="1">
        <v>45658</v>
      </c>
      <c r="Y60" s="2">
        <v>506300</v>
      </c>
      <c r="Z60" s="2">
        <v>0</v>
      </c>
      <c r="AA60" s="2">
        <v>506300</v>
      </c>
    </row>
    <row r="61" spans="1:27" x14ac:dyDescent="0.3">
      <c r="A61" s="3">
        <v>21</v>
      </c>
      <c r="B61" s="2" t="str">
        <f>"10402003900"</f>
        <v>10402003900</v>
      </c>
      <c r="C61" s="2" t="s">
        <v>5977</v>
      </c>
      <c r="D61" t="s">
        <v>29</v>
      </c>
      <c r="E61" s="2" t="s">
        <v>30</v>
      </c>
      <c r="F61" s="2">
        <v>37203</v>
      </c>
      <c r="G61" s="2" t="s">
        <v>41</v>
      </c>
      <c r="H61" t="s">
        <v>206</v>
      </c>
      <c r="I61" s="6">
        <v>31958</v>
      </c>
      <c r="J61" s="2" t="s">
        <v>5964</v>
      </c>
      <c r="K61" s="2" t="s">
        <v>34</v>
      </c>
      <c r="L61" t="s">
        <v>35</v>
      </c>
      <c r="M61" t="s">
        <v>29</v>
      </c>
      <c r="N61" t="s">
        <v>30</v>
      </c>
      <c r="O61">
        <v>37219</v>
      </c>
      <c r="P61" t="s">
        <v>5978</v>
      </c>
      <c r="Q61" s="2">
        <v>0.16</v>
      </c>
      <c r="R61" s="2">
        <v>50</v>
      </c>
      <c r="S61" s="2">
        <v>135</v>
      </c>
      <c r="T61" t="s">
        <v>5979</v>
      </c>
      <c r="U61" s="6">
        <v>27047</v>
      </c>
      <c r="V61" s="2">
        <v>47037016600</v>
      </c>
      <c r="W61" s="2" t="s">
        <v>68</v>
      </c>
      <c r="X61" s="1">
        <v>45658</v>
      </c>
      <c r="Y61" s="2">
        <v>506300</v>
      </c>
      <c r="Z61" s="2">
        <v>0</v>
      </c>
      <c r="AA61" s="2">
        <v>506300</v>
      </c>
    </row>
    <row r="62" spans="1:27" x14ac:dyDescent="0.3">
      <c r="A62" s="3">
        <v>21</v>
      </c>
      <c r="B62" s="2" t="str">
        <f>"10402003800"</f>
        <v>10402003800</v>
      </c>
      <c r="C62" s="2" t="s">
        <v>5980</v>
      </c>
      <c r="D62" t="s">
        <v>29</v>
      </c>
      <c r="E62" s="2" t="s">
        <v>30</v>
      </c>
      <c r="F62" s="2">
        <v>37203</v>
      </c>
      <c r="G62" s="2" t="s">
        <v>1485</v>
      </c>
      <c r="H62" t="s">
        <v>206</v>
      </c>
      <c r="I62" s="6">
        <v>31958</v>
      </c>
      <c r="J62" s="2" t="s">
        <v>5964</v>
      </c>
      <c r="K62" s="2" t="s">
        <v>34</v>
      </c>
      <c r="L62" t="s">
        <v>35</v>
      </c>
      <c r="M62" t="s">
        <v>29</v>
      </c>
      <c r="N62" t="s">
        <v>30</v>
      </c>
      <c r="O62">
        <v>37219</v>
      </c>
      <c r="P62" t="s">
        <v>5981</v>
      </c>
      <c r="Q62" s="2">
        <v>0.32</v>
      </c>
      <c r="R62" s="2">
        <v>135</v>
      </c>
      <c r="S62" s="2">
        <v>100</v>
      </c>
      <c r="T62" t="s">
        <v>5982</v>
      </c>
      <c r="U62" s="6">
        <v>11130</v>
      </c>
      <c r="V62" s="2">
        <v>47037016600</v>
      </c>
      <c r="W62" s="2" t="s">
        <v>68</v>
      </c>
      <c r="X62" s="1">
        <v>45658</v>
      </c>
      <c r="Y62" s="2">
        <v>1045400</v>
      </c>
      <c r="Z62" s="2">
        <v>0</v>
      </c>
      <c r="AA62" s="2">
        <v>1045400</v>
      </c>
    </row>
    <row r="63" spans="1:27" x14ac:dyDescent="0.3">
      <c r="A63" s="3">
        <v>21</v>
      </c>
      <c r="B63" s="2" t="str">
        <f>"10402004200"</f>
        <v>10402004200</v>
      </c>
      <c r="C63" s="2" t="s">
        <v>5983</v>
      </c>
      <c r="D63" t="s">
        <v>29</v>
      </c>
      <c r="E63" s="2" t="s">
        <v>30</v>
      </c>
      <c r="F63" s="2">
        <v>37203</v>
      </c>
      <c r="G63" s="2" t="s">
        <v>64</v>
      </c>
      <c r="H63" t="s">
        <v>206</v>
      </c>
      <c r="I63" s="6">
        <v>31958</v>
      </c>
      <c r="J63" s="2" t="s">
        <v>5964</v>
      </c>
      <c r="K63" s="2" t="s">
        <v>34</v>
      </c>
      <c r="L63" t="s">
        <v>35</v>
      </c>
      <c r="M63" t="s">
        <v>29</v>
      </c>
      <c r="N63" t="s">
        <v>30</v>
      </c>
      <c r="O63">
        <v>37219</v>
      </c>
      <c r="P63" t="s">
        <v>5984</v>
      </c>
      <c r="Q63" s="2">
        <v>0.17</v>
      </c>
      <c r="R63" s="2">
        <v>50</v>
      </c>
      <c r="S63" s="2">
        <v>148</v>
      </c>
      <c r="T63" t="s">
        <v>5985</v>
      </c>
      <c r="U63" s="6">
        <v>45161</v>
      </c>
      <c r="V63" s="2">
        <v>47037016600</v>
      </c>
      <c r="W63" s="2" t="s">
        <v>68</v>
      </c>
      <c r="X63" s="1">
        <v>45658</v>
      </c>
      <c r="Y63" s="2">
        <v>468000</v>
      </c>
      <c r="Z63" s="2">
        <v>0</v>
      </c>
      <c r="AA63" s="2">
        <v>468000</v>
      </c>
    </row>
    <row r="64" spans="1:27" x14ac:dyDescent="0.3">
      <c r="A64" s="3">
        <v>21</v>
      </c>
      <c r="B64" s="2" t="str">
        <f>"10402004300"</f>
        <v>10402004300</v>
      </c>
      <c r="C64" s="2" t="s">
        <v>5986</v>
      </c>
      <c r="D64" t="s">
        <v>29</v>
      </c>
      <c r="E64" s="2" t="s">
        <v>30</v>
      </c>
      <c r="F64" s="2">
        <v>37203</v>
      </c>
      <c r="G64" s="2" t="s">
        <v>64</v>
      </c>
      <c r="H64" t="s">
        <v>206</v>
      </c>
      <c r="I64" s="6">
        <v>31958</v>
      </c>
      <c r="J64" s="2" t="s">
        <v>5964</v>
      </c>
      <c r="K64" s="2" t="s">
        <v>34</v>
      </c>
      <c r="L64" t="s">
        <v>35</v>
      </c>
      <c r="M64" t="s">
        <v>29</v>
      </c>
      <c r="N64" t="s">
        <v>30</v>
      </c>
      <c r="O64">
        <v>37219</v>
      </c>
      <c r="P64" t="s">
        <v>5987</v>
      </c>
      <c r="Q64" s="2">
        <v>0.25</v>
      </c>
      <c r="R64" s="2">
        <v>75</v>
      </c>
      <c r="S64" s="2">
        <v>148</v>
      </c>
      <c r="T64" t="s">
        <v>5985</v>
      </c>
      <c r="U64" s="6">
        <v>45161</v>
      </c>
      <c r="V64" s="2">
        <v>47037016600</v>
      </c>
      <c r="W64" s="2" t="s">
        <v>68</v>
      </c>
      <c r="X64" s="1">
        <v>45658</v>
      </c>
      <c r="Y64" s="2">
        <v>780000</v>
      </c>
      <c r="Z64" s="2">
        <v>0</v>
      </c>
      <c r="AA64" s="2">
        <v>780000</v>
      </c>
    </row>
    <row r="65" spans="1:27" x14ac:dyDescent="0.3">
      <c r="A65" s="3">
        <v>21</v>
      </c>
      <c r="B65" s="2" t="str">
        <f>"10402004500"</f>
        <v>10402004500</v>
      </c>
      <c r="C65" s="2" t="s">
        <v>5988</v>
      </c>
      <c r="D65" t="s">
        <v>29</v>
      </c>
      <c r="E65" s="2" t="s">
        <v>30</v>
      </c>
      <c r="F65" s="2">
        <v>37203</v>
      </c>
      <c r="G65" s="2" t="s">
        <v>64</v>
      </c>
      <c r="H65" t="s">
        <v>206</v>
      </c>
      <c r="I65" s="6">
        <v>31958</v>
      </c>
      <c r="J65" s="2" t="s">
        <v>5964</v>
      </c>
      <c r="K65" s="2" t="s">
        <v>34</v>
      </c>
      <c r="L65" t="s">
        <v>35</v>
      </c>
      <c r="M65" t="s">
        <v>29</v>
      </c>
      <c r="N65" t="s">
        <v>30</v>
      </c>
      <c r="O65">
        <v>37219</v>
      </c>
      <c r="P65" t="s">
        <v>5989</v>
      </c>
      <c r="Q65" s="2">
        <v>0.18</v>
      </c>
      <c r="R65" s="2">
        <v>53</v>
      </c>
      <c r="S65" s="2">
        <v>150</v>
      </c>
      <c r="T65" t="s">
        <v>5990</v>
      </c>
      <c r="U65" s="6">
        <v>23305</v>
      </c>
      <c r="V65" s="2">
        <v>47037016600</v>
      </c>
      <c r="W65" s="2" t="s">
        <v>68</v>
      </c>
      <c r="X65" s="1">
        <v>45658</v>
      </c>
      <c r="Y65" s="2">
        <v>624000</v>
      </c>
      <c r="Z65" s="2">
        <v>0</v>
      </c>
      <c r="AA65" s="2">
        <v>624000</v>
      </c>
    </row>
    <row r="66" spans="1:27" x14ac:dyDescent="0.3">
      <c r="A66" s="3">
        <v>21</v>
      </c>
      <c r="B66" s="2" t="str">
        <f>"10402004600"</f>
        <v>10402004600</v>
      </c>
      <c r="C66" s="2" t="s">
        <v>5991</v>
      </c>
      <c r="D66" t="s">
        <v>29</v>
      </c>
      <c r="E66" s="2" t="s">
        <v>30</v>
      </c>
      <c r="F66" s="2">
        <v>37203</v>
      </c>
      <c r="G66" s="2" t="s">
        <v>3569</v>
      </c>
      <c r="H66" t="s">
        <v>206</v>
      </c>
      <c r="I66" s="6">
        <v>31958</v>
      </c>
      <c r="J66" s="2" t="s">
        <v>5964</v>
      </c>
      <c r="K66" s="2">
        <v>4974129</v>
      </c>
      <c r="L66" t="s">
        <v>35</v>
      </c>
      <c r="M66" t="s">
        <v>29</v>
      </c>
      <c r="N66" t="s">
        <v>30</v>
      </c>
      <c r="O66">
        <v>37219</v>
      </c>
      <c r="P66" t="s">
        <v>5992</v>
      </c>
      <c r="Q66" s="2">
        <v>5.03</v>
      </c>
      <c r="R66" s="2">
        <v>0</v>
      </c>
      <c r="S66" s="2">
        <v>0</v>
      </c>
      <c r="T66" t="s">
        <v>5993</v>
      </c>
      <c r="U66" s="6">
        <v>37711</v>
      </c>
      <c r="V66" s="2">
        <v>47037016600</v>
      </c>
      <c r="W66" s="2" t="s">
        <v>68</v>
      </c>
      <c r="X66" s="1">
        <v>45658</v>
      </c>
      <c r="Y66" s="2">
        <v>22470300</v>
      </c>
      <c r="Z66" s="2">
        <v>6037300</v>
      </c>
      <c r="AA66" s="2">
        <v>16433000</v>
      </c>
    </row>
    <row r="67" spans="1:27" x14ac:dyDescent="0.3">
      <c r="A67" s="3">
        <v>21</v>
      </c>
      <c r="B67" s="2" t="str">
        <f>"08100002400"</f>
        <v>08100002400</v>
      </c>
      <c r="C67" s="2" t="s">
        <v>5994</v>
      </c>
      <c r="D67" t="s">
        <v>29</v>
      </c>
      <c r="E67" s="2" t="s">
        <v>30</v>
      </c>
      <c r="F67" s="2">
        <v>37208</v>
      </c>
      <c r="G67" s="2" t="s">
        <v>64</v>
      </c>
      <c r="H67" t="s">
        <v>206</v>
      </c>
      <c r="I67" s="6">
        <v>33352</v>
      </c>
      <c r="J67" s="2" t="s">
        <v>5995</v>
      </c>
      <c r="K67" s="2">
        <v>1000000</v>
      </c>
      <c r="L67" t="s">
        <v>35</v>
      </c>
      <c r="M67" t="s">
        <v>29</v>
      </c>
      <c r="N67" t="s">
        <v>30</v>
      </c>
      <c r="O67">
        <v>37219</v>
      </c>
      <c r="P67" t="s">
        <v>5996</v>
      </c>
      <c r="Q67" s="2">
        <v>102.68</v>
      </c>
      <c r="R67" s="2">
        <v>0</v>
      </c>
      <c r="S67" s="2">
        <v>0</v>
      </c>
      <c r="T67" t="s">
        <v>278</v>
      </c>
      <c r="U67" s="6">
        <v>36579</v>
      </c>
      <c r="V67" s="2">
        <v>47037013700</v>
      </c>
      <c r="W67" s="2" t="s">
        <v>68</v>
      </c>
      <c r="X67" s="1">
        <v>45658</v>
      </c>
      <c r="Y67" s="2">
        <v>4838100</v>
      </c>
      <c r="Z67" s="2">
        <v>0</v>
      </c>
      <c r="AA67" s="2">
        <v>4838100</v>
      </c>
    </row>
    <row r="68" spans="1:27" x14ac:dyDescent="0.3">
      <c r="A68" s="3">
        <v>21</v>
      </c>
      <c r="B68" s="2" t="str">
        <f>"09214004700"</f>
        <v>09214004700</v>
      </c>
      <c r="C68" s="2" t="s">
        <v>5929</v>
      </c>
      <c r="D68" t="s">
        <v>29</v>
      </c>
      <c r="E68" s="2" t="s">
        <v>30</v>
      </c>
      <c r="F68" s="2">
        <v>37203</v>
      </c>
      <c r="G68" s="2" t="s">
        <v>200</v>
      </c>
      <c r="H68" t="s">
        <v>206</v>
      </c>
      <c r="I68" s="6">
        <v>31958</v>
      </c>
      <c r="J68" s="2" t="s">
        <v>5964</v>
      </c>
      <c r="K68" s="2" t="s">
        <v>34</v>
      </c>
      <c r="L68" t="s">
        <v>35</v>
      </c>
      <c r="M68" t="s">
        <v>29</v>
      </c>
      <c r="N68" t="s">
        <v>30</v>
      </c>
      <c r="O68">
        <v>37219</v>
      </c>
      <c r="P68" t="s">
        <v>5997</v>
      </c>
      <c r="Q68" s="2">
        <v>0.53</v>
      </c>
      <c r="R68" s="2">
        <v>289</v>
      </c>
      <c r="S68" s="2">
        <v>200</v>
      </c>
      <c r="T68" t="s">
        <v>5932</v>
      </c>
      <c r="U68" s="6">
        <v>31153</v>
      </c>
      <c r="V68" s="2">
        <v>47037016600</v>
      </c>
      <c r="W68" s="2" t="s">
        <v>68</v>
      </c>
      <c r="X68" s="1">
        <v>45658</v>
      </c>
      <c r="Y68" s="2">
        <v>1716000</v>
      </c>
      <c r="Z68" s="2">
        <v>0</v>
      </c>
      <c r="AA68" s="2">
        <v>1716000</v>
      </c>
    </row>
    <row r="69" spans="1:27" x14ac:dyDescent="0.3">
      <c r="A69" s="3">
        <v>21</v>
      </c>
      <c r="B69" s="2" t="str">
        <f>"09202014600"</f>
        <v>09202014600</v>
      </c>
      <c r="C69" s="2" t="s">
        <v>5998</v>
      </c>
      <c r="D69" t="s">
        <v>29</v>
      </c>
      <c r="E69" s="2" t="s">
        <v>30</v>
      </c>
      <c r="F69" s="2">
        <v>37208</v>
      </c>
      <c r="G69" s="2" t="s">
        <v>64</v>
      </c>
      <c r="H69" t="s">
        <v>211</v>
      </c>
      <c r="I69" s="6">
        <v>28145</v>
      </c>
      <c r="J69" s="2" t="s">
        <v>5999</v>
      </c>
      <c r="K69" s="2">
        <v>299</v>
      </c>
      <c r="L69" t="s">
        <v>35</v>
      </c>
      <c r="M69" t="s">
        <v>29</v>
      </c>
      <c r="N69" t="s">
        <v>30</v>
      </c>
      <c r="O69">
        <v>37219</v>
      </c>
      <c r="P69" t="s">
        <v>6000</v>
      </c>
      <c r="Q69" s="2">
        <v>0.02</v>
      </c>
      <c r="R69" s="2">
        <v>64</v>
      </c>
      <c r="S69" s="2">
        <v>50</v>
      </c>
      <c r="T69" t="s">
        <v>6001</v>
      </c>
      <c r="U69" s="6">
        <v>8185</v>
      </c>
      <c r="V69" s="2">
        <v>47037013601</v>
      </c>
      <c r="W69" s="2" t="s">
        <v>68</v>
      </c>
      <c r="X69" s="1">
        <v>45658</v>
      </c>
      <c r="Y69" s="2">
        <v>100</v>
      </c>
      <c r="Z69" s="2">
        <v>0</v>
      </c>
      <c r="AA69" s="2">
        <v>100</v>
      </c>
    </row>
    <row r="70" spans="1:27" x14ac:dyDescent="0.3">
      <c r="A70" s="3">
        <v>21</v>
      </c>
      <c r="B70" s="2" t="str">
        <f>"09202014500"</f>
        <v>09202014500</v>
      </c>
      <c r="C70" s="2" t="s">
        <v>6002</v>
      </c>
      <c r="D70" t="s">
        <v>29</v>
      </c>
      <c r="E70" s="2" t="s">
        <v>30</v>
      </c>
      <c r="F70" s="2">
        <v>37208</v>
      </c>
      <c r="G70" s="2" t="s">
        <v>64</v>
      </c>
      <c r="H70" t="s">
        <v>211</v>
      </c>
      <c r="I70" s="6">
        <v>28145</v>
      </c>
      <c r="J70" s="2" t="s">
        <v>6003</v>
      </c>
      <c r="K70" s="2">
        <v>312</v>
      </c>
      <c r="L70" t="s">
        <v>35</v>
      </c>
      <c r="M70" t="s">
        <v>29</v>
      </c>
      <c r="N70" t="s">
        <v>30</v>
      </c>
      <c r="O70">
        <v>37219</v>
      </c>
      <c r="P70" t="s">
        <v>6004</v>
      </c>
      <c r="Q70" s="2">
        <v>7.0000000000000007E-2</v>
      </c>
      <c r="R70" s="2">
        <v>64</v>
      </c>
      <c r="S70" s="2">
        <v>80</v>
      </c>
      <c r="T70" t="s">
        <v>6005</v>
      </c>
      <c r="U70" s="6">
        <v>13176</v>
      </c>
      <c r="V70" s="2">
        <v>47037013601</v>
      </c>
      <c r="W70" s="2" t="s">
        <v>68</v>
      </c>
      <c r="X70" s="1">
        <v>45658</v>
      </c>
      <c r="Y70" s="2">
        <v>100</v>
      </c>
      <c r="Z70" s="2">
        <v>0</v>
      </c>
      <c r="AA70" s="2">
        <v>100</v>
      </c>
    </row>
    <row r="71" spans="1:27" x14ac:dyDescent="0.3">
      <c r="A71" s="3">
        <v>21</v>
      </c>
      <c r="B71" s="2" t="str">
        <f>"09206017900"</f>
        <v>09206017900</v>
      </c>
      <c r="C71" s="2" t="s">
        <v>6006</v>
      </c>
      <c r="D71" t="s">
        <v>29</v>
      </c>
      <c r="E71" s="2" t="s">
        <v>30</v>
      </c>
      <c r="F71" s="2">
        <v>37209</v>
      </c>
      <c r="G71" s="2" t="s">
        <v>64</v>
      </c>
      <c r="H71" t="s">
        <v>211</v>
      </c>
      <c r="I71" s="6">
        <v>28880</v>
      </c>
      <c r="J71" s="2" t="s">
        <v>6007</v>
      </c>
      <c r="K71" s="2">
        <v>216</v>
      </c>
      <c r="L71" t="s">
        <v>35</v>
      </c>
      <c r="M71" t="s">
        <v>29</v>
      </c>
      <c r="N71" t="s">
        <v>30</v>
      </c>
      <c r="O71">
        <v>37219</v>
      </c>
      <c r="P71" t="s">
        <v>6008</v>
      </c>
      <c r="Q71" s="2">
        <v>0.09</v>
      </c>
      <c r="R71" s="2">
        <v>42</v>
      </c>
      <c r="S71" s="2">
        <v>177</v>
      </c>
      <c r="T71" t="s">
        <v>6009</v>
      </c>
      <c r="U71" s="6">
        <v>281</v>
      </c>
      <c r="V71" s="2">
        <v>47037014300</v>
      </c>
      <c r="W71" s="2" t="s">
        <v>68</v>
      </c>
      <c r="X71" s="1">
        <v>45658</v>
      </c>
      <c r="Y71" s="2">
        <v>100000</v>
      </c>
      <c r="Z71" s="2">
        <v>0</v>
      </c>
      <c r="AA71" s="2">
        <v>100000</v>
      </c>
    </row>
    <row r="72" spans="1:27" x14ac:dyDescent="0.3">
      <c r="A72" s="3">
        <v>21</v>
      </c>
      <c r="B72" s="2" t="str">
        <f>"09206017800"</f>
        <v>09206017800</v>
      </c>
      <c r="C72" s="2" t="s">
        <v>6006</v>
      </c>
      <c r="D72" t="s">
        <v>29</v>
      </c>
      <c r="E72" s="2" t="s">
        <v>30</v>
      </c>
      <c r="F72" s="2">
        <v>37209</v>
      </c>
      <c r="G72" s="2" t="s">
        <v>64</v>
      </c>
      <c r="H72" t="s">
        <v>211</v>
      </c>
      <c r="I72" s="6">
        <v>28145</v>
      </c>
      <c r="J72" s="2" t="s">
        <v>6010</v>
      </c>
      <c r="K72" s="2">
        <v>410</v>
      </c>
      <c r="L72" t="s">
        <v>35</v>
      </c>
      <c r="M72" t="s">
        <v>29</v>
      </c>
      <c r="N72" t="s">
        <v>30</v>
      </c>
      <c r="O72">
        <v>37219</v>
      </c>
      <c r="P72" t="s">
        <v>6011</v>
      </c>
      <c r="Q72" s="2">
        <v>0.13</v>
      </c>
      <c r="R72" s="2">
        <v>85</v>
      </c>
      <c r="S72" s="2">
        <v>142</v>
      </c>
      <c r="T72" t="s">
        <v>6012</v>
      </c>
      <c r="U72" s="6">
        <v>139</v>
      </c>
      <c r="V72" s="2">
        <v>47037014300</v>
      </c>
      <c r="W72" s="2" t="s">
        <v>68</v>
      </c>
      <c r="X72" s="1">
        <v>45658</v>
      </c>
      <c r="Y72" s="2">
        <v>200000</v>
      </c>
      <c r="Z72" s="2">
        <v>0</v>
      </c>
      <c r="AA72" s="2">
        <v>200000</v>
      </c>
    </row>
    <row r="73" spans="1:27" x14ac:dyDescent="0.3">
      <c r="A73" s="3">
        <v>21</v>
      </c>
      <c r="B73" s="2" t="str">
        <f>"08115059900"</f>
        <v>08115059900</v>
      </c>
      <c r="C73" s="2" t="s">
        <v>6013</v>
      </c>
      <c r="D73" t="s">
        <v>29</v>
      </c>
      <c r="E73" s="2" t="s">
        <v>30</v>
      </c>
      <c r="F73" s="2">
        <v>37208</v>
      </c>
      <c r="G73" s="2" t="s">
        <v>41</v>
      </c>
      <c r="H73" t="s">
        <v>211</v>
      </c>
      <c r="I73" s="6">
        <v>42037</v>
      </c>
      <c r="J73" s="2" t="s">
        <v>6014</v>
      </c>
      <c r="K73" s="2">
        <v>0</v>
      </c>
      <c r="L73" t="s">
        <v>35</v>
      </c>
      <c r="M73" t="s">
        <v>29</v>
      </c>
      <c r="N73" t="s">
        <v>30</v>
      </c>
      <c r="O73">
        <v>37219</v>
      </c>
      <c r="P73" t="s">
        <v>6015</v>
      </c>
      <c r="Q73" s="2">
        <v>0.34</v>
      </c>
      <c r="R73" s="2">
        <v>104</v>
      </c>
      <c r="S73" s="2">
        <v>150</v>
      </c>
      <c r="T73" t="s">
        <v>198</v>
      </c>
      <c r="U73" s="6">
        <v>37307</v>
      </c>
      <c r="V73" s="2">
        <v>47037014200</v>
      </c>
      <c r="W73" s="2" t="s">
        <v>68</v>
      </c>
      <c r="X73" s="1">
        <v>45658</v>
      </c>
      <c r="Y73" s="2">
        <v>1033700</v>
      </c>
      <c r="Z73" s="2">
        <v>8900</v>
      </c>
      <c r="AA73" s="2">
        <v>1024800</v>
      </c>
    </row>
    <row r="74" spans="1:27" x14ac:dyDescent="0.3">
      <c r="A74" s="3">
        <v>21</v>
      </c>
      <c r="B74" s="2" t="str">
        <f>"09202033400"</f>
        <v>09202033400</v>
      </c>
      <c r="C74" s="2" t="s">
        <v>6016</v>
      </c>
      <c r="D74" t="s">
        <v>29</v>
      </c>
      <c r="E74" s="2" t="s">
        <v>30</v>
      </c>
      <c r="F74" s="2">
        <v>37208</v>
      </c>
      <c r="G74" s="2" t="s">
        <v>41</v>
      </c>
      <c r="H74" t="s">
        <v>211</v>
      </c>
      <c r="I74" s="6">
        <v>28110</v>
      </c>
      <c r="J74" s="2" t="s">
        <v>6017</v>
      </c>
      <c r="K74" s="2">
        <v>218</v>
      </c>
      <c r="L74" t="s">
        <v>35</v>
      </c>
      <c r="M74" t="s">
        <v>29</v>
      </c>
      <c r="N74" t="s">
        <v>30</v>
      </c>
      <c r="O74">
        <v>37219</v>
      </c>
      <c r="P74" t="s">
        <v>6018</v>
      </c>
      <c r="Q74" s="2">
        <v>0.01</v>
      </c>
      <c r="R74" s="2">
        <v>15</v>
      </c>
      <c r="S74" s="2">
        <v>9</v>
      </c>
      <c r="T74" t="s">
        <v>6019</v>
      </c>
      <c r="U74" s="6">
        <v>16873</v>
      </c>
      <c r="V74" s="2">
        <v>47037014300</v>
      </c>
      <c r="W74" s="2" t="s">
        <v>68</v>
      </c>
      <c r="X74" s="1">
        <v>45658</v>
      </c>
      <c r="Y74" s="2">
        <v>10900</v>
      </c>
      <c r="Z74" s="2">
        <v>0</v>
      </c>
      <c r="AA74" s="2">
        <v>10900</v>
      </c>
    </row>
    <row r="75" spans="1:27" x14ac:dyDescent="0.3">
      <c r="A75" s="3">
        <v>21</v>
      </c>
      <c r="B75" s="2" t="str">
        <f>"09202029700"</f>
        <v>09202029700</v>
      </c>
      <c r="C75" s="2" t="s">
        <v>6020</v>
      </c>
      <c r="D75" t="s">
        <v>29</v>
      </c>
      <c r="E75" s="2" t="s">
        <v>30</v>
      </c>
      <c r="F75" s="2">
        <v>37208</v>
      </c>
      <c r="G75" s="2" t="s">
        <v>41</v>
      </c>
      <c r="H75" t="s">
        <v>211</v>
      </c>
      <c r="I75" s="6">
        <v>28110</v>
      </c>
      <c r="J75" s="2" t="s">
        <v>6021</v>
      </c>
      <c r="K75" s="2">
        <v>300</v>
      </c>
      <c r="L75" t="s">
        <v>35</v>
      </c>
      <c r="M75" t="s">
        <v>29</v>
      </c>
      <c r="N75" t="s">
        <v>30</v>
      </c>
      <c r="O75">
        <v>37219</v>
      </c>
      <c r="P75" t="s">
        <v>6022</v>
      </c>
      <c r="Q75" s="2">
        <v>0.01</v>
      </c>
      <c r="R75" s="2">
        <v>29</v>
      </c>
      <c r="S75" s="2">
        <v>28</v>
      </c>
      <c r="T75" t="s">
        <v>6023</v>
      </c>
      <c r="U75" s="6">
        <v>15593</v>
      </c>
      <c r="V75" s="2">
        <v>47037013601</v>
      </c>
      <c r="W75" s="2" t="s">
        <v>68</v>
      </c>
      <c r="X75" s="1">
        <v>45658</v>
      </c>
      <c r="Y75" s="2">
        <v>200</v>
      </c>
      <c r="Z75" s="2">
        <v>0</v>
      </c>
      <c r="AA75" s="2">
        <v>200</v>
      </c>
    </row>
    <row r="76" spans="1:27" x14ac:dyDescent="0.3">
      <c r="A76" s="3">
        <v>21</v>
      </c>
      <c r="B76" s="2" t="str">
        <f>"09202029800"</f>
        <v>09202029800</v>
      </c>
      <c r="C76" s="2" t="s">
        <v>6024</v>
      </c>
      <c r="D76" t="s">
        <v>29</v>
      </c>
      <c r="E76" s="2" t="s">
        <v>30</v>
      </c>
      <c r="F76" s="2">
        <v>37208</v>
      </c>
      <c r="G76" s="2" t="s">
        <v>41</v>
      </c>
      <c r="H76" t="s">
        <v>211</v>
      </c>
      <c r="I76" s="6">
        <v>28110</v>
      </c>
      <c r="J76" s="2" t="s">
        <v>6025</v>
      </c>
      <c r="K76" s="2">
        <v>275</v>
      </c>
      <c r="L76" t="s">
        <v>35</v>
      </c>
      <c r="M76" t="s">
        <v>29</v>
      </c>
      <c r="N76" t="s">
        <v>30</v>
      </c>
      <c r="O76">
        <v>37219</v>
      </c>
      <c r="P76" t="s">
        <v>6026</v>
      </c>
      <c r="Q76" s="2">
        <v>0.01</v>
      </c>
      <c r="R76" s="2">
        <v>64</v>
      </c>
      <c r="S76" s="2">
        <v>29</v>
      </c>
      <c r="T76" t="s">
        <v>6027</v>
      </c>
      <c r="U76" s="6">
        <v>13640</v>
      </c>
      <c r="V76" s="2">
        <v>47037013601</v>
      </c>
      <c r="W76" s="2" t="s">
        <v>68</v>
      </c>
      <c r="X76" s="1">
        <v>45658</v>
      </c>
      <c r="Y76" s="2">
        <v>2700</v>
      </c>
      <c r="Z76" s="2">
        <v>0</v>
      </c>
      <c r="AA76" s="2">
        <v>2700</v>
      </c>
    </row>
    <row r="77" spans="1:27" x14ac:dyDescent="0.3">
      <c r="A77" s="3">
        <v>21</v>
      </c>
      <c r="B77" s="2" t="str">
        <f>"08115032800"</f>
        <v>08115032800</v>
      </c>
      <c r="C77" s="2" t="s">
        <v>6028</v>
      </c>
      <c r="D77" t="s">
        <v>29</v>
      </c>
      <c r="E77" s="2" t="s">
        <v>30</v>
      </c>
      <c r="F77" s="2">
        <v>37208</v>
      </c>
      <c r="G77" s="2" t="s">
        <v>64</v>
      </c>
      <c r="H77" t="s">
        <v>211</v>
      </c>
      <c r="I77" s="6">
        <v>28711</v>
      </c>
      <c r="J77" s="2" t="s">
        <v>6029</v>
      </c>
      <c r="K77" s="2">
        <v>165</v>
      </c>
      <c r="L77" t="s">
        <v>35</v>
      </c>
      <c r="M77" t="s">
        <v>29</v>
      </c>
      <c r="N77" t="s">
        <v>30</v>
      </c>
      <c r="O77">
        <v>37219</v>
      </c>
      <c r="P77" t="s">
        <v>6030</v>
      </c>
      <c r="Q77" s="2">
        <v>0.03</v>
      </c>
      <c r="R77" s="2">
        <v>10</v>
      </c>
      <c r="S77" s="2">
        <v>140</v>
      </c>
      <c r="T77" t="s">
        <v>6031</v>
      </c>
      <c r="U77" s="6">
        <v>22229</v>
      </c>
      <c r="V77" s="2">
        <v>47037013900</v>
      </c>
      <c r="W77" s="2" t="s">
        <v>68</v>
      </c>
      <c r="X77" s="1">
        <v>45658</v>
      </c>
      <c r="Y77" s="2">
        <v>200</v>
      </c>
      <c r="Z77" s="2">
        <v>0</v>
      </c>
      <c r="AA77" s="2">
        <v>200</v>
      </c>
    </row>
    <row r="78" spans="1:27" x14ac:dyDescent="0.3">
      <c r="A78" s="3">
        <v>21</v>
      </c>
      <c r="B78" s="2" t="str">
        <f>"09205003300"</f>
        <v>09205003300</v>
      </c>
      <c r="C78" s="2" t="s">
        <v>6032</v>
      </c>
      <c r="D78" t="s">
        <v>29</v>
      </c>
      <c r="E78" s="2" t="s">
        <v>30</v>
      </c>
      <c r="F78" s="2">
        <v>37209</v>
      </c>
      <c r="G78" s="2" t="s">
        <v>200</v>
      </c>
      <c r="H78" t="s">
        <v>6033</v>
      </c>
      <c r="I78" s="6">
        <v>27259</v>
      </c>
      <c r="J78" s="2" t="s">
        <v>6034</v>
      </c>
      <c r="K78" s="2" t="s">
        <v>34</v>
      </c>
      <c r="L78" t="s">
        <v>35</v>
      </c>
      <c r="M78" t="s">
        <v>29</v>
      </c>
      <c r="N78" t="s">
        <v>30</v>
      </c>
      <c r="O78">
        <v>37219</v>
      </c>
      <c r="P78" t="s">
        <v>6035</v>
      </c>
      <c r="Q78" s="2">
        <v>11.04</v>
      </c>
      <c r="R78" s="2">
        <v>0</v>
      </c>
      <c r="S78" s="2">
        <v>0</v>
      </c>
      <c r="T78" t="s">
        <v>6036</v>
      </c>
      <c r="U78" s="6">
        <v>37169</v>
      </c>
      <c r="V78" s="2">
        <v>47037013601</v>
      </c>
      <c r="W78" s="2" t="s">
        <v>68</v>
      </c>
      <c r="X78" s="1">
        <v>45658</v>
      </c>
      <c r="Y78" s="2">
        <v>528800</v>
      </c>
      <c r="Z78" s="2">
        <v>0</v>
      </c>
      <c r="AA78" s="2">
        <v>528800</v>
      </c>
    </row>
    <row r="79" spans="1:27" x14ac:dyDescent="0.3">
      <c r="A79" s="3">
        <v>21</v>
      </c>
      <c r="B79" s="2" t="str">
        <f>"08102021000"</f>
        <v>08102021000</v>
      </c>
      <c r="C79" s="2" t="s">
        <v>6037</v>
      </c>
      <c r="D79" t="s">
        <v>29</v>
      </c>
      <c r="E79" s="2" t="s">
        <v>30</v>
      </c>
      <c r="F79" s="2">
        <v>37208</v>
      </c>
      <c r="G79" s="2" t="s">
        <v>64</v>
      </c>
      <c r="H79" t="s">
        <v>1332</v>
      </c>
      <c r="I79" s="6">
        <v>32428</v>
      </c>
      <c r="J79" s="2" t="s">
        <v>6038</v>
      </c>
      <c r="K79" s="2">
        <v>64625</v>
      </c>
      <c r="L79" t="s">
        <v>35</v>
      </c>
      <c r="M79" t="s">
        <v>29</v>
      </c>
      <c r="N79" t="s">
        <v>30</v>
      </c>
      <c r="O79">
        <v>37219</v>
      </c>
      <c r="P79" t="s">
        <v>6039</v>
      </c>
      <c r="Q79" s="2">
        <v>0.39</v>
      </c>
      <c r="R79" s="2">
        <v>211</v>
      </c>
      <c r="S79" s="2">
        <v>360</v>
      </c>
      <c r="T79" t="s">
        <v>6038</v>
      </c>
      <c r="U79" s="6">
        <v>32428</v>
      </c>
      <c r="V79" s="2">
        <v>47037013700</v>
      </c>
      <c r="W79" s="2" t="s">
        <v>68</v>
      </c>
      <c r="X79" s="1">
        <v>45658</v>
      </c>
      <c r="Y79" s="2">
        <v>2000</v>
      </c>
      <c r="Z79" s="2">
        <v>0</v>
      </c>
      <c r="AA79" s="2">
        <v>2000</v>
      </c>
    </row>
    <row r="80" spans="1:27" x14ac:dyDescent="0.3">
      <c r="A80" s="3">
        <v>21</v>
      </c>
      <c r="B80" s="2" t="str">
        <f>"09104005600"</f>
        <v>09104005600</v>
      </c>
      <c r="C80" s="2" t="s">
        <v>6040</v>
      </c>
      <c r="D80" t="s">
        <v>29</v>
      </c>
      <c r="E80" s="2" t="s">
        <v>30</v>
      </c>
      <c r="F80" s="2">
        <v>37209</v>
      </c>
      <c r="G80" s="2" t="s">
        <v>64</v>
      </c>
      <c r="H80" t="s">
        <v>6041</v>
      </c>
      <c r="I80" s="6">
        <v>34603</v>
      </c>
      <c r="J80" s="2" t="s">
        <v>6042</v>
      </c>
      <c r="K80" s="2">
        <v>7500</v>
      </c>
      <c r="L80" t="s">
        <v>35</v>
      </c>
      <c r="M80" t="s">
        <v>29</v>
      </c>
      <c r="N80" t="s">
        <v>30</v>
      </c>
      <c r="O80">
        <v>37219</v>
      </c>
      <c r="P80" t="s">
        <v>6043</v>
      </c>
      <c r="Q80" s="2">
        <v>0.64</v>
      </c>
      <c r="R80" s="2">
        <v>108</v>
      </c>
      <c r="S80" s="2">
        <v>286</v>
      </c>
      <c r="T80" t="s">
        <v>5946</v>
      </c>
      <c r="U80" s="6">
        <v>30026</v>
      </c>
      <c r="V80" s="2">
        <v>47037013601</v>
      </c>
      <c r="W80" s="2" t="s">
        <v>68</v>
      </c>
      <c r="X80" s="1">
        <v>45658</v>
      </c>
      <c r="Y80" s="2">
        <v>126000</v>
      </c>
      <c r="Z80" s="2">
        <v>0</v>
      </c>
      <c r="AA80" s="2">
        <v>126000</v>
      </c>
    </row>
    <row r="81" spans="1:27" x14ac:dyDescent="0.3">
      <c r="A81" s="3">
        <v>21</v>
      </c>
      <c r="B81" s="2" t="str">
        <f>"09206031700"</f>
        <v>09206031700</v>
      </c>
      <c r="C81" s="2" t="s">
        <v>6044</v>
      </c>
      <c r="D81" t="s">
        <v>29</v>
      </c>
      <c r="E81" s="2" t="s">
        <v>30</v>
      </c>
      <c r="F81" s="2">
        <v>37209</v>
      </c>
      <c r="G81" s="2" t="s">
        <v>64</v>
      </c>
      <c r="H81" t="s">
        <v>249</v>
      </c>
      <c r="I81" s="6">
        <v>39105</v>
      </c>
      <c r="J81" s="2" t="s">
        <v>6045</v>
      </c>
      <c r="K81" s="2">
        <v>0</v>
      </c>
      <c r="L81" t="s">
        <v>6046</v>
      </c>
      <c r="M81" t="s">
        <v>29</v>
      </c>
      <c r="N81" t="s">
        <v>30</v>
      </c>
      <c r="O81">
        <v>37201</v>
      </c>
      <c r="P81" t="s">
        <v>6047</v>
      </c>
      <c r="Q81" s="2">
        <v>0.05</v>
      </c>
      <c r="R81" s="2">
        <v>40</v>
      </c>
      <c r="S81" s="2">
        <v>64</v>
      </c>
      <c r="T81" t="s">
        <v>6048</v>
      </c>
      <c r="U81" s="6">
        <v>14742</v>
      </c>
      <c r="V81" s="2">
        <v>47037014300</v>
      </c>
      <c r="W81" s="2" t="s">
        <v>68</v>
      </c>
      <c r="X81" s="1">
        <v>45658</v>
      </c>
      <c r="Y81" s="2">
        <v>100000</v>
      </c>
      <c r="Z81" s="2">
        <v>0</v>
      </c>
      <c r="AA81" s="2">
        <v>100000</v>
      </c>
    </row>
    <row r="82" spans="1:27" x14ac:dyDescent="0.3">
      <c r="A82" s="3">
        <v>21</v>
      </c>
      <c r="B82" s="2" t="str">
        <f>"08111015600"</f>
        <v>08111015600</v>
      </c>
      <c r="C82" s="2" t="s">
        <v>6049</v>
      </c>
      <c r="D82" t="s">
        <v>29</v>
      </c>
      <c r="E82" s="2" t="s">
        <v>30</v>
      </c>
      <c r="F82" s="2">
        <v>37208</v>
      </c>
      <c r="G82" s="2" t="s">
        <v>253</v>
      </c>
      <c r="H82" t="s">
        <v>6050</v>
      </c>
      <c r="I82" s="6">
        <v>21039</v>
      </c>
      <c r="J82" s="2" t="s">
        <v>6051</v>
      </c>
      <c r="K82" s="2">
        <v>0</v>
      </c>
      <c r="L82" t="s">
        <v>35</v>
      </c>
      <c r="M82" t="s">
        <v>29</v>
      </c>
      <c r="N82" t="s">
        <v>30</v>
      </c>
      <c r="O82">
        <v>37219</v>
      </c>
      <c r="P82" t="s">
        <v>6052</v>
      </c>
      <c r="Q82" s="2">
        <v>7.42</v>
      </c>
      <c r="R82" s="2">
        <v>724</v>
      </c>
      <c r="S82" s="2">
        <v>492</v>
      </c>
      <c r="T82" t="s">
        <v>4954</v>
      </c>
      <c r="U82" s="6">
        <v>29986</v>
      </c>
      <c r="V82" s="2">
        <v>47037013900</v>
      </c>
      <c r="W82" s="2" t="s">
        <v>68</v>
      </c>
      <c r="X82" s="1">
        <v>45658</v>
      </c>
      <c r="Y82" s="2">
        <v>643400</v>
      </c>
      <c r="Z82" s="2">
        <v>0</v>
      </c>
      <c r="AA82" s="2">
        <v>643400</v>
      </c>
    </row>
    <row r="83" spans="1:27" x14ac:dyDescent="0.3">
      <c r="A83" s="3">
        <v>21</v>
      </c>
      <c r="B83" s="2" t="str">
        <f>"09207035600"</f>
        <v>09207035600</v>
      </c>
      <c r="C83" s="2" t="s">
        <v>6053</v>
      </c>
      <c r="D83" t="s">
        <v>29</v>
      </c>
      <c r="E83" s="2" t="s">
        <v>30</v>
      </c>
      <c r="F83" s="2">
        <v>37203</v>
      </c>
      <c r="G83" s="2" t="s">
        <v>253</v>
      </c>
      <c r="H83" t="s">
        <v>6054</v>
      </c>
      <c r="I83" s="6">
        <v>37187</v>
      </c>
      <c r="J83" s="2" t="s">
        <v>6055</v>
      </c>
      <c r="K83" s="2" t="s">
        <v>34</v>
      </c>
      <c r="L83" t="s">
        <v>35</v>
      </c>
      <c r="M83" t="s">
        <v>29</v>
      </c>
      <c r="N83" t="s">
        <v>30</v>
      </c>
      <c r="O83">
        <v>37219</v>
      </c>
      <c r="P83" t="s">
        <v>6056</v>
      </c>
      <c r="Q83" s="2">
        <v>0.43</v>
      </c>
      <c r="R83" s="2">
        <v>98</v>
      </c>
      <c r="S83" s="2">
        <v>223</v>
      </c>
      <c r="T83" t="s">
        <v>6057</v>
      </c>
      <c r="U83" s="6">
        <v>24344</v>
      </c>
      <c r="V83" s="2">
        <v>47037014400</v>
      </c>
      <c r="W83" s="2" t="s">
        <v>68</v>
      </c>
      <c r="X83" s="1">
        <v>45658</v>
      </c>
      <c r="Y83" s="2">
        <v>1685800</v>
      </c>
      <c r="Z83" s="2">
        <v>0</v>
      </c>
      <c r="AA83" s="2">
        <v>1685800</v>
      </c>
    </row>
    <row r="84" spans="1:27" x14ac:dyDescent="0.3">
      <c r="A84" s="3">
        <v>21</v>
      </c>
      <c r="B84" s="2" t="str">
        <f>"09207035700"</f>
        <v>09207035700</v>
      </c>
      <c r="C84" s="2" t="s">
        <v>6058</v>
      </c>
      <c r="D84" t="s">
        <v>29</v>
      </c>
      <c r="E84" s="2" t="s">
        <v>30</v>
      </c>
      <c r="F84" s="2">
        <v>37203</v>
      </c>
      <c r="G84" s="2" t="s">
        <v>253</v>
      </c>
      <c r="H84" t="s">
        <v>6054</v>
      </c>
      <c r="I84" s="6">
        <v>37187</v>
      </c>
      <c r="J84" s="2" t="s">
        <v>6059</v>
      </c>
      <c r="K84" s="2" t="s">
        <v>34</v>
      </c>
      <c r="L84" t="s">
        <v>35</v>
      </c>
      <c r="M84" t="s">
        <v>29</v>
      </c>
      <c r="N84" t="s">
        <v>30</v>
      </c>
      <c r="O84">
        <v>37219</v>
      </c>
      <c r="P84" t="s">
        <v>6060</v>
      </c>
      <c r="Q84" s="2">
        <v>0.25</v>
      </c>
      <c r="R84" s="2">
        <v>70</v>
      </c>
      <c r="S84" s="2">
        <v>155</v>
      </c>
      <c r="T84" t="s">
        <v>6061</v>
      </c>
      <c r="U84" s="6">
        <v>24555</v>
      </c>
      <c r="V84" s="2">
        <v>47037014400</v>
      </c>
      <c r="W84" s="2" t="s">
        <v>68</v>
      </c>
      <c r="X84" s="1">
        <v>45658</v>
      </c>
      <c r="Y84" s="2">
        <v>980100</v>
      </c>
      <c r="Z84" s="2">
        <v>0</v>
      </c>
      <c r="AA84" s="2">
        <v>980100</v>
      </c>
    </row>
    <row r="85" spans="1:27" x14ac:dyDescent="0.3">
      <c r="A85" s="3">
        <v>21</v>
      </c>
      <c r="B85" s="2" t="str">
        <f>"09207037500"</f>
        <v>09207037500</v>
      </c>
      <c r="C85" s="2" t="s">
        <v>6062</v>
      </c>
      <c r="D85" t="s">
        <v>29</v>
      </c>
      <c r="E85" s="2" t="s">
        <v>30</v>
      </c>
      <c r="F85" s="2">
        <v>37203</v>
      </c>
      <c r="G85" s="2" t="s">
        <v>1485</v>
      </c>
      <c r="H85" t="s">
        <v>6054</v>
      </c>
      <c r="I85" s="6">
        <v>37259</v>
      </c>
      <c r="J85" s="2" t="s">
        <v>6063</v>
      </c>
      <c r="K85" s="2" t="s">
        <v>34</v>
      </c>
      <c r="L85" t="s">
        <v>35</v>
      </c>
      <c r="M85" t="s">
        <v>29</v>
      </c>
      <c r="N85" t="s">
        <v>30</v>
      </c>
      <c r="O85">
        <v>37219</v>
      </c>
      <c r="P85" t="s">
        <v>6064</v>
      </c>
      <c r="Q85" s="2">
        <v>0.13</v>
      </c>
      <c r="R85" s="2">
        <v>27</v>
      </c>
      <c r="S85" s="2">
        <v>175</v>
      </c>
      <c r="T85" t="s">
        <v>6065</v>
      </c>
      <c r="U85" s="6">
        <v>37294</v>
      </c>
      <c r="V85" s="2">
        <v>47037014400</v>
      </c>
      <c r="W85" s="2" t="s">
        <v>68</v>
      </c>
      <c r="X85" s="1">
        <v>45658</v>
      </c>
      <c r="Y85" s="2">
        <v>509700</v>
      </c>
      <c r="Z85" s="2">
        <v>0</v>
      </c>
      <c r="AA85" s="2">
        <v>509700</v>
      </c>
    </row>
    <row r="86" spans="1:27" x14ac:dyDescent="0.3">
      <c r="A86" s="3">
        <v>21</v>
      </c>
      <c r="B86" s="2" t="str">
        <f>"09207034800"</f>
        <v>09207034800</v>
      </c>
      <c r="C86" s="2" t="s">
        <v>6066</v>
      </c>
      <c r="D86" t="s">
        <v>29</v>
      </c>
      <c r="E86" s="2" t="s">
        <v>30</v>
      </c>
      <c r="F86" s="2">
        <v>37203</v>
      </c>
      <c r="G86" s="2" t="s">
        <v>2490</v>
      </c>
      <c r="H86" t="s">
        <v>6054</v>
      </c>
      <c r="I86" s="6">
        <v>36794</v>
      </c>
      <c r="J86" s="2" t="s">
        <v>6067</v>
      </c>
      <c r="K86" s="2">
        <v>35500</v>
      </c>
      <c r="L86" t="s">
        <v>35</v>
      </c>
      <c r="M86" t="s">
        <v>29</v>
      </c>
      <c r="N86" t="s">
        <v>30</v>
      </c>
      <c r="O86">
        <v>37219</v>
      </c>
      <c r="P86" t="s">
        <v>6068</v>
      </c>
      <c r="Q86" s="2">
        <v>0.39</v>
      </c>
      <c r="R86" s="2">
        <v>213</v>
      </c>
      <c r="S86" s="2">
        <v>65</v>
      </c>
      <c r="T86" t="s">
        <v>6069</v>
      </c>
      <c r="U86" s="6">
        <v>37308</v>
      </c>
      <c r="V86" s="2">
        <v>47037014400</v>
      </c>
      <c r="W86" s="2" t="s">
        <v>68</v>
      </c>
      <c r="X86" s="1">
        <v>45658</v>
      </c>
      <c r="Y86" s="2">
        <v>1555900</v>
      </c>
      <c r="Z86" s="2">
        <v>27000</v>
      </c>
      <c r="AA86" s="2">
        <v>1528900</v>
      </c>
    </row>
    <row r="87" spans="1:27" x14ac:dyDescent="0.3">
      <c r="A87" s="3">
        <v>21</v>
      </c>
      <c r="B87" s="2" t="str">
        <f>"09207034900"</f>
        <v>09207034900</v>
      </c>
      <c r="C87" s="2" t="s">
        <v>6070</v>
      </c>
      <c r="D87" t="s">
        <v>29</v>
      </c>
      <c r="E87" s="2" t="s">
        <v>30</v>
      </c>
      <c r="F87" s="2">
        <v>37203</v>
      </c>
      <c r="G87" s="2" t="s">
        <v>253</v>
      </c>
      <c r="H87" t="s">
        <v>6054</v>
      </c>
      <c r="I87" s="6">
        <v>36794</v>
      </c>
      <c r="J87" s="2" t="s">
        <v>6067</v>
      </c>
      <c r="K87" s="2" t="s">
        <v>34</v>
      </c>
      <c r="L87" t="s">
        <v>35</v>
      </c>
      <c r="M87" t="s">
        <v>29</v>
      </c>
      <c r="N87" t="s">
        <v>30</v>
      </c>
      <c r="O87">
        <v>37219</v>
      </c>
      <c r="P87" t="s">
        <v>6071</v>
      </c>
      <c r="Q87" s="2">
        <v>0.23</v>
      </c>
      <c r="R87" s="2">
        <v>50</v>
      </c>
      <c r="S87" s="2">
        <v>208</v>
      </c>
      <c r="T87" t="s">
        <v>6069</v>
      </c>
      <c r="U87" s="6">
        <v>37308</v>
      </c>
      <c r="V87" s="2">
        <v>47037014400</v>
      </c>
      <c r="W87" s="2" t="s">
        <v>68</v>
      </c>
      <c r="X87" s="1">
        <v>45658</v>
      </c>
      <c r="Y87" s="2">
        <v>936000</v>
      </c>
      <c r="Z87" s="2">
        <v>0</v>
      </c>
      <c r="AA87" s="2">
        <v>936000</v>
      </c>
    </row>
    <row r="88" spans="1:27" x14ac:dyDescent="0.3">
      <c r="A88" s="3">
        <v>21</v>
      </c>
      <c r="B88" s="2" t="str">
        <f>"09207035000"</f>
        <v>09207035000</v>
      </c>
      <c r="C88" s="2" t="s">
        <v>6072</v>
      </c>
      <c r="D88" t="s">
        <v>29</v>
      </c>
      <c r="E88" s="2" t="s">
        <v>30</v>
      </c>
      <c r="F88" s="2">
        <v>37203</v>
      </c>
      <c r="G88" s="2" t="s">
        <v>253</v>
      </c>
      <c r="H88" t="s">
        <v>6054</v>
      </c>
      <c r="I88" s="6">
        <v>35221</v>
      </c>
      <c r="J88" s="2" t="s">
        <v>6073</v>
      </c>
      <c r="K88" s="2">
        <v>3339</v>
      </c>
      <c r="L88" t="s">
        <v>35</v>
      </c>
      <c r="M88" t="s">
        <v>29</v>
      </c>
      <c r="N88" t="s">
        <v>30</v>
      </c>
      <c r="O88">
        <v>37219</v>
      </c>
      <c r="P88" t="s">
        <v>6071</v>
      </c>
      <c r="Q88" s="2">
        <v>0.12</v>
      </c>
      <c r="R88" s="2">
        <v>30</v>
      </c>
      <c r="S88" s="2">
        <v>208</v>
      </c>
      <c r="T88" t="s">
        <v>6069</v>
      </c>
      <c r="U88" s="6">
        <v>37308</v>
      </c>
      <c r="V88" s="2">
        <v>47037014400</v>
      </c>
      <c r="W88" s="2" t="s">
        <v>68</v>
      </c>
      <c r="X88" s="1">
        <v>45658</v>
      </c>
      <c r="Y88" s="2">
        <v>561600</v>
      </c>
      <c r="Z88" s="2">
        <v>0</v>
      </c>
      <c r="AA88" s="2">
        <v>561600</v>
      </c>
    </row>
    <row r="89" spans="1:27" x14ac:dyDescent="0.3">
      <c r="A89" s="3">
        <v>21</v>
      </c>
      <c r="B89" s="2" t="str">
        <f>"09207035100"</f>
        <v>09207035100</v>
      </c>
      <c r="C89" s="2" t="s">
        <v>6074</v>
      </c>
      <c r="D89" t="s">
        <v>29</v>
      </c>
      <c r="E89" s="2" t="s">
        <v>30</v>
      </c>
      <c r="F89" s="2">
        <v>37203</v>
      </c>
      <c r="G89" s="2" t="s">
        <v>253</v>
      </c>
      <c r="H89" t="s">
        <v>6054</v>
      </c>
      <c r="I89" s="6">
        <v>37187</v>
      </c>
      <c r="J89" s="2" t="s">
        <v>6075</v>
      </c>
      <c r="K89" s="2" t="s">
        <v>34</v>
      </c>
      <c r="L89" t="s">
        <v>35</v>
      </c>
      <c r="M89" t="s">
        <v>29</v>
      </c>
      <c r="N89" t="s">
        <v>30</v>
      </c>
      <c r="O89">
        <v>37219</v>
      </c>
      <c r="P89" t="s">
        <v>6071</v>
      </c>
      <c r="Q89" s="2">
        <v>0.6</v>
      </c>
      <c r="R89" s="2">
        <v>126</v>
      </c>
      <c r="S89" s="2">
        <v>208</v>
      </c>
      <c r="T89" t="s">
        <v>6069</v>
      </c>
      <c r="U89" s="6">
        <v>37308</v>
      </c>
      <c r="V89" s="2">
        <v>47037014400</v>
      </c>
      <c r="W89" s="2" t="s">
        <v>68</v>
      </c>
      <c r="X89" s="1">
        <v>45658</v>
      </c>
      <c r="Y89" s="2">
        <v>2358700</v>
      </c>
      <c r="Z89" s="2">
        <v>0</v>
      </c>
      <c r="AA89" s="2">
        <v>2358700</v>
      </c>
    </row>
    <row r="90" spans="1:27" x14ac:dyDescent="0.3">
      <c r="A90" s="3">
        <v>21</v>
      </c>
      <c r="B90" s="2" t="str">
        <f>"09207035200"</f>
        <v>09207035200</v>
      </c>
      <c r="C90" s="2" t="s">
        <v>6076</v>
      </c>
      <c r="D90" t="s">
        <v>29</v>
      </c>
      <c r="E90" s="2" t="s">
        <v>30</v>
      </c>
      <c r="F90" s="2">
        <v>37203</v>
      </c>
      <c r="G90" s="2" t="s">
        <v>253</v>
      </c>
      <c r="H90" t="s">
        <v>6054</v>
      </c>
      <c r="I90" s="6">
        <v>37187</v>
      </c>
      <c r="J90" s="2" t="s">
        <v>6077</v>
      </c>
      <c r="K90" s="2" t="s">
        <v>34</v>
      </c>
      <c r="L90" t="s">
        <v>35</v>
      </c>
      <c r="M90" t="s">
        <v>29</v>
      </c>
      <c r="N90" t="s">
        <v>30</v>
      </c>
      <c r="O90">
        <v>37219</v>
      </c>
      <c r="P90" t="s">
        <v>6078</v>
      </c>
      <c r="Q90" s="2">
        <v>0.22</v>
      </c>
      <c r="R90" s="2">
        <v>50</v>
      </c>
      <c r="S90" s="2">
        <v>208</v>
      </c>
      <c r="T90" t="s">
        <v>6069</v>
      </c>
      <c r="U90" s="6">
        <v>37308</v>
      </c>
      <c r="V90" s="2">
        <v>47037014400</v>
      </c>
      <c r="W90" s="2" t="s">
        <v>68</v>
      </c>
      <c r="X90" s="1">
        <v>45658</v>
      </c>
      <c r="Y90" s="2">
        <v>936000</v>
      </c>
      <c r="Z90" s="2">
        <v>0</v>
      </c>
      <c r="AA90" s="2">
        <v>936000</v>
      </c>
    </row>
    <row r="91" spans="1:27" x14ac:dyDescent="0.3">
      <c r="A91" s="3">
        <v>21</v>
      </c>
      <c r="B91" s="2" t="str">
        <f>"09207035300"</f>
        <v>09207035300</v>
      </c>
      <c r="C91" s="2" t="s">
        <v>6079</v>
      </c>
      <c r="D91" t="s">
        <v>29</v>
      </c>
      <c r="E91" s="2" t="s">
        <v>30</v>
      </c>
      <c r="F91" s="2">
        <v>37203</v>
      </c>
      <c r="G91" s="2" t="s">
        <v>253</v>
      </c>
      <c r="H91" t="s">
        <v>6054</v>
      </c>
      <c r="I91" s="6">
        <v>37187</v>
      </c>
      <c r="J91" s="2" t="s">
        <v>6080</v>
      </c>
      <c r="K91" s="2" t="s">
        <v>34</v>
      </c>
      <c r="L91" t="s">
        <v>35</v>
      </c>
      <c r="M91" t="s">
        <v>29</v>
      </c>
      <c r="N91" t="s">
        <v>30</v>
      </c>
      <c r="O91">
        <v>37219</v>
      </c>
      <c r="P91" t="s">
        <v>6071</v>
      </c>
      <c r="Q91" s="2">
        <v>0.15</v>
      </c>
      <c r="R91" s="2">
        <v>31</v>
      </c>
      <c r="S91" s="2">
        <v>208</v>
      </c>
      <c r="T91" t="s">
        <v>6069</v>
      </c>
      <c r="U91" s="6">
        <v>37308</v>
      </c>
      <c r="V91" s="2">
        <v>47037014400</v>
      </c>
      <c r="W91" s="2" t="s">
        <v>68</v>
      </c>
      <c r="X91" s="1">
        <v>45658</v>
      </c>
      <c r="Y91" s="2">
        <v>580300</v>
      </c>
      <c r="Z91" s="2">
        <v>0</v>
      </c>
      <c r="AA91" s="2">
        <v>580300</v>
      </c>
    </row>
    <row r="92" spans="1:27" x14ac:dyDescent="0.3">
      <c r="A92" s="3">
        <v>21</v>
      </c>
      <c r="B92" s="2" t="str">
        <f>"09207035400"</f>
        <v>09207035400</v>
      </c>
      <c r="C92" s="2" t="s">
        <v>6081</v>
      </c>
      <c r="D92" t="s">
        <v>29</v>
      </c>
      <c r="E92" s="2" t="s">
        <v>30</v>
      </c>
      <c r="F92" s="2">
        <v>37203</v>
      </c>
      <c r="G92" s="2" t="s">
        <v>253</v>
      </c>
      <c r="H92" t="s">
        <v>6054</v>
      </c>
      <c r="I92" s="6">
        <v>36766</v>
      </c>
      <c r="J92" s="2" t="s">
        <v>6082</v>
      </c>
      <c r="K92" s="2">
        <v>50600</v>
      </c>
      <c r="L92" t="s">
        <v>35</v>
      </c>
      <c r="M92" t="s">
        <v>29</v>
      </c>
      <c r="N92" t="s">
        <v>30</v>
      </c>
      <c r="O92">
        <v>37210</v>
      </c>
      <c r="P92" t="s">
        <v>6078</v>
      </c>
      <c r="Q92" s="2">
        <v>0.15</v>
      </c>
      <c r="R92" s="2">
        <v>31</v>
      </c>
      <c r="S92" s="2">
        <v>208</v>
      </c>
      <c r="T92" t="s">
        <v>6069</v>
      </c>
      <c r="U92" s="6">
        <v>37308</v>
      </c>
      <c r="V92" s="2">
        <v>47037014400</v>
      </c>
      <c r="W92" s="2" t="s">
        <v>68</v>
      </c>
      <c r="X92" s="1">
        <v>45658</v>
      </c>
      <c r="Y92" s="2">
        <v>588100</v>
      </c>
      <c r="Z92" s="2">
        <v>0</v>
      </c>
      <c r="AA92" s="2">
        <v>588100</v>
      </c>
    </row>
    <row r="93" spans="1:27" x14ac:dyDescent="0.3">
      <c r="A93" s="3">
        <v>21</v>
      </c>
      <c r="B93" s="2" t="str">
        <f>"09207035500"</f>
        <v>09207035500</v>
      </c>
      <c r="C93" s="2" t="s">
        <v>6083</v>
      </c>
      <c r="D93" t="s">
        <v>29</v>
      </c>
      <c r="E93" s="2" t="s">
        <v>30</v>
      </c>
      <c r="F93" s="2">
        <v>37203</v>
      </c>
      <c r="G93" s="2" t="s">
        <v>253</v>
      </c>
      <c r="H93" t="s">
        <v>6054</v>
      </c>
      <c r="I93" s="6">
        <v>36859</v>
      </c>
      <c r="J93" s="2" t="s">
        <v>6084</v>
      </c>
      <c r="K93" s="2">
        <v>84000</v>
      </c>
      <c r="L93" t="s">
        <v>35</v>
      </c>
      <c r="M93" t="s">
        <v>29</v>
      </c>
      <c r="N93" t="s">
        <v>30</v>
      </c>
      <c r="O93">
        <v>37219</v>
      </c>
      <c r="P93" t="s">
        <v>6085</v>
      </c>
      <c r="Q93" s="2">
        <v>0.22</v>
      </c>
      <c r="R93" s="2">
        <v>15</v>
      </c>
      <c r="S93" s="2">
        <v>150</v>
      </c>
      <c r="T93" t="s">
        <v>6069</v>
      </c>
      <c r="U93" s="6">
        <v>37308</v>
      </c>
      <c r="V93" s="2">
        <v>47037014400</v>
      </c>
      <c r="W93" s="2" t="s">
        <v>68</v>
      </c>
      <c r="X93" s="1">
        <v>45658</v>
      </c>
      <c r="Y93" s="2">
        <v>862500</v>
      </c>
      <c r="Z93" s="2">
        <v>0</v>
      </c>
      <c r="AA93" s="2">
        <v>862500</v>
      </c>
    </row>
    <row r="94" spans="1:27" x14ac:dyDescent="0.3">
      <c r="A94" s="3">
        <v>21</v>
      </c>
      <c r="B94" s="2" t="str">
        <f>"09207036900"</f>
        <v>09207036900</v>
      </c>
      <c r="C94" s="2" t="s">
        <v>6086</v>
      </c>
      <c r="D94" t="s">
        <v>29</v>
      </c>
      <c r="E94" s="2" t="s">
        <v>30</v>
      </c>
      <c r="F94" s="2">
        <v>37203</v>
      </c>
      <c r="G94" s="2" t="s">
        <v>253</v>
      </c>
      <c r="H94" t="s">
        <v>6087</v>
      </c>
      <c r="I94" s="6">
        <v>19136</v>
      </c>
      <c r="J94" s="2" t="s">
        <v>6088</v>
      </c>
      <c r="K94" s="2" t="s">
        <v>34</v>
      </c>
      <c r="L94" t="s">
        <v>35</v>
      </c>
      <c r="M94" t="s">
        <v>29</v>
      </c>
      <c r="N94" t="s">
        <v>30</v>
      </c>
      <c r="O94">
        <v>37219</v>
      </c>
      <c r="P94" t="s">
        <v>6089</v>
      </c>
      <c r="Q94" s="2">
        <v>4.3099999999999996</v>
      </c>
      <c r="R94" s="2">
        <v>507</v>
      </c>
      <c r="S94" s="2">
        <v>423</v>
      </c>
      <c r="T94" t="s">
        <v>6069</v>
      </c>
      <c r="U94" s="6">
        <v>37308</v>
      </c>
      <c r="V94" s="2">
        <v>47037014400</v>
      </c>
      <c r="W94" s="2" t="s">
        <v>68</v>
      </c>
      <c r="X94" s="1">
        <v>45658</v>
      </c>
      <c r="Y94" s="2">
        <v>3317000</v>
      </c>
      <c r="Z94" s="2">
        <v>0</v>
      </c>
      <c r="AA94" s="2">
        <v>3317000</v>
      </c>
    </row>
    <row r="95" spans="1:27" x14ac:dyDescent="0.3">
      <c r="A95" s="3">
        <v>21</v>
      </c>
      <c r="B95" s="2" t="str">
        <f>"08106023500"</f>
        <v>08106023500</v>
      </c>
      <c r="C95" s="2" t="s">
        <v>6090</v>
      </c>
      <c r="D95" t="s">
        <v>29</v>
      </c>
      <c r="E95" s="2" t="s">
        <v>30</v>
      </c>
      <c r="F95" s="2">
        <v>37208</v>
      </c>
      <c r="G95" s="2" t="s">
        <v>253</v>
      </c>
      <c r="H95" t="s">
        <v>6091</v>
      </c>
      <c r="I95" s="6">
        <v>12656</v>
      </c>
      <c r="J95" s="2" t="s">
        <v>6092</v>
      </c>
      <c r="K95" s="2" t="s">
        <v>34</v>
      </c>
      <c r="L95" t="s">
        <v>35</v>
      </c>
      <c r="M95" t="s">
        <v>29</v>
      </c>
      <c r="N95" t="s">
        <v>30</v>
      </c>
      <c r="O95">
        <v>37219</v>
      </c>
      <c r="P95" t="s">
        <v>6093</v>
      </c>
      <c r="Q95" s="2">
        <v>3.82</v>
      </c>
      <c r="R95" s="2">
        <v>0</v>
      </c>
      <c r="S95" s="2">
        <v>0</v>
      </c>
      <c r="T95" t="s">
        <v>6092</v>
      </c>
      <c r="U95" s="6">
        <v>12656</v>
      </c>
      <c r="V95" s="2">
        <v>47037013700</v>
      </c>
      <c r="W95" s="2" t="s">
        <v>68</v>
      </c>
      <c r="X95" s="1">
        <v>45658</v>
      </c>
      <c r="Y95" s="2">
        <v>421500</v>
      </c>
      <c r="Z95" s="2">
        <v>0</v>
      </c>
      <c r="AA95" s="2">
        <v>421500</v>
      </c>
    </row>
    <row r="96" spans="1:27" x14ac:dyDescent="0.3">
      <c r="A96" s="3">
        <v>21</v>
      </c>
      <c r="B96" s="2" t="str">
        <f>"09205003400"</f>
        <v>09205003400</v>
      </c>
      <c r="C96" s="2" t="s">
        <v>6094</v>
      </c>
      <c r="D96" t="s">
        <v>29</v>
      </c>
      <c r="E96" s="2" t="s">
        <v>30</v>
      </c>
      <c r="F96" s="2">
        <v>37209</v>
      </c>
      <c r="G96" s="2" t="s">
        <v>253</v>
      </c>
      <c r="H96" t="s">
        <v>6095</v>
      </c>
      <c r="I96" s="6">
        <v>19290</v>
      </c>
      <c r="J96" s="2" t="s">
        <v>6096</v>
      </c>
      <c r="K96" s="2" t="s">
        <v>34</v>
      </c>
      <c r="L96" t="s">
        <v>35</v>
      </c>
      <c r="M96" t="s">
        <v>29</v>
      </c>
      <c r="N96" t="s">
        <v>30</v>
      </c>
      <c r="O96">
        <v>37219</v>
      </c>
      <c r="P96" t="s">
        <v>6097</v>
      </c>
      <c r="Q96" s="2">
        <v>7.63</v>
      </c>
      <c r="R96" s="2">
        <v>0</v>
      </c>
      <c r="S96" s="2">
        <v>0</v>
      </c>
      <c r="T96" t="s">
        <v>6098</v>
      </c>
      <c r="U96" s="6">
        <v>36943</v>
      </c>
      <c r="V96" s="2">
        <v>47037013601</v>
      </c>
      <c r="W96" s="2" t="s">
        <v>68</v>
      </c>
      <c r="X96" s="1">
        <v>45658</v>
      </c>
      <c r="Y96" s="2">
        <v>493000</v>
      </c>
      <c r="Z96" s="2">
        <v>0</v>
      </c>
      <c r="AA96" s="2">
        <v>493000</v>
      </c>
    </row>
    <row r="97" spans="1:27" x14ac:dyDescent="0.3">
      <c r="A97" s="3">
        <v>21</v>
      </c>
      <c r="B97" s="2" t="str">
        <f>"09207036000"</f>
        <v>09207036000</v>
      </c>
      <c r="C97" s="2" t="s">
        <v>6099</v>
      </c>
      <c r="D97" t="s">
        <v>29</v>
      </c>
      <c r="E97" s="2" t="s">
        <v>30</v>
      </c>
      <c r="F97" s="2">
        <v>37203</v>
      </c>
      <c r="G97" s="2" t="s">
        <v>64</v>
      </c>
      <c r="H97" t="s">
        <v>5167</v>
      </c>
      <c r="I97" s="6">
        <v>42853</v>
      </c>
      <c r="J97" s="2" t="s">
        <v>6100</v>
      </c>
      <c r="K97" s="2">
        <v>0</v>
      </c>
      <c r="L97" t="s">
        <v>35</v>
      </c>
      <c r="M97" t="s">
        <v>29</v>
      </c>
      <c r="N97" t="s">
        <v>30</v>
      </c>
      <c r="O97">
        <v>37219</v>
      </c>
      <c r="P97" t="s">
        <v>6101</v>
      </c>
      <c r="Q97" s="2">
        <v>0.15</v>
      </c>
      <c r="R97" s="2">
        <v>34</v>
      </c>
      <c r="S97" s="2">
        <v>181</v>
      </c>
      <c r="T97" t="s">
        <v>6102</v>
      </c>
      <c r="U97" s="6">
        <v>21958</v>
      </c>
      <c r="V97" s="2">
        <v>47037014400</v>
      </c>
      <c r="W97" s="2" t="s">
        <v>68</v>
      </c>
      <c r="X97" s="1">
        <v>45658</v>
      </c>
      <c r="Y97" s="2">
        <v>165000</v>
      </c>
      <c r="Z97" s="2">
        <v>0</v>
      </c>
      <c r="AA97" s="2">
        <v>165000</v>
      </c>
    </row>
    <row r="98" spans="1:27" x14ac:dyDescent="0.3">
      <c r="A98" s="3">
        <v>21</v>
      </c>
      <c r="B98" s="2" t="str">
        <f>"09207035800"</f>
        <v>09207035800</v>
      </c>
      <c r="C98" s="2" t="s">
        <v>6103</v>
      </c>
      <c r="D98" t="s">
        <v>29</v>
      </c>
      <c r="E98" s="2" t="s">
        <v>30</v>
      </c>
      <c r="F98" s="2">
        <v>37203</v>
      </c>
      <c r="G98" s="2" t="s">
        <v>64</v>
      </c>
      <c r="H98" t="s">
        <v>5167</v>
      </c>
      <c r="I98" s="6">
        <v>42853</v>
      </c>
      <c r="J98" s="2" t="s">
        <v>6100</v>
      </c>
      <c r="K98" s="2">
        <v>0</v>
      </c>
      <c r="L98" t="s">
        <v>35</v>
      </c>
      <c r="M98" t="s">
        <v>29</v>
      </c>
      <c r="N98" t="s">
        <v>30</v>
      </c>
      <c r="O98">
        <v>37219</v>
      </c>
      <c r="P98" t="s">
        <v>6104</v>
      </c>
      <c r="Q98" s="2">
        <v>0.03</v>
      </c>
      <c r="R98" s="2">
        <v>64</v>
      </c>
      <c r="S98" s="2">
        <v>30</v>
      </c>
      <c r="T98" t="s">
        <v>6105</v>
      </c>
      <c r="U98" s="6">
        <v>21915</v>
      </c>
      <c r="V98" s="2">
        <v>47037014400</v>
      </c>
      <c r="W98" s="2" t="s">
        <v>68</v>
      </c>
      <c r="X98" s="1">
        <v>45658</v>
      </c>
      <c r="Y98" s="2">
        <v>8300</v>
      </c>
      <c r="Z98" s="2">
        <v>0</v>
      </c>
      <c r="AA98" s="2">
        <v>8300</v>
      </c>
    </row>
    <row r="99" spans="1:27" x14ac:dyDescent="0.3">
      <c r="A99" s="3">
        <v>21</v>
      </c>
      <c r="B99" s="2" t="str">
        <f>"09207035900"</f>
        <v>09207035900</v>
      </c>
      <c r="C99" s="2" t="s">
        <v>6106</v>
      </c>
      <c r="D99" t="s">
        <v>29</v>
      </c>
      <c r="E99" s="2" t="s">
        <v>30</v>
      </c>
      <c r="F99" s="2">
        <v>37203</v>
      </c>
      <c r="G99" s="2" t="s">
        <v>64</v>
      </c>
      <c r="H99" t="s">
        <v>5167</v>
      </c>
      <c r="I99" s="6">
        <v>42853</v>
      </c>
      <c r="J99" s="2" t="s">
        <v>6100</v>
      </c>
      <c r="K99" s="2">
        <v>0</v>
      </c>
      <c r="L99" t="s">
        <v>35</v>
      </c>
      <c r="M99" t="s">
        <v>29</v>
      </c>
      <c r="N99" t="s">
        <v>30</v>
      </c>
      <c r="O99">
        <v>37219</v>
      </c>
      <c r="P99" t="s">
        <v>6104</v>
      </c>
      <c r="Q99" s="2">
        <v>0.09</v>
      </c>
      <c r="R99" s="2">
        <v>43</v>
      </c>
      <c r="S99" s="2">
        <v>118</v>
      </c>
      <c r="T99" t="s">
        <v>6107</v>
      </c>
      <c r="U99" s="6">
        <v>21174</v>
      </c>
      <c r="V99" s="2">
        <v>47037014400</v>
      </c>
      <c r="W99" s="2" t="s">
        <v>68</v>
      </c>
      <c r="X99" s="1">
        <v>45658</v>
      </c>
      <c r="Y99" s="2">
        <v>41300</v>
      </c>
      <c r="Z99" s="2">
        <v>0</v>
      </c>
      <c r="AA99" s="2">
        <v>41300</v>
      </c>
    </row>
    <row r="100" spans="1:27" x14ac:dyDescent="0.3">
      <c r="A100" s="3">
        <v>21</v>
      </c>
      <c r="B100" s="2" t="str">
        <f>"09204013900"</f>
        <v>09204013900</v>
      </c>
      <c r="C100" s="2" t="s">
        <v>6108</v>
      </c>
      <c r="D100" t="s">
        <v>29</v>
      </c>
      <c r="E100" s="2" t="s">
        <v>30</v>
      </c>
      <c r="F100" s="2">
        <v>37208</v>
      </c>
      <c r="G100" s="2" t="s">
        <v>64</v>
      </c>
      <c r="H100" t="s">
        <v>5179</v>
      </c>
      <c r="I100" s="6">
        <v>337</v>
      </c>
      <c r="J100" s="2" t="s">
        <v>6109</v>
      </c>
      <c r="K100" s="2" t="s">
        <v>34</v>
      </c>
      <c r="L100" t="s">
        <v>35</v>
      </c>
      <c r="M100" t="s">
        <v>29</v>
      </c>
      <c r="N100" t="s">
        <v>30</v>
      </c>
      <c r="O100">
        <v>37219</v>
      </c>
      <c r="P100" t="s">
        <v>6110</v>
      </c>
      <c r="Q100" s="2">
        <v>0.88</v>
      </c>
      <c r="R100" s="2">
        <v>160</v>
      </c>
      <c r="S100" s="2">
        <v>230</v>
      </c>
      <c r="T100" t="s">
        <v>6109</v>
      </c>
      <c r="U100" s="6">
        <v>337</v>
      </c>
      <c r="V100" s="2">
        <v>47037014200</v>
      </c>
      <c r="W100" s="2" t="s">
        <v>68</v>
      </c>
      <c r="X100" s="1">
        <v>45658</v>
      </c>
      <c r="Y100" s="2">
        <v>1819000</v>
      </c>
      <c r="Z100" s="2">
        <v>0</v>
      </c>
      <c r="AA100" s="2">
        <v>1819000</v>
      </c>
    </row>
    <row r="101" spans="1:27" x14ac:dyDescent="0.3">
      <c r="A101" s="3">
        <v>21</v>
      </c>
      <c r="B101" s="2" t="str">
        <f>"09202043400"</f>
        <v>09202043400</v>
      </c>
      <c r="C101" s="2" t="s">
        <v>6111</v>
      </c>
      <c r="D101" t="s">
        <v>29</v>
      </c>
      <c r="E101" s="2" t="s">
        <v>30</v>
      </c>
      <c r="F101" s="2">
        <v>37208</v>
      </c>
      <c r="G101" s="2" t="s">
        <v>253</v>
      </c>
      <c r="H101" t="s">
        <v>6112</v>
      </c>
      <c r="I101" s="6">
        <v>14276</v>
      </c>
      <c r="J101" s="2" t="s">
        <v>6113</v>
      </c>
      <c r="K101" s="2">
        <v>0</v>
      </c>
      <c r="L101" t="s">
        <v>35</v>
      </c>
      <c r="M101" t="s">
        <v>29</v>
      </c>
      <c r="N101" t="s">
        <v>30</v>
      </c>
      <c r="O101">
        <v>37219</v>
      </c>
      <c r="P101" t="s">
        <v>6114</v>
      </c>
      <c r="Q101" s="2">
        <v>27.8</v>
      </c>
      <c r="R101" s="2">
        <v>0</v>
      </c>
      <c r="S101" s="2">
        <v>0</v>
      </c>
      <c r="T101" t="s">
        <v>278</v>
      </c>
      <c r="U101" s="6">
        <v>36591</v>
      </c>
      <c r="V101" s="2">
        <v>47037014300</v>
      </c>
      <c r="W101" s="2" t="s">
        <v>68</v>
      </c>
      <c r="X101" s="1">
        <v>45658</v>
      </c>
      <c r="Y101" s="2">
        <v>585200</v>
      </c>
      <c r="Z101" s="2">
        <v>0</v>
      </c>
      <c r="AA101" s="2">
        <v>585200</v>
      </c>
    </row>
    <row r="102" spans="1:27" x14ac:dyDescent="0.3">
      <c r="A102" s="3">
        <v>21</v>
      </c>
      <c r="B102" s="2" t="str">
        <f>"08108010900"</f>
        <v>08108010900</v>
      </c>
      <c r="C102" s="2" t="s">
        <v>6115</v>
      </c>
      <c r="D102" t="s">
        <v>29</v>
      </c>
      <c r="E102" s="2" t="s">
        <v>30</v>
      </c>
      <c r="F102" s="2">
        <v>37208</v>
      </c>
      <c r="G102" s="2" t="s">
        <v>253</v>
      </c>
      <c r="H102" t="s">
        <v>6116</v>
      </c>
      <c r="I102" s="6">
        <v>12835</v>
      </c>
      <c r="J102" s="2" t="s">
        <v>6117</v>
      </c>
      <c r="K102" s="2" t="s">
        <v>34</v>
      </c>
      <c r="L102" t="s">
        <v>35</v>
      </c>
      <c r="M102" t="s">
        <v>29</v>
      </c>
      <c r="N102" t="s">
        <v>30</v>
      </c>
      <c r="O102">
        <v>37219</v>
      </c>
      <c r="P102" t="s">
        <v>6118</v>
      </c>
      <c r="Q102" s="2">
        <v>3.46</v>
      </c>
      <c r="R102" s="2">
        <v>488</v>
      </c>
      <c r="S102" s="2">
        <v>168</v>
      </c>
      <c r="T102" t="s">
        <v>278</v>
      </c>
      <c r="U102" s="6">
        <v>36581</v>
      </c>
      <c r="V102" s="2">
        <v>47037013700</v>
      </c>
      <c r="W102" s="2" t="s">
        <v>68</v>
      </c>
      <c r="X102" s="1">
        <v>45658</v>
      </c>
      <c r="Y102" s="2">
        <v>255900</v>
      </c>
      <c r="Z102" s="2">
        <v>0</v>
      </c>
      <c r="AA102" s="2">
        <v>255900</v>
      </c>
    </row>
    <row r="103" spans="1:27" x14ac:dyDescent="0.3">
      <c r="A103" s="3">
        <v>21</v>
      </c>
      <c r="B103" s="2" t="str">
        <f>"08110009200"</f>
        <v>08110009200</v>
      </c>
      <c r="C103" s="2" t="s">
        <v>6119</v>
      </c>
      <c r="D103" t="s">
        <v>29</v>
      </c>
      <c r="E103" s="2" t="s">
        <v>30</v>
      </c>
      <c r="F103" s="2">
        <v>37208</v>
      </c>
      <c r="G103" s="2" t="s">
        <v>64</v>
      </c>
      <c r="H103" t="s">
        <v>2485</v>
      </c>
      <c r="I103" s="6">
        <v>38275</v>
      </c>
      <c r="J103" s="2" t="s">
        <v>6120</v>
      </c>
      <c r="K103" s="2">
        <v>9146</v>
      </c>
      <c r="L103" t="s">
        <v>6121</v>
      </c>
      <c r="M103" t="s">
        <v>29</v>
      </c>
      <c r="N103" t="s">
        <v>30</v>
      </c>
      <c r="O103">
        <v>37201</v>
      </c>
      <c r="P103" t="s">
        <v>6122</v>
      </c>
      <c r="Q103" s="2">
        <v>0.17</v>
      </c>
      <c r="R103" s="2">
        <v>52</v>
      </c>
      <c r="S103" s="2">
        <v>145</v>
      </c>
      <c r="T103" t="s">
        <v>6123</v>
      </c>
      <c r="U103" s="6">
        <v>23312</v>
      </c>
      <c r="V103" s="2">
        <v>47037013800</v>
      </c>
      <c r="W103" s="2" t="s">
        <v>68</v>
      </c>
      <c r="X103" s="1">
        <v>45658</v>
      </c>
      <c r="Y103" s="2">
        <v>200000</v>
      </c>
      <c r="Z103" s="2">
        <v>0</v>
      </c>
      <c r="AA103" s="2">
        <v>200000</v>
      </c>
    </row>
    <row r="104" spans="1:27" x14ac:dyDescent="0.3">
      <c r="A104" s="3">
        <v>21</v>
      </c>
      <c r="B104" s="2" t="str">
        <f>"09108030400"</f>
        <v>09108030400</v>
      </c>
      <c r="C104" s="2" t="s">
        <v>6124</v>
      </c>
      <c r="D104" t="s">
        <v>29</v>
      </c>
      <c r="E104" s="2" t="s">
        <v>30</v>
      </c>
      <c r="F104" s="2">
        <v>37209</v>
      </c>
      <c r="G104" s="2" t="s">
        <v>64</v>
      </c>
      <c r="H104" t="s">
        <v>6125</v>
      </c>
      <c r="I104" s="6">
        <v>37096</v>
      </c>
      <c r="J104" s="2" t="s">
        <v>6126</v>
      </c>
      <c r="K104" s="2">
        <v>8000</v>
      </c>
      <c r="L104" t="s">
        <v>6127</v>
      </c>
      <c r="M104" t="s">
        <v>29</v>
      </c>
      <c r="N104" t="s">
        <v>30</v>
      </c>
      <c r="O104">
        <v>37203</v>
      </c>
      <c r="P104" t="s">
        <v>6128</v>
      </c>
      <c r="Q104" s="2">
        <v>0.11</v>
      </c>
      <c r="R104" s="2">
        <v>50</v>
      </c>
      <c r="S104" s="2">
        <v>110</v>
      </c>
      <c r="T104" t="s">
        <v>6129</v>
      </c>
      <c r="U104" s="6">
        <v>24220</v>
      </c>
      <c r="V104" s="2">
        <v>47037013601</v>
      </c>
      <c r="W104" s="2" t="s">
        <v>68</v>
      </c>
      <c r="X104" s="1">
        <v>45658</v>
      </c>
      <c r="Y104" s="2">
        <v>54700</v>
      </c>
      <c r="Z104" s="2">
        <v>0</v>
      </c>
      <c r="AA104" s="2">
        <v>54700</v>
      </c>
    </row>
    <row r="105" spans="1:27" x14ac:dyDescent="0.3">
      <c r="A105" s="3">
        <v>21</v>
      </c>
      <c r="B105" s="2" t="str">
        <f>"08104026400"</f>
        <v>08104026400</v>
      </c>
      <c r="C105" s="2" t="s">
        <v>6130</v>
      </c>
      <c r="D105" t="s">
        <v>29</v>
      </c>
      <c r="E105" s="2" t="s">
        <v>30</v>
      </c>
      <c r="F105" s="2">
        <v>37208</v>
      </c>
      <c r="G105" s="2" t="s">
        <v>505</v>
      </c>
      <c r="H105" t="s">
        <v>6131</v>
      </c>
      <c r="I105" s="6">
        <v>43371</v>
      </c>
      <c r="J105" s="2" t="s">
        <v>6132</v>
      </c>
      <c r="K105" s="2">
        <v>0</v>
      </c>
      <c r="L105" t="s">
        <v>6130</v>
      </c>
      <c r="M105" t="s">
        <v>29</v>
      </c>
      <c r="N105" t="s">
        <v>30</v>
      </c>
      <c r="O105">
        <v>37208</v>
      </c>
      <c r="P105" t="s">
        <v>6133</v>
      </c>
      <c r="Q105" s="2">
        <v>1.55</v>
      </c>
      <c r="R105" s="2">
        <v>298</v>
      </c>
      <c r="S105" s="2">
        <v>194</v>
      </c>
      <c r="T105" t="s">
        <v>6134</v>
      </c>
      <c r="U105" s="6">
        <v>43374</v>
      </c>
      <c r="V105" s="2">
        <v>47037013700</v>
      </c>
      <c r="W105" s="2" t="s">
        <v>68</v>
      </c>
      <c r="X105" s="1">
        <v>45658</v>
      </c>
      <c r="Y105" s="2">
        <v>12343500</v>
      </c>
      <c r="Z105" s="2">
        <v>10318000</v>
      </c>
      <c r="AA105" s="2">
        <v>2025500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3EC3-8026-4711-B477-BADBEF15C0EA}">
  <sheetPr>
    <tabColor rgb="FF002060"/>
  </sheetPr>
  <dimension ref="A1:AA18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22</v>
      </c>
      <c r="B2" s="2" t="str">
        <f>"14200028900"</f>
        <v>14200028900</v>
      </c>
      <c r="C2" s="2" t="s">
        <v>6135</v>
      </c>
      <c r="D2" t="s">
        <v>29</v>
      </c>
      <c r="E2" s="2" t="s">
        <v>30</v>
      </c>
      <c r="F2" s="2">
        <v>37221</v>
      </c>
      <c r="G2" s="2" t="s">
        <v>64</v>
      </c>
      <c r="H2" t="s">
        <v>32</v>
      </c>
      <c r="I2" s="6">
        <v>35402</v>
      </c>
      <c r="J2" s="2" t="s">
        <v>6136</v>
      </c>
      <c r="K2" s="2">
        <v>1200000</v>
      </c>
      <c r="L2" t="s">
        <v>35</v>
      </c>
      <c r="M2" t="s">
        <v>29</v>
      </c>
      <c r="N2" t="s">
        <v>30</v>
      </c>
      <c r="O2">
        <v>37219</v>
      </c>
      <c r="P2" t="s">
        <v>6137</v>
      </c>
      <c r="Q2" s="2">
        <v>2.65</v>
      </c>
      <c r="R2" s="2">
        <v>865</v>
      </c>
      <c r="S2" s="2">
        <v>43</v>
      </c>
      <c r="T2" t="s">
        <v>6138</v>
      </c>
      <c r="U2" s="6">
        <v>33751</v>
      </c>
      <c r="V2" s="2">
        <v>47037018404</v>
      </c>
      <c r="W2" s="2" t="s">
        <v>38</v>
      </c>
      <c r="X2" s="1">
        <v>45658</v>
      </c>
      <c r="Y2" s="2">
        <v>240000</v>
      </c>
      <c r="Z2" s="2">
        <v>0</v>
      </c>
      <c r="AA2" s="2">
        <v>240000</v>
      </c>
    </row>
    <row r="3" spans="1:27" x14ac:dyDescent="0.3">
      <c r="A3" s="3">
        <v>22</v>
      </c>
      <c r="B3" s="2" t="str">
        <f>"14200021700"</f>
        <v>14200021700</v>
      </c>
      <c r="C3" s="2" t="s">
        <v>6139</v>
      </c>
      <c r="D3" t="s">
        <v>29</v>
      </c>
      <c r="E3" s="2" t="s">
        <v>30</v>
      </c>
      <c r="F3" s="2">
        <v>37221</v>
      </c>
      <c r="G3" s="2" t="s">
        <v>41</v>
      </c>
      <c r="H3" t="s">
        <v>32</v>
      </c>
      <c r="I3" s="6">
        <v>39938</v>
      </c>
      <c r="J3" s="2" t="s">
        <v>6140</v>
      </c>
      <c r="K3" s="2">
        <v>18000</v>
      </c>
      <c r="L3" t="s">
        <v>35</v>
      </c>
      <c r="M3" t="s">
        <v>29</v>
      </c>
      <c r="N3" t="s">
        <v>30</v>
      </c>
      <c r="O3">
        <v>37219</v>
      </c>
      <c r="P3" t="s">
        <v>6141</v>
      </c>
      <c r="Q3" s="2">
        <v>14.67</v>
      </c>
      <c r="R3" s="2">
        <v>0</v>
      </c>
      <c r="S3" s="2">
        <v>0</v>
      </c>
      <c r="T3" t="s">
        <v>62</v>
      </c>
      <c r="U3" s="6">
        <v>37622</v>
      </c>
      <c r="V3" s="2">
        <v>47037018409</v>
      </c>
      <c r="W3" s="2" t="s">
        <v>38</v>
      </c>
      <c r="X3" s="1">
        <v>45658</v>
      </c>
      <c r="Y3" s="2">
        <v>7361600</v>
      </c>
      <c r="Z3" s="2">
        <v>0</v>
      </c>
      <c r="AA3" s="2">
        <v>7361600</v>
      </c>
    </row>
    <row r="4" spans="1:27" x14ac:dyDescent="0.3">
      <c r="A4" s="3">
        <v>22</v>
      </c>
      <c r="B4" s="2" t="str">
        <f>"12800019600"</f>
        <v>12800019600</v>
      </c>
      <c r="C4" s="2" t="s">
        <v>6142</v>
      </c>
      <c r="D4" t="s">
        <v>29</v>
      </c>
      <c r="E4" s="2" t="s">
        <v>30</v>
      </c>
      <c r="F4" s="2">
        <v>37221</v>
      </c>
      <c r="G4" s="2" t="s">
        <v>41</v>
      </c>
      <c r="H4" t="s">
        <v>32</v>
      </c>
      <c r="I4" s="6">
        <v>42956</v>
      </c>
      <c r="J4" s="2" t="s">
        <v>6143</v>
      </c>
      <c r="K4" s="2">
        <v>2933000</v>
      </c>
      <c r="L4" t="s">
        <v>35</v>
      </c>
      <c r="M4" t="s">
        <v>29</v>
      </c>
      <c r="N4" t="s">
        <v>30</v>
      </c>
      <c r="O4">
        <v>37219</v>
      </c>
      <c r="P4" t="s">
        <v>6144</v>
      </c>
      <c r="Q4" s="2">
        <v>8.3800000000000008</v>
      </c>
      <c r="R4" s="2">
        <v>0</v>
      </c>
      <c r="S4" s="2">
        <v>0</v>
      </c>
      <c r="T4" t="s">
        <v>6145</v>
      </c>
      <c r="U4" s="6">
        <v>42940</v>
      </c>
      <c r="V4" s="2">
        <v>47037018401</v>
      </c>
      <c r="W4" s="2" t="s">
        <v>38</v>
      </c>
      <c r="X4" s="1">
        <v>45658</v>
      </c>
      <c r="Y4" s="2">
        <v>19711800</v>
      </c>
      <c r="Z4" s="2">
        <v>0</v>
      </c>
      <c r="AA4" s="2">
        <v>19711800</v>
      </c>
    </row>
    <row r="5" spans="1:27" x14ac:dyDescent="0.3">
      <c r="A5" s="3">
        <v>22</v>
      </c>
      <c r="B5" s="2" t="str">
        <f>"12815001500"</f>
        <v>12815001500</v>
      </c>
      <c r="C5" s="2" t="s">
        <v>6146</v>
      </c>
      <c r="D5" t="s">
        <v>29</v>
      </c>
      <c r="E5" s="2" t="s">
        <v>30</v>
      </c>
      <c r="F5" s="2">
        <v>37221</v>
      </c>
      <c r="G5" s="2" t="s">
        <v>31</v>
      </c>
      <c r="H5" t="s">
        <v>99</v>
      </c>
      <c r="I5" s="6">
        <v>36462</v>
      </c>
      <c r="J5" s="2" t="s">
        <v>6147</v>
      </c>
      <c r="K5" s="2">
        <v>252</v>
      </c>
      <c r="L5" t="s">
        <v>35</v>
      </c>
      <c r="M5" t="s">
        <v>29</v>
      </c>
      <c r="N5" t="s">
        <v>30</v>
      </c>
      <c r="O5">
        <v>37219</v>
      </c>
      <c r="P5" t="s">
        <v>6148</v>
      </c>
      <c r="Q5" s="2">
        <v>0.05</v>
      </c>
      <c r="R5" s="2">
        <v>314</v>
      </c>
      <c r="S5" s="2">
        <v>4</v>
      </c>
      <c r="T5" t="s">
        <v>6149</v>
      </c>
      <c r="U5" s="6">
        <v>23994</v>
      </c>
      <c r="V5" s="2">
        <v>47037018401</v>
      </c>
      <c r="W5" s="2" t="s">
        <v>38</v>
      </c>
      <c r="X5" s="1">
        <v>45658</v>
      </c>
      <c r="Y5" s="2">
        <v>300</v>
      </c>
      <c r="Z5" s="2">
        <v>0</v>
      </c>
      <c r="AA5" s="2">
        <v>300</v>
      </c>
    </row>
    <row r="6" spans="1:27" x14ac:dyDescent="0.3">
      <c r="A6" s="3">
        <v>22</v>
      </c>
      <c r="B6" s="2" t="str">
        <f>"14211016200"</f>
        <v>14211016200</v>
      </c>
      <c r="C6" s="2" t="s">
        <v>6150</v>
      </c>
      <c r="D6" t="s">
        <v>29</v>
      </c>
      <c r="E6" s="2" t="s">
        <v>30</v>
      </c>
      <c r="F6" s="2">
        <v>37207</v>
      </c>
      <c r="G6" s="2" t="s">
        <v>64</v>
      </c>
      <c r="H6" t="s">
        <v>99</v>
      </c>
      <c r="I6" s="6">
        <v>33442</v>
      </c>
      <c r="J6" s="2" t="s">
        <v>6151</v>
      </c>
      <c r="K6" s="2">
        <v>235</v>
      </c>
      <c r="L6" t="s">
        <v>35</v>
      </c>
      <c r="M6" t="s">
        <v>29</v>
      </c>
      <c r="N6" t="s">
        <v>30</v>
      </c>
      <c r="O6">
        <v>37219</v>
      </c>
      <c r="P6" t="s">
        <v>6152</v>
      </c>
      <c r="Q6" s="2">
        <v>0.01</v>
      </c>
      <c r="R6" s="2">
        <v>234</v>
      </c>
      <c r="S6" s="2">
        <v>2</v>
      </c>
      <c r="T6" t="s">
        <v>6153</v>
      </c>
      <c r="U6" s="6">
        <v>28604</v>
      </c>
      <c r="V6" s="2">
        <v>47037018405</v>
      </c>
      <c r="W6" s="2" t="s">
        <v>38</v>
      </c>
      <c r="X6" s="1">
        <v>45658</v>
      </c>
      <c r="Y6" s="2">
        <v>900</v>
      </c>
      <c r="Z6" s="2">
        <v>0</v>
      </c>
      <c r="AA6" s="2">
        <v>900</v>
      </c>
    </row>
    <row r="7" spans="1:27" x14ac:dyDescent="0.3">
      <c r="A7" s="3">
        <v>22</v>
      </c>
      <c r="B7" s="2" t="str">
        <f>"14200011900"</f>
        <v>14200011900</v>
      </c>
      <c r="C7" s="2" t="s">
        <v>28</v>
      </c>
      <c r="D7" t="s">
        <v>29</v>
      </c>
      <c r="E7" s="2" t="s">
        <v>30</v>
      </c>
      <c r="F7" s="2">
        <v>37221</v>
      </c>
      <c r="G7" s="2" t="s">
        <v>31</v>
      </c>
      <c r="H7" t="s">
        <v>171</v>
      </c>
      <c r="I7" s="6">
        <v>34326</v>
      </c>
      <c r="J7" s="2" t="s">
        <v>6154</v>
      </c>
      <c r="K7" s="2">
        <v>1200000</v>
      </c>
      <c r="L7" t="s">
        <v>35</v>
      </c>
      <c r="M7" t="s">
        <v>29</v>
      </c>
      <c r="N7" t="s">
        <v>30</v>
      </c>
      <c r="O7">
        <v>37219</v>
      </c>
      <c r="P7" t="s">
        <v>6155</v>
      </c>
      <c r="Q7" s="2">
        <v>2.95</v>
      </c>
      <c r="R7" s="2">
        <v>252</v>
      </c>
      <c r="S7" s="2">
        <v>292</v>
      </c>
      <c r="T7" t="s">
        <v>6138</v>
      </c>
      <c r="U7" s="6">
        <v>33751</v>
      </c>
      <c r="V7" s="2">
        <v>47037018405</v>
      </c>
      <c r="W7" s="2" t="s">
        <v>38</v>
      </c>
      <c r="X7" s="1">
        <v>45658</v>
      </c>
      <c r="Y7" s="2">
        <v>522000</v>
      </c>
      <c r="Z7" s="2">
        <v>0</v>
      </c>
      <c r="AA7" s="2">
        <v>522000</v>
      </c>
    </row>
    <row r="8" spans="1:27" x14ac:dyDescent="0.3">
      <c r="A8" s="3">
        <v>22</v>
      </c>
      <c r="B8" s="2" t="str">
        <f>"14100009200"</f>
        <v>14100009200</v>
      </c>
      <c r="C8" s="2" t="s">
        <v>6156</v>
      </c>
      <c r="D8" t="s">
        <v>29</v>
      </c>
      <c r="E8" s="2" t="s">
        <v>30</v>
      </c>
      <c r="F8" s="2">
        <v>37221</v>
      </c>
      <c r="G8" s="2" t="s">
        <v>31</v>
      </c>
      <c r="H8" t="s">
        <v>176</v>
      </c>
      <c r="I8" s="6">
        <v>32637</v>
      </c>
      <c r="J8" s="2" t="s">
        <v>6157</v>
      </c>
      <c r="K8" s="2" t="s">
        <v>34</v>
      </c>
      <c r="L8" t="s">
        <v>178</v>
      </c>
      <c r="M8" t="s">
        <v>29</v>
      </c>
      <c r="N8" t="s">
        <v>30</v>
      </c>
      <c r="O8">
        <v>37246</v>
      </c>
      <c r="P8" t="s">
        <v>6158</v>
      </c>
      <c r="Q8" s="2">
        <v>11.47</v>
      </c>
      <c r="R8" s="2">
        <v>0</v>
      </c>
      <c r="S8" s="2">
        <v>0</v>
      </c>
      <c r="T8" t="s">
        <v>6157</v>
      </c>
      <c r="U8" s="6">
        <v>32637</v>
      </c>
      <c r="V8" s="2">
        <v>47037018407</v>
      </c>
      <c r="W8" s="2" t="s">
        <v>38</v>
      </c>
      <c r="X8" s="1">
        <v>45658</v>
      </c>
      <c r="Y8" s="2">
        <v>303100</v>
      </c>
      <c r="Z8" s="2">
        <v>0</v>
      </c>
      <c r="AA8" s="2">
        <v>303100</v>
      </c>
    </row>
    <row r="9" spans="1:27" x14ac:dyDescent="0.3">
      <c r="A9" s="3">
        <v>22</v>
      </c>
      <c r="B9" s="2" t="str">
        <f>"14214005600"</f>
        <v>14214005600</v>
      </c>
      <c r="C9" s="2" t="s">
        <v>6159</v>
      </c>
      <c r="D9" t="s">
        <v>29</v>
      </c>
      <c r="E9" s="2" t="s">
        <v>30</v>
      </c>
      <c r="F9" s="2">
        <v>37221</v>
      </c>
      <c r="G9" s="2" t="s">
        <v>200</v>
      </c>
      <c r="H9" t="s">
        <v>6160</v>
      </c>
      <c r="I9" s="6">
        <v>24173</v>
      </c>
      <c r="J9" s="2" t="s">
        <v>6161</v>
      </c>
      <c r="K9" s="2" t="s">
        <v>34</v>
      </c>
      <c r="L9" t="s">
        <v>35</v>
      </c>
      <c r="M9" t="s">
        <v>29</v>
      </c>
      <c r="N9" t="s">
        <v>30</v>
      </c>
      <c r="O9">
        <v>37219</v>
      </c>
      <c r="P9" t="s">
        <v>6162</v>
      </c>
      <c r="Q9" s="2">
        <v>10.029999999999999</v>
      </c>
      <c r="R9" s="2">
        <v>0</v>
      </c>
      <c r="S9" s="2">
        <v>0</v>
      </c>
      <c r="T9" t="s">
        <v>6161</v>
      </c>
      <c r="U9" s="6">
        <v>24173</v>
      </c>
      <c r="V9" s="2">
        <v>47037018405</v>
      </c>
      <c r="W9" s="2" t="s">
        <v>38</v>
      </c>
      <c r="X9" s="1">
        <v>45658</v>
      </c>
      <c r="Y9" s="2">
        <v>108600</v>
      </c>
      <c r="Z9" s="2">
        <v>0</v>
      </c>
      <c r="AA9" s="2">
        <v>108600</v>
      </c>
    </row>
    <row r="10" spans="1:27" x14ac:dyDescent="0.3">
      <c r="A10" s="3">
        <v>22</v>
      </c>
      <c r="B10" s="2" t="str">
        <f>"14200013300"</f>
        <v>14200013300</v>
      </c>
      <c r="C10" s="2" t="s">
        <v>6163</v>
      </c>
      <c r="D10" t="s">
        <v>29</v>
      </c>
      <c r="E10" s="2" t="s">
        <v>30</v>
      </c>
      <c r="F10" s="2">
        <v>37221</v>
      </c>
      <c r="G10" s="2" t="s">
        <v>200</v>
      </c>
      <c r="H10" t="s">
        <v>6164</v>
      </c>
      <c r="I10" s="6">
        <v>27395</v>
      </c>
      <c r="J10" s="2" t="s">
        <v>6165</v>
      </c>
      <c r="K10" s="2" t="s">
        <v>34</v>
      </c>
      <c r="L10" t="s">
        <v>35</v>
      </c>
      <c r="M10" t="s">
        <v>29</v>
      </c>
      <c r="N10" t="s">
        <v>30</v>
      </c>
      <c r="O10">
        <v>37219</v>
      </c>
      <c r="P10" t="s">
        <v>6166</v>
      </c>
      <c r="Q10" s="2">
        <v>2.17</v>
      </c>
      <c r="R10" s="2">
        <v>392</v>
      </c>
      <c r="S10" s="2">
        <v>255</v>
      </c>
      <c r="T10" t="s">
        <v>278</v>
      </c>
      <c r="U10" s="6">
        <v>32913</v>
      </c>
      <c r="V10" s="2">
        <v>47037018405</v>
      </c>
      <c r="W10" s="2" t="s">
        <v>38</v>
      </c>
      <c r="X10" s="1">
        <v>45658</v>
      </c>
      <c r="Y10" s="2">
        <v>348000</v>
      </c>
      <c r="Z10" s="2">
        <v>0</v>
      </c>
      <c r="AA10" s="2">
        <v>348000</v>
      </c>
    </row>
    <row r="11" spans="1:27" x14ac:dyDescent="0.3">
      <c r="A11" s="3">
        <v>22</v>
      </c>
      <c r="B11" s="2" t="str">
        <f>"14200013100"</f>
        <v>14200013100</v>
      </c>
      <c r="C11" s="2" t="s">
        <v>6163</v>
      </c>
      <c r="D11" t="s">
        <v>29</v>
      </c>
      <c r="E11" s="2" t="s">
        <v>30</v>
      </c>
      <c r="F11" s="2">
        <v>37221</v>
      </c>
      <c r="G11" s="2" t="s">
        <v>200</v>
      </c>
      <c r="H11" t="s">
        <v>6164</v>
      </c>
      <c r="I11" s="6">
        <v>27395</v>
      </c>
      <c r="J11" s="2" t="s">
        <v>6167</v>
      </c>
      <c r="K11" s="2" t="s">
        <v>34</v>
      </c>
      <c r="L11" t="s">
        <v>35</v>
      </c>
      <c r="M11" t="s">
        <v>29</v>
      </c>
      <c r="N11" t="s">
        <v>30</v>
      </c>
      <c r="O11">
        <v>37219</v>
      </c>
      <c r="P11" t="s">
        <v>6168</v>
      </c>
      <c r="Q11" s="2">
        <v>0.53</v>
      </c>
      <c r="R11" s="2">
        <v>140</v>
      </c>
      <c r="S11" s="2">
        <v>315</v>
      </c>
      <c r="T11" t="s">
        <v>6169</v>
      </c>
      <c r="U11" s="6">
        <v>30049</v>
      </c>
      <c r="V11" s="2">
        <v>47037018405</v>
      </c>
      <c r="W11" s="2" t="s">
        <v>38</v>
      </c>
      <c r="X11" s="1">
        <v>45658</v>
      </c>
      <c r="Y11" s="2">
        <v>174000</v>
      </c>
      <c r="Z11" s="2">
        <v>0</v>
      </c>
      <c r="AA11" s="2">
        <v>174000</v>
      </c>
    </row>
    <row r="12" spans="1:27" x14ac:dyDescent="0.3">
      <c r="A12" s="3">
        <v>22</v>
      </c>
      <c r="B12" s="2" t="str">
        <f>"15601000100"</f>
        <v>15601000100</v>
      </c>
      <c r="C12" s="2" t="s">
        <v>6170</v>
      </c>
      <c r="D12" t="s">
        <v>29</v>
      </c>
      <c r="E12" s="2" t="s">
        <v>30</v>
      </c>
      <c r="F12" s="2">
        <v>37221</v>
      </c>
      <c r="G12" s="2" t="s">
        <v>64</v>
      </c>
      <c r="H12" t="s">
        <v>211</v>
      </c>
      <c r="I12" s="6">
        <v>41704</v>
      </c>
      <c r="J12" s="2" t="s">
        <v>6171</v>
      </c>
      <c r="K12" s="2">
        <v>0</v>
      </c>
      <c r="L12" t="s">
        <v>35</v>
      </c>
      <c r="M12" t="s">
        <v>29</v>
      </c>
      <c r="N12" t="s">
        <v>30</v>
      </c>
      <c r="O12">
        <v>37219</v>
      </c>
      <c r="P12" t="s">
        <v>6172</v>
      </c>
      <c r="Q12" s="2">
        <v>0.48</v>
      </c>
      <c r="R12" s="2">
        <v>60</v>
      </c>
      <c r="S12" s="2">
        <v>330</v>
      </c>
      <c r="T12" t="s">
        <v>6173</v>
      </c>
      <c r="U12" s="6">
        <v>30589</v>
      </c>
      <c r="V12" s="2">
        <v>47037018405</v>
      </c>
      <c r="W12" s="2" t="s">
        <v>38</v>
      </c>
      <c r="X12" s="1">
        <v>45658</v>
      </c>
      <c r="Y12" s="2">
        <v>82000</v>
      </c>
      <c r="Z12" s="2">
        <v>0</v>
      </c>
      <c r="AA12" s="2">
        <v>82000</v>
      </c>
    </row>
    <row r="13" spans="1:27" x14ac:dyDescent="0.3">
      <c r="A13" s="3">
        <v>22</v>
      </c>
      <c r="B13" s="2" t="str">
        <f>"12810004600"</f>
        <v>12810004600</v>
      </c>
      <c r="C13" s="2" t="s">
        <v>6174</v>
      </c>
      <c r="D13" t="s">
        <v>29</v>
      </c>
      <c r="E13" s="2" t="s">
        <v>30</v>
      </c>
      <c r="F13" s="2">
        <v>37221</v>
      </c>
      <c r="G13" s="2" t="s">
        <v>64</v>
      </c>
      <c r="H13" t="s">
        <v>1332</v>
      </c>
      <c r="I13" s="6">
        <v>33721</v>
      </c>
      <c r="J13" s="2" t="s">
        <v>6175</v>
      </c>
      <c r="K13" s="2" t="s">
        <v>34</v>
      </c>
      <c r="L13" t="s">
        <v>35</v>
      </c>
      <c r="M13" t="s">
        <v>29</v>
      </c>
      <c r="N13" t="s">
        <v>30</v>
      </c>
      <c r="O13">
        <v>37219</v>
      </c>
      <c r="P13" t="s">
        <v>6176</v>
      </c>
      <c r="Q13" s="2">
        <v>0.18</v>
      </c>
      <c r="R13" s="2">
        <v>140</v>
      </c>
      <c r="S13" s="2">
        <v>194</v>
      </c>
      <c r="T13" t="s">
        <v>6177</v>
      </c>
      <c r="U13" s="6">
        <v>36557</v>
      </c>
      <c r="V13" s="2">
        <v>47037018401</v>
      </c>
      <c r="W13" s="2" t="s">
        <v>38</v>
      </c>
      <c r="X13" s="1">
        <v>45658</v>
      </c>
      <c r="Y13" s="2">
        <v>83500</v>
      </c>
      <c r="Z13" s="2">
        <v>0</v>
      </c>
      <c r="AA13" s="2">
        <v>83500</v>
      </c>
    </row>
    <row r="14" spans="1:27" x14ac:dyDescent="0.3">
      <c r="A14" s="3">
        <v>22</v>
      </c>
      <c r="B14" s="2" t="str">
        <f>"14200004300"</f>
        <v>14200004300</v>
      </c>
      <c r="C14" s="2" t="s">
        <v>6178</v>
      </c>
      <c r="D14" t="s">
        <v>29</v>
      </c>
      <c r="E14" s="2" t="s">
        <v>30</v>
      </c>
      <c r="F14" s="2">
        <v>37221</v>
      </c>
      <c r="G14" s="2" t="s">
        <v>253</v>
      </c>
      <c r="H14" t="s">
        <v>6179</v>
      </c>
      <c r="I14" s="6">
        <v>21328</v>
      </c>
      <c r="J14" s="2" t="s">
        <v>6180</v>
      </c>
      <c r="K14" s="2" t="s">
        <v>34</v>
      </c>
      <c r="L14" t="s">
        <v>35</v>
      </c>
      <c r="M14" t="s">
        <v>29</v>
      </c>
      <c r="N14" t="s">
        <v>30</v>
      </c>
      <c r="O14">
        <v>37219</v>
      </c>
      <c r="P14" t="s">
        <v>6181</v>
      </c>
      <c r="Q14" s="2">
        <v>18.12</v>
      </c>
      <c r="R14" s="2">
        <v>0</v>
      </c>
      <c r="S14" s="2">
        <v>0</v>
      </c>
      <c r="T14" t="s">
        <v>6182</v>
      </c>
      <c r="U14" s="6">
        <v>27926</v>
      </c>
      <c r="V14" s="2">
        <v>47037018410</v>
      </c>
      <c r="W14" s="2" t="s">
        <v>38</v>
      </c>
      <c r="X14" s="1">
        <v>45658</v>
      </c>
      <c r="Y14" s="2">
        <v>464400</v>
      </c>
      <c r="Z14" s="2">
        <v>0</v>
      </c>
      <c r="AA14" s="2">
        <v>464400</v>
      </c>
    </row>
    <row r="15" spans="1:27" x14ac:dyDescent="0.3">
      <c r="A15" s="3">
        <v>22</v>
      </c>
      <c r="B15" s="2" t="str">
        <f>"14200004201"</f>
        <v>14200004201</v>
      </c>
      <c r="C15" s="2" t="s">
        <v>6183</v>
      </c>
      <c r="D15" t="s">
        <v>29</v>
      </c>
      <c r="E15" s="2" t="s">
        <v>30</v>
      </c>
      <c r="F15" s="2">
        <v>37221</v>
      </c>
      <c r="G15" s="2" t="s">
        <v>253</v>
      </c>
      <c r="H15" t="s">
        <v>6179</v>
      </c>
      <c r="I15" s="6">
        <v>23133</v>
      </c>
      <c r="J15" s="2" t="s">
        <v>6184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6185</v>
      </c>
      <c r="Q15" s="2">
        <v>20.32</v>
      </c>
      <c r="R15" s="2">
        <v>737</v>
      </c>
      <c r="S15" s="2">
        <v>0</v>
      </c>
      <c r="T15" t="s">
        <v>6186</v>
      </c>
      <c r="U15" s="6">
        <v>41654</v>
      </c>
      <c r="V15" s="2">
        <v>47037018410</v>
      </c>
      <c r="W15" s="2" t="s">
        <v>38</v>
      </c>
      <c r="X15" s="1">
        <v>45658</v>
      </c>
      <c r="Y15" s="2">
        <v>619200</v>
      </c>
      <c r="Z15" s="2">
        <v>0</v>
      </c>
      <c r="AA15" s="2">
        <v>619200</v>
      </c>
    </row>
    <row r="16" spans="1:27" x14ac:dyDescent="0.3">
      <c r="A16" s="3">
        <v>22</v>
      </c>
      <c r="B16" s="2" t="str">
        <f>"14200037500"</f>
        <v>14200037500</v>
      </c>
      <c r="C16" s="2" t="s">
        <v>6187</v>
      </c>
      <c r="D16" t="s">
        <v>29</v>
      </c>
      <c r="E16" s="2" t="s">
        <v>30</v>
      </c>
      <c r="F16" s="2">
        <v>37221</v>
      </c>
      <c r="G16" s="2" t="s">
        <v>64</v>
      </c>
      <c r="H16" t="s">
        <v>6179</v>
      </c>
      <c r="I16" s="6">
        <v>23133</v>
      </c>
      <c r="J16" s="2" t="s">
        <v>6184</v>
      </c>
      <c r="K16" s="2">
        <v>0</v>
      </c>
      <c r="L16" t="s">
        <v>35</v>
      </c>
      <c r="M16" t="s">
        <v>29</v>
      </c>
      <c r="N16" t="s">
        <v>30</v>
      </c>
      <c r="O16">
        <v>37219</v>
      </c>
      <c r="P16" t="s">
        <v>6188</v>
      </c>
      <c r="Q16" s="2">
        <v>4</v>
      </c>
      <c r="R16" s="2">
        <v>550</v>
      </c>
      <c r="S16" s="2">
        <v>317</v>
      </c>
      <c r="T16" t="s">
        <v>6189</v>
      </c>
      <c r="U16" s="6">
        <v>41676</v>
      </c>
      <c r="V16" s="2">
        <v>47037018410</v>
      </c>
      <c r="W16" s="2" t="s">
        <v>38</v>
      </c>
      <c r="X16" s="1">
        <v>45658</v>
      </c>
      <c r="Y16" s="2">
        <v>141900</v>
      </c>
      <c r="Z16" s="2">
        <v>0</v>
      </c>
      <c r="AA16" s="2">
        <v>141900</v>
      </c>
    </row>
    <row r="17" spans="1:27" x14ac:dyDescent="0.3">
      <c r="A17" s="3">
        <v>22</v>
      </c>
      <c r="B17" s="2" t="str">
        <f>"14100000400"</f>
        <v>14100000400</v>
      </c>
      <c r="C17" s="2" t="s">
        <v>6190</v>
      </c>
      <c r="D17" t="s">
        <v>29</v>
      </c>
      <c r="E17" s="2" t="s">
        <v>30</v>
      </c>
      <c r="F17" s="2">
        <v>37221</v>
      </c>
      <c r="G17" s="2" t="s">
        <v>1949</v>
      </c>
      <c r="H17" t="s">
        <v>996</v>
      </c>
      <c r="I17" s="6">
        <v>42936</v>
      </c>
      <c r="J17" s="2" t="s">
        <v>6191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6192</v>
      </c>
      <c r="Q17" s="2">
        <v>273.33999999999997</v>
      </c>
      <c r="R17" s="2">
        <v>0</v>
      </c>
      <c r="S17" s="2">
        <v>0</v>
      </c>
      <c r="T17" t="s">
        <v>6193</v>
      </c>
      <c r="U17" s="6">
        <v>36389</v>
      </c>
      <c r="V17" s="2">
        <v>47037018301</v>
      </c>
      <c r="W17" s="2" t="s">
        <v>38</v>
      </c>
      <c r="X17" s="1">
        <v>45658</v>
      </c>
      <c r="Y17" s="2">
        <v>9844100</v>
      </c>
      <c r="Z17" s="2">
        <v>7110700</v>
      </c>
      <c r="AA17" s="2">
        <v>2733400</v>
      </c>
    </row>
    <row r="18" spans="1:27" x14ac:dyDescent="0.3">
      <c r="A18" s="3">
        <v>22</v>
      </c>
      <c r="B18" s="2" t="str">
        <f>"12800007100"</f>
        <v>12800007100</v>
      </c>
      <c r="C18" s="2" t="s">
        <v>28</v>
      </c>
      <c r="D18" t="s">
        <v>29</v>
      </c>
      <c r="E18" s="2" t="s">
        <v>30</v>
      </c>
      <c r="F18" s="2">
        <v>37221</v>
      </c>
      <c r="G18" s="2" t="s">
        <v>64</v>
      </c>
      <c r="H18" t="s">
        <v>3833</v>
      </c>
      <c r="I18" s="6">
        <v>44176</v>
      </c>
      <c r="J18" s="2" t="s">
        <v>6194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6195</v>
      </c>
      <c r="Q18" s="2">
        <v>7.47</v>
      </c>
      <c r="R18" s="2">
        <v>0</v>
      </c>
      <c r="S18" s="2">
        <v>0</v>
      </c>
      <c r="T18" t="s">
        <v>6196</v>
      </c>
      <c r="U18" s="6">
        <v>39087</v>
      </c>
      <c r="V18" s="2">
        <v>47037018401</v>
      </c>
      <c r="W18" s="2" t="s">
        <v>68</v>
      </c>
      <c r="X18" s="1">
        <v>45658</v>
      </c>
      <c r="Y18" s="2">
        <v>59400</v>
      </c>
      <c r="Z18" s="2">
        <v>0</v>
      </c>
      <c r="AA18" s="2">
        <v>59400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B7B2-2BD6-40A7-88CF-E021F6101162}">
  <sheetPr>
    <tabColor rgb="FF002060"/>
  </sheetPr>
  <dimension ref="A1:AA27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23</v>
      </c>
      <c r="B2" s="2" t="str">
        <f>"12905000500"</f>
        <v>12905000500</v>
      </c>
      <c r="C2" s="2" t="s">
        <v>6197</v>
      </c>
      <c r="D2" t="s">
        <v>29</v>
      </c>
      <c r="E2" s="2" t="s">
        <v>30</v>
      </c>
      <c r="F2" s="2">
        <v>37205</v>
      </c>
      <c r="G2" s="2" t="s">
        <v>64</v>
      </c>
      <c r="H2" t="s">
        <v>32</v>
      </c>
      <c r="I2" s="6">
        <v>42164</v>
      </c>
      <c r="J2" s="2" t="s">
        <v>6198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6199</v>
      </c>
      <c r="Q2" s="2">
        <v>3.81</v>
      </c>
      <c r="R2" s="2">
        <v>165</v>
      </c>
      <c r="S2" s="2">
        <v>335</v>
      </c>
      <c r="T2" t="s">
        <v>278</v>
      </c>
      <c r="U2" s="6">
        <v>29381</v>
      </c>
      <c r="V2" s="2">
        <v>47037018202</v>
      </c>
      <c r="W2" s="2" t="s">
        <v>68</v>
      </c>
      <c r="X2" s="1">
        <v>45658</v>
      </c>
      <c r="Y2" s="2">
        <v>810000</v>
      </c>
      <c r="Z2" s="2">
        <v>0</v>
      </c>
      <c r="AA2" s="2">
        <v>810000</v>
      </c>
    </row>
    <row r="3" spans="1:27" x14ac:dyDescent="0.3">
      <c r="A3" s="3">
        <v>23</v>
      </c>
      <c r="B3" s="2" t="str">
        <f>"11513006300"</f>
        <v>11513006300</v>
      </c>
      <c r="C3" s="2" t="s">
        <v>6200</v>
      </c>
      <c r="D3" t="s">
        <v>29</v>
      </c>
      <c r="E3" s="2" t="s">
        <v>30</v>
      </c>
      <c r="F3" s="2">
        <v>37205</v>
      </c>
      <c r="G3" s="2" t="s">
        <v>64</v>
      </c>
      <c r="H3" t="s">
        <v>32</v>
      </c>
      <c r="I3" s="6">
        <v>41304</v>
      </c>
      <c r="J3" s="2" t="s">
        <v>6201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6202</v>
      </c>
      <c r="Q3" s="2">
        <v>0.94</v>
      </c>
      <c r="R3" s="2">
        <v>156</v>
      </c>
      <c r="S3" s="2">
        <v>284</v>
      </c>
      <c r="T3" t="s">
        <v>6201</v>
      </c>
      <c r="U3" s="6">
        <v>41304</v>
      </c>
      <c r="V3" s="2">
        <v>47037018202</v>
      </c>
      <c r="W3" s="2" t="s">
        <v>68</v>
      </c>
      <c r="X3" s="1">
        <v>45658</v>
      </c>
      <c r="Y3" s="2">
        <v>475000</v>
      </c>
      <c r="Z3" s="2">
        <v>0</v>
      </c>
      <c r="AA3" s="2">
        <v>475000</v>
      </c>
    </row>
    <row r="4" spans="1:27" x14ac:dyDescent="0.3">
      <c r="A4" s="3">
        <v>23</v>
      </c>
      <c r="B4" s="2" t="str">
        <f>"11507003700"</f>
        <v>11507003700</v>
      </c>
      <c r="C4" s="2" t="s">
        <v>6203</v>
      </c>
      <c r="D4" t="s">
        <v>29</v>
      </c>
      <c r="E4" s="2" t="s">
        <v>30</v>
      </c>
      <c r="F4" s="2">
        <v>37205</v>
      </c>
      <c r="G4" s="2" t="s">
        <v>147</v>
      </c>
      <c r="H4" t="s">
        <v>6204</v>
      </c>
      <c r="I4" s="6">
        <v>28397</v>
      </c>
      <c r="J4" s="2" t="s">
        <v>6205</v>
      </c>
      <c r="K4" s="2">
        <v>62500</v>
      </c>
      <c r="L4" t="s">
        <v>35</v>
      </c>
      <c r="M4" t="s">
        <v>29</v>
      </c>
      <c r="N4" t="s">
        <v>30</v>
      </c>
      <c r="O4">
        <v>37219</v>
      </c>
      <c r="P4" t="s">
        <v>6206</v>
      </c>
      <c r="Q4" s="2">
        <v>0.93</v>
      </c>
      <c r="R4" s="2">
        <v>179</v>
      </c>
      <c r="S4" s="2">
        <v>202</v>
      </c>
      <c r="T4" t="s">
        <v>6207</v>
      </c>
      <c r="U4" s="6">
        <v>26765</v>
      </c>
      <c r="V4" s="2">
        <v>47037018102</v>
      </c>
      <c r="W4" s="2" t="s">
        <v>68</v>
      </c>
      <c r="X4" s="1">
        <v>45658</v>
      </c>
      <c r="Y4" s="2">
        <v>600000</v>
      </c>
      <c r="Z4" s="2">
        <v>0</v>
      </c>
      <c r="AA4" s="2">
        <v>600000</v>
      </c>
    </row>
    <row r="5" spans="1:27" x14ac:dyDescent="0.3">
      <c r="A5" s="3">
        <v>23</v>
      </c>
      <c r="B5" s="2" t="str">
        <f>"10211005700"</f>
        <v>10211005700</v>
      </c>
      <c r="C5" s="2" t="s">
        <v>6208</v>
      </c>
      <c r="D5" t="s">
        <v>29</v>
      </c>
      <c r="E5" s="2" t="s">
        <v>30</v>
      </c>
      <c r="F5" s="2">
        <v>37205</v>
      </c>
      <c r="G5" s="2" t="s">
        <v>152</v>
      </c>
      <c r="H5" t="s">
        <v>176</v>
      </c>
      <c r="I5" s="6">
        <v>20155</v>
      </c>
      <c r="J5" s="2" t="s">
        <v>6209</v>
      </c>
      <c r="K5" s="2" t="s">
        <v>34</v>
      </c>
      <c r="L5" t="s">
        <v>178</v>
      </c>
      <c r="M5" t="s">
        <v>29</v>
      </c>
      <c r="N5" t="s">
        <v>30</v>
      </c>
      <c r="O5">
        <v>37246</v>
      </c>
      <c r="P5" t="s">
        <v>6210</v>
      </c>
      <c r="Q5" s="2">
        <v>0.18</v>
      </c>
      <c r="R5" s="2">
        <v>151</v>
      </c>
      <c r="S5" s="2">
        <v>135</v>
      </c>
      <c r="T5" t="s">
        <v>6209</v>
      </c>
      <c r="U5" s="6">
        <v>20155</v>
      </c>
      <c r="V5" s="2">
        <v>47037018201</v>
      </c>
      <c r="W5" s="2" t="s">
        <v>68</v>
      </c>
      <c r="X5" s="1">
        <v>45658</v>
      </c>
      <c r="Y5" s="2">
        <v>500000</v>
      </c>
      <c r="Z5" s="2">
        <v>0</v>
      </c>
      <c r="AA5" s="2">
        <v>500000</v>
      </c>
    </row>
    <row r="6" spans="1:27" x14ac:dyDescent="0.3">
      <c r="A6" s="3">
        <v>23</v>
      </c>
      <c r="B6" s="2" t="str">
        <f>"11502002800"</f>
        <v>11502002800</v>
      </c>
      <c r="C6" s="2" t="s">
        <v>6211</v>
      </c>
      <c r="D6" t="s">
        <v>29</v>
      </c>
      <c r="E6" s="2" t="s">
        <v>30</v>
      </c>
      <c r="F6" s="2">
        <v>37205</v>
      </c>
      <c r="G6" s="2" t="s">
        <v>152</v>
      </c>
      <c r="H6" t="s">
        <v>176</v>
      </c>
      <c r="I6" s="6">
        <v>20795</v>
      </c>
      <c r="J6" s="2" t="s">
        <v>6212</v>
      </c>
      <c r="K6" s="2" t="s">
        <v>34</v>
      </c>
      <c r="L6" t="s">
        <v>178</v>
      </c>
      <c r="M6" t="s">
        <v>29</v>
      </c>
      <c r="N6" t="s">
        <v>30</v>
      </c>
      <c r="O6">
        <v>37246</v>
      </c>
      <c r="P6" t="s">
        <v>6213</v>
      </c>
      <c r="Q6" s="2">
        <v>0.95</v>
      </c>
      <c r="R6" s="2">
        <v>232</v>
      </c>
      <c r="S6" s="2">
        <v>203</v>
      </c>
      <c r="T6" t="s">
        <v>6212</v>
      </c>
      <c r="U6" s="6">
        <v>20795</v>
      </c>
      <c r="V6" s="2">
        <v>47037018201</v>
      </c>
      <c r="W6" s="2" t="s">
        <v>68</v>
      </c>
      <c r="X6" s="1">
        <v>45658</v>
      </c>
      <c r="Y6" s="2">
        <v>475000</v>
      </c>
      <c r="Z6" s="2">
        <v>0</v>
      </c>
      <c r="AA6" s="2">
        <v>475000</v>
      </c>
    </row>
    <row r="7" spans="1:27" x14ac:dyDescent="0.3">
      <c r="A7" s="3">
        <v>23</v>
      </c>
      <c r="B7" s="2" t="str">
        <f>"11505003700"</f>
        <v>11505003700</v>
      </c>
      <c r="C7" s="2" t="s">
        <v>6214</v>
      </c>
      <c r="D7" t="s">
        <v>29</v>
      </c>
      <c r="E7" s="2" t="s">
        <v>30</v>
      </c>
      <c r="F7" s="2">
        <v>37205</v>
      </c>
      <c r="G7" s="2" t="s">
        <v>152</v>
      </c>
      <c r="H7" t="s">
        <v>176</v>
      </c>
      <c r="I7" s="6">
        <v>21033</v>
      </c>
      <c r="J7" s="2" t="s">
        <v>6215</v>
      </c>
      <c r="K7" s="2" t="s">
        <v>34</v>
      </c>
      <c r="L7" t="s">
        <v>178</v>
      </c>
      <c r="M7" t="s">
        <v>29</v>
      </c>
      <c r="N7" t="s">
        <v>30</v>
      </c>
      <c r="O7">
        <v>37246</v>
      </c>
      <c r="P7" t="s">
        <v>6216</v>
      </c>
      <c r="Q7" s="2">
        <v>4.59</v>
      </c>
      <c r="R7" s="2">
        <v>0</v>
      </c>
      <c r="S7" s="2">
        <v>0</v>
      </c>
      <c r="T7" t="s">
        <v>6215</v>
      </c>
      <c r="U7" s="6">
        <v>21033</v>
      </c>
      <c r="V7" s="2">
        <v>47037018202</v>
      </c>
      <c r="W7" s="2" t="s">
        <v>68</v>
      </c>
      <c r="X7" s="1">
        <v>45658</v>
      </c>
      <c r="Y7" s="2">
        <v>617500</v>
      </c>
      <c r="Z7" s="2">
        <v>0</v>
      </c>
      <c r="AA7" s="2">
        <v>617500</v>
      </c>
    </row>
    <row r="8" spans="1:27" x14ac:dyDescent="0.3">
      <c r="A8" s="3">
        <v>23</v>
      </c>
      <c r="B8" s="2" t="str">
        <f>"11507001400"</f>
        <v>11507001400</v>
      </c>
      <c r="C8" s="2" t="s">
        <v>6217</v>
      </c>
      <c r="D8" t="s">
        <v>29</v>
      </c>
      <c r="E8" s="2" t="s">
        <v>30</v>
      </c>
      <c r="F8" s="2">
        <v>37205</v>
      </c>
      <c r="G8" s="2" t="s">
        <v>152</v>
      </c>
      <c r="H8" t="s">
        <v>176</v>
      </c>
      <c r="I8" s="6">
        <v>20377</v>
      </c>
      <c r="J8" s="2" t="s">
        <v>6218</v>
      </c>
      <c r="K8" s="2" t="s">
        <v>34</v>
      </c>
      <c r="L8" t="s">
        <v>178</v>
      </c>
      <c r="M8" t="s">
        <v>29</v>
      </c>
      <c r="N8" t="s">
        <v>30</v>
      </c>
      <c r="O8">
        <v>37246</v>
      </c>
      <c r="P8" t="s">
        <v>6219</v>
      </c>
      <c r="Q8" s="2">
        <v>0.97</v>
      </c>
      <c r="R8" s="2">
        <v>144</v>
      </c>
      <c r="S8" s="2">
        <v>354</v>
      </c>
      <c r="T8" t="s">
        <v>6218</v>
      </c>
      <c r="U8" s="6">
        <v>20377</v>
      </c>
      <c r="V8" s="2">
        <v>47037018201</v>
      </c>
      <c r="W8" s="2" t="s">
        <v>68</v>
      </c>
      <c r="X8" s="1">
        <v>45658</v>
      </c>
      <c r="Y8" s="2">
        <v>600000</v>
      </c>
      <c r="Z8" s="2">
        <v>0</v>
      </c>
      <c r="AA8" s="2">
        <v>600000</v>
      </c>
    </row>
    <row r="9" spans="1:27" x14ac:dyDescent="0.3">
      <c r="A9" s="3">
        <v>23</v>
      </c>
      <c r="B9" s="2" t="str">
        <f>"11610002600"</f>
        <v>11610002600</v>
      </c>
      <c r="C9" s="2" t="s">
        <v>6220</v>
      </c>
      <c r="D9" t="s">
        <v>29</v>
      </c>
      <c r="E9" s="2" t="s">
        <v>30</v>
      </c>
      <c r="F9" s="2">
        <v>37205</v>
      </c>
      <c r="G9" s="2" t="s">
        <v>152</v>
      </c>
      <c r="H9" t="s">
        <v>176</v>
      </c>
      <c r="I9" s="6">
        <v>14472</v>
      </c>
      <c r="J9" s="2" t="s">
        <v>1267</v>
      </c>
      <c r="K9" s="2" t="s">
        <v>34</v>
      </c>
      <c r="L9" t="s">
        <v>178</v>
      </c>
      <c r="M9" t="s">
        <v>29</v>
      </c>
      <c r="N9" t="s">
        <v>30</v>
      </c>
      <c r="O9">
        <v>37246</v>
      </c>
      <c r="P9" t="s">
        <v>6221</v>
      </c>
      <c r="Q9" s="2">
        <v>0.09</v>
      </c>
      <c r="R9" s="2">
        <v>10</v>
      </c>
      <c r="S9" s="2">
        <v>334</v>
      </c>
      <c r="T9" t="s">
        <v>1267</v>
      </c>
      <c r="U9" s="6">
        <v>14472</v>
      </c>
      <c r="V9" s="2">
        <v>47037018500</v>
      </c>
      <c r="W9" s="2" t="s">
        <v>6222</v>
      </c>
      <c r="X9" s="1">
        <v>45658</v>
      </c>
      <c r="Y9" s="2">
        <v>16200</v>
      </c>
      <c r="Z9" s="2">
        <v>0</v>
      </c>
      <c r="AA9" s="2">
        <v>16200</v>
      </c>
    </row>
    <row r="10" spans="1:27" x14ac:dyDescent="0.3">
      <c r="A10" s="3">
        <v>23</v>
      </c>
      <c r="B10" s="2" t="str">
        <f>"13001004400"</f>
        <v>13001004400</v>
      </c>
      <c r="C10" s="2" t="s">
        <v>6223</v>
      </c>
      <c r="D10" t="s">
        <v>29</v>
      </c>
      <c r="E10" s="2" t="s">
        <v>30</v>
      </c>
      <c r="F10" s="2">
        <v>37205</v>
      </c>
      <c r="G10" s="2" t="s">
        <v>41</v>
      </c>
      <c r="H10" t="s">
        <v>176</v>
      </c>
      <c r="I10" s="6">
        <v>18212</v>
      </c>
      <c r="J10" s="2" t="s">
        <v>6224</v>
      </c>
      <c r="K10" s="2" t="s">
        <v>34</v>
      </c>
      <c r="L10" t="s">
        <v>178</v>
      </c>
      <c r="M10" t="s">
        <v>29</v>
      </c>
      <c r="N10" t="s">
        <v>30</v>
      </c>
      <c r="O10">
        <v>37246</v>
      </c>
      <c r="P10" t="s">
        <v>6225</v>
      </c>
      <c r="Q10" s="2">
        <v>0.4</v>
      </c>
      <c r="R10" s="2">
        <v>100</v>
      </c>
      <c r="S10" s="2">
        <v>182</v>
      </c>
      <c r="T10" t="s">
        <v>6224</v>
      </c>
      <c r="U10" s="6">
        <v>18212</v>
      </c>
      <c r="V10" s="2">
        <v>47037018500</v>
      </c>
      <c r="W10" s="2" t="s">
        <v>68</v>
      </c>
      <c r="X10" s="1">
        <v>45658</v>
      </c>
      <c r="Y10" s="2">
        <v>836400</v>
      </c>
      <c r="Z10" s="2">
        <v>0</v>
      </c>
      <c r="AA10" s="2">
        <v>836400</v>
      </c>
    </row>
    <row r="11" spans="1:27" x14ac:dyDescent="0.3">
      <c r="A11" s="3">
        <v>23</v>
      </c>
      <c r="B11" s="2" t="str">
        <f>"13007011700"</f>
        <v>13007011700</v>
      </c>
      <c r="C11" s="2" t="s">
        <v>6226</v>
      </c>
      <c r="D11" t="s">
        <v>29</v>
      </c>
      <c r="E11" s="2" t="s">
        <v>30</v>
      </c>
      <c r="F11" s="2">
        <v>37205</v>
      </c>
      <c r="G11" s="2" t="s">
        <v>152</v>
      </c>
      <c r="H11" t="s">
        <v>176</v>
      </c>
      <c r="I11" s="6">
        <v>20320</v>
      </c>
      <c r="J11" s="2" t="s">
        <v>6227</v>
      </c>
      <c r="K11" s="2" t="s">
        <v>34</v>
      </c>
      <c r="L11" t="s">
        <v>178</v>
      </c>
      <c r="M11" t="s">
        <v>29</v>
      </c>
      <c r="N11" t="s">
        <v>30</v>
      </c>
      <c r="O11">
        <v>37246</v>
      </c>
      <c r="P11" t="s">
        <v>6228</v>
      </c>
      <c r="Q11" s="2">
        <v>1.03</v>
      </c>
      <c r="R11" s="2">
        <v>378</v>
      </c>
      <c r="S11" s="2">
        <v>135</v>
      </c>
      <c r="T11" t="s">
        <v>6227</v>
      </c>
      <c r="U11" s="6">
        <v>20320</v>
      </c>
      <c r="V11" s="2">
        <v>47037018500</v>
      </c>
      <c r="W11" s="2" t="s">
        <v>6222</v>
      </c>
      <c r="X11" s="1">
        <v>45658</v>
      </c>
      <c r="Y11" s="2">
        <v>736000</v>
      </c>
      <c r="Z11" s="2">
        <v>0</v>
      </c>
      <c r="AA11" s="2">
        <v>736000</v>
      </c>
    </row>
    <row r="12" spans="1:27" x14ac:dyDescent="0.3">
      <c r="A12" s="3">
        <v>23</v>
      </c>
      <c r="B12" s="2" t="str">
        <f>"12911001800"</f>
        <v>12911001800</v>
      </c>
      <c r="C12" s="2" t="s">
        <v>6229</v>
      </c>
      <c r="D12" t="s">
        <v>29</v>
      </c>
      <c r="E12" s="2" t="s">
        <v>30</v>
      </c>
      <c r="F12" s="2">
        <v>37205</v>
      </c>
      <c r="G12" s="2" t="s">
        <v>152</v>
      </c>
      <c r="H12" t="s">
        <v>176</v>
      </c>
      <c r="I12" s="6">
        <v>20771</v>
      </c>
      <c r="J12" s="2" t="s">
        <v>6230</v>
      </c>
      <c r="K12" s="2" t="s">
        <v>34</v>
      </c>
      <c r="L12" t="s">
        <v>178</v>
      </c>
      <c r="M12" t="s">
        <v>29</v>
      </c>
      <c r="N12" t="s">
        <v>30</v>
      </c>
      <c r="O12">
        <v>37246</v>
      </c>
      <c r="P12" t="s">
        <v>6231</v>
      </c>
      <c r="Q12" s="2">
        <v>1.1299999999999999</v>
      </c>
      <c r="R12" s="2">
        <v>224</v>
      </c>
      <c r="S12" s="2">
        <v>279</v>
      </c>
      <c r="T12" t="s">
        <v>6230</v>
      </c>
      <c r="U12" s="6">
        <v>20771</v>
      </c>
      <c r="V12" s="2">
        <v>47037018201</v>
      </c>
      <c r="W12" s="2" t="s">
        <v>68</v>
      </c>
      <c r="X12" s="1">
        <v>45658</v>
      </c>
      <c r="Y12" s="2">
        <v>660000</v>
      </c>
      <c r="Z12" s="2">
        <v>0</v>
      </c>
      <c r="AA12" s="2">
        <v>660000</v>
      </c>
    </row>
    <row r="13" spans="1:27" x14ac:dyDescent="0.3">
      <c r="A13" s="3">
        <v>23</v>
      </c>
      <c r="B13" s="2" t="str">
        <f>"13013001900"</f>
        <v>13013001900</v>
      </c>
      <c r="C13" s="2" t="s">
        <v>6232</v>
      </c>
      <c r="D13" t="s">
        <v>29</v>
      </c>
      <c r="E13" s="2" t="s">
        <v>30</v>
      </c>
      <c r="F13" s="2">
        <v>37205</v>
      </c>
      <c r="G13" s="2" t="s">
        <v>200</v>
      </c>
      <c r="H13" t="s">
        <v>6164</v>
      </c>
      <c r="I13" s="6">
        <v>16348</v>
      </c>
      <c r="J13" s="2" t="s">
        <v>6233</v>
      </c>
      <c r="K13" s="2" t="s">
        <v>34</v>
      </c>
      <c r="L13" t="s">
        <v>35</v>
      </c>
      <c r="M13" t="s">
        <v>29</v>
      </c>
      <c r="N13" t="s">
        <v>30</v>
      </c>
      <c r="O13">
        <v>37219</v>
      </c>
      <c r="P13" t="s">
        <v>6234</v>
      </c>
      <c r="Q13" s="2">
        <v>0.48</v>
      </c>
      <c r="R13" s="2">
        <v>225</v>
      </c>
      <c r="S13" s="2">
        <v>285</v>
      </c>
      <c r="T13" t="s">
        <v>6235</v>
      </c>
      <c r="U13" s="6">
        <v>16349</v>
      </c>
      <c r="V13" s="2">
        <v>47037018500</v>
      </c>
      <c r="W13" s="2" t="s">
        <v>6222</v>
      </c>
      <c r="X13" s="1">
        <v>45658</v>
      </c>
      <c r="Y13" s="2">
        <v>392200</v>
      </c>
      <c r="Z13" s="2">
        <v>0</v>
      </c>
      <c r="AA13" s="2">
        <v>392200</v>
      </c>
    </row>
    <row r="14" spans="1:27" x14ac:dyDescent="0.3">
      <c r="A14" s="3">
        <v>23</v>
      </c>
      <c r="B14" s="2" t="str">
        <f>"13013003200"</f>
        <v>13013003200</v>
      </c>
      <c r="C14" s="2" t="s">
        <v>6236</v>
      </c>
      <c r="D14" t="s">
        <v>29</v>
      </c>
      <c r="E14" s="2" t="s">
        <v>30</v>
      </c>
      <c r="F14" s="2">
        <v>37205</v>
      </c>
      <c r="G14" s="2" t="s">
        <v>200</v>
      </c>
      <c r="H14" t="s">
        <v>6237</v>
      </c>
      <c r="I14" s="6">
        <v>17090</v>
      </c>
      <c r="J14" s="2" t="s">
        <v>6238</v>
      </c>
      <c r="K14" s="2" t="s">
        <v>34</v>
      </c>
      <c r="L14" t="s">
        <v>35</v>
      </c>
      <c r="M14" t="s">
        <v>29</v>
      </c>
      <c r="N14" t="s">
        <v>30</v>
      </c>
      <c r="O14">
        <v>37219</v>
      </c>
      <c r="P14" t="s">
        <v>6239</v>
      </c>
      <c r="Q14" s="2">
        <v>2.08</v>
      </c>
      <c r="R14" s="2">
        <v>268</v>
      </c>
      <c r="S14" s="2">
        <v>401</v>
      </c>
      <c r="T14" t="s">
        <v>6240</v>
      </c>
      <c r="U14" s="6">
        <v>38042</v>
      </c>
      <c r="V14" s="2">
        <v>47037018500</v>
      </c>
      <c r="W14" s="2" t="s">
        <v>6222</v>
      </c>
      <c r="X14" s="1">
        <v>45658</v>
      </c>
      <c r="Y14" s="2">
        <v>2401200</v>
      </c>
      <c r="Z14" s="2">
        <v>0</v>
      </c>
      <c r="AA14" s="2">
        <v>2401200</v>
      </c>
    </row>
    <row r="15" spans="1:27" x14ac:dyDescent="0.3">
      <c r="A15" s="3">
        <v>23</v>
      </c>
      <c r="B15" s="2" t="str">
        <f>"11605003000"</f>
        <v>11605003000</v>
      </c>
      <c r="C15" s="2" t="s">
        <v>6241</v>
      </c>
      <c r="D15" t="s">
        <v>29</v>
      </c>
      <c r="E15" s="2" t="s">
        <v>30</v>
      </c>
      <c r="F15" s="2">
        <v>37205</v>
      </c>
      <c r="G15" s="2" t="s">
        <v>253</v>
      </c>
      <c r="H15" t="s">
        <v>6242</v>
      </c>
      <c r="I15" s="6">
        <v>25223</v>
      </c>
      <c r="J15" s="2" t="s">
        <v>6243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6244</v>
      </c>
      <c r="Q15" s="2">
        <v>10.19</v>
      </c>
      <c r="R15" s="2">
        <v>0</v>
      </c>
      <c r="S15" s="2">
        <v>0</v>
      </c>
      <c r="T15" t="s">
        <v>6243</v>
      </c>
      <c r="U15" s="6">
        <v>25223</v>
      </c>
      <c r="V15" s="2">
        <v>47037018102</v>
      </c>
      <c r="W15" s="2" t="s">
        <v>68</v>
      </c>
      <c r="X15" s="1">
        <v>45658</v>
      </c>
      <c r="Y15" s="2">
        <v>2518500</v>
      </c>
      <c r="Z15" s="2">
        <v>0</v>
      </c>
      <c r="AA15" s="2">
        <v>2518500</v>
      </c>
    </row>
    <row r="16" spans="1:27" x14ac:dyDescent="0.3">
      <c r="A16" s="3">
        <v>23</v>
      </c>
      <c r="B16" s="2" t="str">
        <f>"11614006400"</f>
        <v>11614006400</v>
      </c>
      <c r="C16" s="2" t="s">
        <v>6245</v>
      </c>
      <c r="D16" t="s">
        <v>29</v>
      </c>
      <c r="E16" s="2" t="s">
        <v>30</v>
      </c>
      <c r="F16" s="2">
        <v>37205</v>
      </c>
      <c r="G16" s="2" t="s">
        <v>253</v>
      </c>
      <c r="H16" t="s">
        <v>6246</v>
      </c>
      <c r="I16" s="6">
        <v>18541</v>
      </c>
      <c r="J16" s="2" t="s">
        <v>6247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6248</v>
      </c>
      <c r="Q16" s="2">
        <v>8.5399999999999991</v>
      </c>
      <c r="R16" s="2">
        <v>0</v>
      </c>
      <c r="S16" s="2">
        <v>0</v>
      </c>
      <c r="T16" t="s">
        <v>6249</v>
      </c>
      <c r="U16" s="6">
        <v>35262</v>
      </c>
      <c r="V16" s="2">
        <v>47037018500</v>
      </c>
      <c r="W16" s="2" t="s">
        <v>6222</v>
      </c>
      <c r="X16" s="1">
        <v>45658</v>
      </c>
      <c r="Y16" s="2">
        <v>4428300</v>
      </c>
      <c r="Z16" s="2">
        <v>0</v>
      </c>
      <c r="AA16" s="2">
        <v>4428300</v>
      </c>
    </row>
    <row r="17" spans="1:27" x14ac:dyDescent="0.3">
      <c r="A17" s="3">
        <v>23</v>
      </c>
      <c r="B17" s="2" t="str">
        <f>"12911000100"</f>
        <v>12911000100</v>
      </c>
      <c r="C17" s="2" t="s">
        <v>6250</v>
      </c>
      <c r="D17" t="s">
        <v>29</v>
      </c>
      <c r="E17" s="2" t="s">
        <v>30</v>
      </c>
      <c r="F17" s="2">
        <v>37205</v>
      </c>
      <c r="G17" s="2" t="s">
        <v>253</v>
      </c>
      <c r="H17" t="s">
        <v>6251</v>
      </c>
      <c r="I17" s="6">
        <v>21899</v>
      </c>
      <c r="J17" s="2" t="s">
        <v>6252</v>
      </c>
      <c r="K17" s="2" t="s">
        <v>34</v>
      </c>
      <c r="L17" t="s">
        <v>35</v>
      </c>
      <c r="M17" t="s">
        <v>29</v>
      </c>
      <c r="N17" t="s">
        <v>30</v>
      </c>
      <c r="O17">
        <v>37219</v>
      </c>
      <c r="P17" t="s">
        <v>6253</v>
      </c>
      <c r="Q17" s="2">
        <v>5.09</v>
      </c>
      <c r="R17" s="2">
        <v>260</v>
      </c>
      <c r="S17" s="2">
        <v>448</v>
      </c>
      <c r="T17" t="s">
        <v>6252</v>
      </c>
      <c r="U17" s="6">
        <v>21899</v>
      </c>
      <c r="V17" s="2">
        <v>47037018202</v>
      </c>
      <c r="W17" s="2" t="s">
        <v>68</v>
      </c>
      <c r="X17" s="1">
        <v>45658</v>
      </c>
      <c r="Y17" s="2">
        <v>966800</v>
      </c>
      <c r="Z17" s="2">
        <v>0</v>
      </c>
      <c r="AA17" s="2">
        <v>966800</v>
      </c>
    </row>
    <row r="18" spans="1:27" x14ac:dyDescent="0.3">
      <c r="A18" s="3">
        <v>23</v>
      </c>
      <c r="B18" s="2" t="str">
        <f>"12911001100"</f>
        <v>12911001100</v>
      </c>
      <c r="C18" s="2" t="s">
        <v>6254</v>
      </c>
      <c r="D18" t="s">
        <v>29</v>
      </c>
      <c r="E18" s="2" t="s">
        <v>30</v>
      </c>
      <c r="F18" s="2">
        <v>37205</v>
      </c>
      <c r="G18" s="2" t="s">
        <v>64</v>
      </c>
      <c r="H18" t="s">
        <v>6251</v>
      </c>
      <c r="I18" s="6">
        <v>21899</v>
      </c>
      <c r="J18" s="2" t="s">
        <v>6252</v>
      </c>
      <c r="K18" s="2" t="s">
        <v>34</v>
      </c>
      <c r="L18" t="s">
        <v>35</v>
      </c>
      <c r="M18" t="s">
        <v>29</v>
      </c>
      <c r="N18" t="s">
        <v>30</v>
      </c>
      <c r="O18">
        <v>37219</v>
      </c>
      <c r="P18" t="s">
        <v>6255</v>
      </c>
      <c r="Q18" s="2">
        <v>4.63</v>
      </c>
      <c r="R18" s="2">
        <v>555</v>
      </c>
      <c r="S18" s="2">
        <v>426</v>
      </c>
      <c r="T18" t="s">
        <v>6252</v>
      </c>
      <c r="U18" s="6">
        <v>21899</v>
      </c>
      <c r="V18" s="2">
        <v>47037018201</v>
      </c>
      <c r="W18" s="2" t="s">
        <v>68</v>
      </c>
      <c r="X18" s="1">
        <v>45658</v>
      </c>
      <c r="Y18" s="2">
        <v>957000</v>
      </c>
      <c r="Z18" s="2">
        <v>0</v>
      </c>
      <c r="AA18" s="2">
        <v>957000</v>
      </c>
    </row>
    <row r="19" spans="1:27" x14ac:dyDescent="0.3">
      <c r="A19" s="3">
        <v>23</v>
      </c>
      <c r="B19" s="2" t="str">
        <f>"11506003700"</f>
        <v>11506003700</v>
      </c>
      <c r="C19" s="2" t="s">
        <v>6256</v>
      </c>
      <c r="D19" t="s">
        <v>29</v>
      </c>
      <c r="E19" s="2" t="s">
        <v>30</v>
      </c>
      <c r="F19" s="2">
        <v>37205</v>
      </c>
      <c r="G19" s="2" t="s">
        <v>64</v>
      </c>
      <c r="H19" t="s">
        <v>280</v>
      </c>
      <c r="I19" s="6">
        <v>22915</v>
      </c>
      <c r="J19" s="2" t="s">
        <v>6257</v>
      </c>
      <c r="K19" s="2" t="s">
        <v>34</v>
      </c>
      <c r="L19" t="s">
        <v>35</v>
      </c>
      <c r="M19" t="s">
        <v>29</v>
      </c>
      <c r="N19" t="s">
        <v>30</v>
      </c>
      <c r="O19">
        <v>37219</v>
      </c>
      <c r="P19" t="s">
        <v>6258</v>
      </c>
      <c r="Q19" s="2">
        <v>1.1200000000000001</v>
      </c>
      <c r="R19" s="2">
        <v>135</v>
      </c>
      <c r="S19" s="2">
        <v>437</v>
      </c>
      <c r="T19" t="s">
        <v>6257</v>
      </c>
      <c r="U19" s="6">
        <v>22915</v>
      </c>
      <c r="V19" s="2">
        <v>47037018201</v>
      </c>
      <c r="W19" s="2" t="s">
        <v>68</v>
      </c>
      <c r="X19" s="1">
        <v>45658</v>
      </c>
      <c r="Y19" s="2">
        <v>700000</v>
      </c>
      <c r="Z19" s="2">
        <v>0</v>
      </c>
      <c r="AA19" s="2">
        <v>700000</v>
      </c>
    </row>
    <row r="20" spans="1:27" x14ac:dyDescent="0.3">
      <c r="A20" s="3">
        <v>23</v>
      </c>
      <c r="B20" s="2" t="str">
        <f>"11506003800"</f>
        <v>11506003800</v>
      </c>
      <c r="C20" s="2" t="s">
        <v>6259</v>
      </c>
      <c r="D20" t="s">
        <v>29</v>
      </c>
      <c r="E20" s="2" t="s">
        <v>30</v>
      </c>
      <c r="F20" s="2">
        <v>37205</v>
      </c>
      <c r="G20" s="2" t="s">
        <v>152</v>
      </c>
      <c r="H20" t="s">
        <v>280</v>
      </c>
      <c r="I20" s="6">
        <v>22915</v>
      </c>
      <c r="J20" s="2" t="s">
        <v>6257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6260</v>
      </c>
      <c r="Q20" s="2">
        <v>1.1299999999999999</v>
      </c>
      <c r="R20" s="2">
        <v>150</v>
      </c>
      <c r="S20" s="2">
        <v>410</v>
      </c>
      <c r="T20" t="s">
        <v>6257</v>
      </c>
      <c r="U20" s="6">
        <v>22915</v>
      </c>
      <c r="V20" s="2">
        <v>47037018201</v>
      </c>
      <c r="W20" s="2" t="s">
        <v>68</v>
      </c>
      <c r="X20" s="1">
        <v>45658</v>
      </c>
      <c r="Y20" s="2">
        <v>700000</v>
      </c>
      <c r="Z20" s="2">
        <v>0</v>
      </c>
      <c r="AA20" s="2">
        <v>700000</v>
      </c>
    </row>
    <row r="21" spans="1:27" x14ac:dyDescent="0.3">
      <c r="A21" s="3">
        <v>23</v>
      </c>
      <c r="B21" s="2" t="str">
        <f>"11510005901"</f>
        <v>11510005901</v>
      </c>
      <c r="C21" s="2" t="s">
        <v>6261</v>
      </c>
      <c r="D21" t="s">
        <v>29</v>
      </c>
      <c r="E21" s="2" t="s">
        <v>30</v>
      </c>
      <c r="F21" s="2">
        <v>37205</v>
      </c>
      <c r="G21" s="2" t="s">
        <v>64</v>
      </c>
      <c r="H21" t="s">
        <v>280</v>
      </c>
      <c r="I21" s="6">
        <v>29510</v>
      </c>
      <c r="J21" s="2" t="s">
        <v>6262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6263</v>
      </c>
      <c r="Q21" s="2">
        <v>0.13</v>
      </c>
      <c r="R21" s="2">
        <v>106</v>
      </c>
      <c r="S21" s="2">
        <v>52</v>
      </c>
      <c r="T21" t="s">
        <v>6264</v>
      </c>
      <c r="U21" s="6">
        <v>21388</v>
      </c>
      <c r="V21" s="2">
        <v>47037018202</v>
      </c>
      <c r="W21" s="2" t="s">
        <v>68</v>
      </c>
      <c r="X21" s="1">
        <v>45658</v>
      </c>
      <c r="Y21" s="2">
        <v>90000</v>
      </c>
      <c r="Z21" s="2">
        <v>0</v>
      </c>
      <c r="AA21" s="2">
        <v>90000</v>
      </c>
    </row>
    <row r="22" spans="1:27" x14ac:dyDescent="0.3">
      <c r="A22" s="3">
        <v>23</v>
      </c>
      <c r="B22" s="2" t="str">
        <f>"11516006900"</f>
        <v>11516006900</v>
      </c>
      <c r="C22" s="2" t="s">
        <v>6265</v>
      </c>
      <c r="D22" t="s">
        <v>29</v>
      </c>
      <c r="E22" s="2" t="s">
        <v>30</v>
      </c>
      <c r="F22" s="2">
        <v>37205</v>
      </c>
      <c r="G22" s="2" t="s">
        <v>152</v>
      </c>
      <c r="H22" t="s">
        <v>280</v>
      </c>
      <c r="I22" s="6">
        <v>24327</v>
      </c>
      <c r="J22" s="2" t="s">
        <v>6266</v>
      </c>
      <c r="K22" s="2" t="s">
        <v>34</v>
      </c>
      <c r="L22" t="s">
        <v>35</v>
      </c>
      <c r="M22" t="s">
        <v>29</v>
      </c>
      <c r="N22" t="s">
        <v>30</v>
      </c>
      <c r="O22">
        <v>37219</v>
      </c>
      <c r="P22" t="s">
        <v>6267</v>
      </c>
      <c r="Q22" s="2">
        <v>0.59</v>
      </c>
      <c r="R22" s="2">
        <v>151</v>
      </c>
      <c r="S22" s="2">
        <v>150</v>
      </c>
      <c r="T22" t="s">
        <v>6266</v>
      </c>
      <c r="U22" s="6">
        <v>24327</v>
      </c>
      <c r="V22" s="2">
        <v>47037018203</v>
      </c>
      <c r="W22" s="2" t="s">
        <v>68</v>
      </c>
      <c r="X22" s="1">
        <v>45658</v>
      </c>
      <c r="Y22" s="2">
        <v>875000</v>
      </c>
      <c r="Z22" s="2">
        <v>0</v>
      </c>
      <c r="AA22" s="2">
        <v>875000</v>
      </c>
    </row>
    <row r="23" spans="1:27" x14ac:dyDescent="0.3">
      <c r="A23" s="3">
        <v>23</v>
      </c>
      <c r="B23" s="2" t="str">
        <f>"13001002600"</f>
        <v>13001002600</v>
      </c>
      <c r="C23" s="2" t="s">
        <v>6268</v>
      </c>
      <c r="D23" t="s">
        <v>29</v>
      </c>
      <c r="E23" s="2" t="s">
        <v>30</v>
      </c>
      <c r="F23" s="2">
        <v>37205</v>
      </c>
      <c r="G23" s="2" t="s">
        <v>64</v>
      </c>
      <c r="H23" t="s">
        <v>280</v>
      </c>
      <c r="I23" s="6">
        <v>40954</v>
      </c>
      <c r="J23" s="2" t="s">
        <v>6269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6270</v>
      </c>
      <c r="Q23" s="2">
        <v>0.56999999999999995</v>
      </c>
      <c r="R23" s="2">
        <v>100</v>
      </c>
      <c r="S23" s="2">
        <v>257</v>
      </c>
      <c r="T23" t="s">
        <v>6271</v>
      </c>
      <c r="U23" s="6">
        <v>23834</v>
      </c>
      <c r="V23" s="2">
        <v>47037018201</v>
      </c>
      <c r="W23" s="2" t="s">
        <v>68</v>
      </c>
      <c r="X23" s="1">
        <v>45658</v>
      </c>
      <c r="Y23" s="2">
        <v>367500</v>
      </c>
      <c r="Z23" s="2">
        <v>0</v>
      </c>
      <c r="AA23" s="2">
        <v>367500</v>
      </c>
    </row>
    <row r="24" spans="1:27" x14ac:dyDescent="0.3">
      <c r="A24" s="3">
        <v>23</v>
      </c>
      <c r="B24" s="2" t="str">
        <f>"12908008100"</f>
        <v>12908008100</v>
      </c>
      <c r="C24" s="2" t="s">
        <v>6272</v>
      </c>
      <c r="D24" t="s">
        <v>29</v>
      </c>
      <c r="E24" s="2" t="s">
        <v>30</v>
      </c>
      <c r="F24" s="2">
        <v>37205</v>
      </c>
      <c r="G24" s="2" t="s">
        <v>152</v>
      </c>
      <c r="H24" t="s">
        <v>280</v>
      </c>
      <c r="I24" s="6">
        <v>26640</v>
      </c>
      <c r="J24" s="2" t="s">
        <v>6273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6274</v>
      </c>
      <c r="Q24" s="2">
        <v>1.23</v>
      </c>
      <c r="R24" s="2">
        <v>471</v>
      </c>
      <c r="S24" s="2">
        <v>527</v>
      </c>
      <c r="T24" t="s">
        <v>6273</v>
      </c>
      <c r="U24" s="6">
        <v>26640</v>
      </c>
      <c r="V24" s="2">
        <v>47037018500</v>
      </c>
      <c r="W24" s="2" t="s">
        <v>68</v>
      </c>
      <c r="X24" s="1">
        <v>45658</v>
      </c>
      <c r="Y24" s="2">
        <v>198000</v>
      </c>
      <c r="Z24" s="2">
        <v>0</v>
      </c>
      <c r="AA24" s="2">
        <v>198000</v>
      </c>
    </row>
    <row r="25" spans="1:27" x14ac:dyDescent="0.3">
      <c r="A25" s="3">
        <v>23</v>
      </c>
      <c r="B25" s="2" t="str">
        <f>"12905001100"</f>
        <v>12905001100</v>
      </c>
      <c r="C25" s="2" t="s">
        <v>6275</v>
      </c>
      <c r="D25" t="s">
        <v>29</v>
      </c>
      <c r="E25" s="2" t="s">
        <v>30</v>
      </c>
      <c r="F25" s="2">
        <v>37205</v>
      </c>
      <c r="G25" s="2" t="s">
        <v>64</v>
      </c>
      <c r="H25" t="s">
        <v>280</v>
      </c>
      <c r="I25" s="6">
        <v>24327</v>
      </c>
      <c r="J25" s="2" t="s">
        <v>6266</v>
      </c>
      <c r="K25" s="2" t="s">
        <v>34</v>
      </c>
      <c r="L25" t="s">
        <v>35</v>
      </c>
      <c r="M25" t="s">
        <v>29</v>
      </c>
      <c r="N25" t="s">
        <v>30</v>
      </c>
      <c r="O25">
        <v>37219</v>
      </c>
      <c r="P25" t="s">
        <v>6276</v>
      </c>
      <c r="Q25" s="2">
        <v>0.18</v>
      </c>
      <c r="R25" s="2">
        <v>95</v>
      </c>
      <c r="S25" s="2">
        <v>80</v>
      </c>
      <c r="T25" t="s">
        <v>6266</v>
      </c>
      <c r="U25" s="6">
        <v>24327</v>
      </c>
      <c r="V25" s="2">
        <v>47037018202</v>
      </c>
      <c r="W25" s="2" t="s">
        <v>68</v>
      </c>
      <c r="X25" s="1">
        <v>45658</v>
      </c>
      <c r="Y25" s="2">
        <v>60000</v>
      </c>
      <c r="Z25" s="2">
        <v>0</v>
      </c>
      <c r="AA25" s="2">
        <v>60000</v>
      </c>
    </row>
    <row r="26" spans="1:27" x14ac:dyDescent="0.3">
      <c r="A26" s="3">
        <v>23</v>
      </c>
      <c r="B26" s="2" t="str">
        <f>"12906005600"</f>
        <v>12906005600</v>
      </c>
      <c r="C26" s="2" t="s">
        <v>6277</v>
      </c>
      <c r="D26" t="s">
        <v>29</v>
      </c>
      <c r="E26" s="2" t="s">
        <v>30</v>
      </c>
      <c r="F26" s="2">
        <v>37205</v>
      </c>
      <c r="G26" s="2" t="s">
        <v>152</v>
      </c>
      <c r="H26" t="s">
        <v>280</v>
      </c>
      <c r="I26" s="6">
        <v>24327</v>
      </c>
      <c r="J26" s="2" t="s">
        <v>6266</v>
      </c>
      <c r="K26" s="2" t="s">
        <v>34</v>
      </c>
      <c r="L26" t="s">
        <v>35</v>
      </c>
      <c r="M26" t="s">
        <v>29</v>
      </c>
      <c r="N26" t="s">
        <v>30</v>
      </c>
      <c r="O26">
        <v>37219</v>
      </c>
      <c r="P26" t="s">
        <v>6278</v>
      </c>
      <c r="Q26" s="2">
        <v>5.4</v>
      </c>
      <c r="R26" s="2">
        <v>0</v>
      </c>
      <c r="S26" s="2">
        <v>0</v>
      </c>
      <c r="T26" t="s">
        <v>6266</v>
      </c>
      <c r="U26" s="6">
        <v>24327</v>
      </c>
      <c r="V26" s="2">
        <v>47037018202</v>
      </c>
      <c r="W26" s="2" t="s">
        <v>68</v>
      </c>
      <c r="X26" s="1">
        <v>45658</v>
      </c>
      <c r="Y26" s="2">
        <v>804800</v>
      </c>
      <c r="Z26" s="2">
        <v>0</v>
      </c>
      <c r="AA26" s="2">
        <v>804800</v>
      </c>
    </row>
    <row r="27" spans="1:27" x14ac:dyDescent="0.3">
      <c r="A27" s="3">
        <v>23</v>
      </c>
      <c r="B27" s="2" t="str">
        <f>"11508003100"</f>
        <v>11508003100</v>
      </c>
      <c r="C27" s="2" t="s">
        <v>6279</v>
      </c>
      <c r="D27" t="s">
        <v>29</v>
      </c>
      <c r="E27" s="2" t="s">
        <v>30</v>
      </c>
      <c r="F27" s="2">
        <v>37205</v>
      </c>
      <c r="G27" s="2" t="s">
        <v>253</v>
      </c>
      <c r="H27" t="s">
        <v>6280</v>
      </c>
      <c r="I27" s="6">
        <v>45686</v>
      </c>
      <c r="J27" s="2" t="s">
        <v>6281</v>
      </c>
      <c r="K27" s="2" t="s">
        <v>34</v>
      </c>
      <c r="L27" t="s">
        <v>85</v>
      </c>
      <c r="M27" t="s">
        <v>29</v>
      </c>
      <c r="N27" t="s">
        <v>30</v>
      </c>
      <c r="O27">
        <v>37218</v>
      </c>
      <c r="P27" t="s">
        <v>6282</v>
      </c>
      <c r="Q27" s="2">
        <v>31.22</v>
      </c>
      <c r="R27" s="2">
        <v>0</v>
      </c>
      <c r="S27" s="2">
        <v>0</v>
      </c>
      <c r="T27" t="s">
        <v>6283</v>
      </c>
      <c r="U27" s="6">
        <v>19303</v>
      </c>
      <c r="V27" s="2">
        <v>47037018102</v>
      </c>
      <c r="W27" s="2" t="s">
        <v>68</v>
      </c>
      <c r="X27" s="1">
        <v>45658</v>
      </c>
      <c r="Y27" s="2">
        <v>5483000</v>
      </c>
      <c r="Z27" s="2">
        <v>0</v>
      </c>
      <c r="AA27" s="2">
        <v>5483000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ECFC-5C73-46B8-B07C-67953FDB88E0}">
  <sheetPr>
    <tabColor rgb="FF002060"/>
  </sheetPr>
  <dimension ref="A1:AA31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24</v>
      </c>
      <c r="B2" s="2" t="str">
        <f>"11603004800"</f>
        <v>11603004800</v>
      </c>
      <c r="C2" s="2" t="s">
        <v>6284</v>
      </c>
      <c r="D2" t="s">
        <v>29</v>
      </c>
      <c r="E2" s="2" t="s">
        <v>30</v>
      </c>
      <c r="F2" s="2">
        <v>37205</v>
      </c>
      <c r="G2" s="2" t="s">
        <v>64</v>
      </c>
      <c r="H2" t="s">
        <v>99</v>
      </c>
      <c r="I2" s="6">
        <v>27410</v>
      </c>
      <c r="J2" s="2" t="s">
        <v>6285</v>
      </c>
      <c r="K2" s="2">
        <v>234</v>
      </c>
      <c r="L2" t="s">
        <v>35</v>
      </c>
      <c r="M2" t="s">
        <v>29</v>
      </c>
      <c r="N2" t="s">
        <v>30</v>
      </c>
      <c r="O2">
        <v>37219</v>
      </c>
      <c r="P2" t="s">
        <v>6286</v>
      </c>
      <c r="Q2" s="2">
        <v>0.16</v>
      </c>
      <c r="R2" s="2">
        <v>10</v>
      </c>
      <c r="S2" s="2">
        <v>793</v>
      </c>
      <c r="T2" t="s">
        <v>6287</v>
      </c>
      <c r="U2" s="6">
        <v>5285</v>
      </c>
      <c r="V2" s="2">
        <v>47037018000</v>
      </c>
      <c r="W2" s="2" t="s">
        <v>68</v>
      </c>
      <c r="X2" s="1">
        <v>45658</v>
      </c>
      <c r="Y2" s="2">
        <v>5100</v>
      </c>
      <c r="Z2" s="2">
        <v>0</v>
      </c>
      <c r="AA2" s="2">
        <v>5100</v>
      </c>
    </row>
    <row r="3" spans="1:27" x14ac:dyDescent="0.3">
      <c r="A3" s="3">
        <v>24</v>
      </c>
      <c r="B3" s="2" t="str">
        <f>"11604007100"</f>
        <v>11604007100</v>
      </c>
      <c r="C3" s="2" t="s">
        <v>6288</v>
      </c>
      <c r="D3" t="s">
        <v>29</v>
      </c>
      <c r="E3" s="2" t="s">
        <v>30</v>
      </c>
      <c r="F3" s="2">
        <v>37205</v>
      </c>
      <c r="G3" s="2" t="s">
        <v>64</v>
      </c>
      <c r="H3" t="s">
        <v>99</v>
      </c>
      <c r="I3" s="6">
        <v>27410</v>
      </c>
      <c r="J3" s="2" t="s">
        <v>6289</v>
      </c>
      <c r="K3" s="2">
        <v>234</v>
      </c>
      <c r="L3" t="s">
        <v>35</v>
      </c>
      <c r="M3" t="s">
        <v>29</v>
      </c>
      <c r="N3" t="s">
        <v>30</v>
      </c>
      <c r="O3">
        <v>37219</v>
      </c>
      <c r="P3" t="s">
        <v>6290</v>
      </c>
      <c r="Q3" s="2">
        <v>0.09</v>
      </c>
      <c r="R3" s="2">
        <v>10</v>
      </c>
      <c r="S3" s="2">
        <v>406</v>
      </c>
      <c r="T3" t="s">
        <v>6287</v>
      </c>
      <c r="U3" s="6">
        <v>5285</v>
      </c>
      <c r="V3" s="2">
        <v>47037018000</v>
      </c>
      <c r="W3" s="2" t="s">
        <v>68</v>
      </c>
      <c r="X3" s="1">
        <v>45658</v>
      </c>
      <c r="Y3" s="2">
        <v>5100</v>
      </c>
      <c r="Z3" s="2">
        <v>0</v>
      </c>
      <c r="AA3" s="2">
        <v>5100</v>
      </c>
    </row>
    <row r="4" spans="1:27" x14ac:dyDescent="0.3">
      <c r="A4" s="3">
        <v>24</v>
      </c>
      <c r="B4" s="2" t="str">
        <f>"10316003000"</f>
        <v>10316003000</v>
      </c>
      <c r="C4" s="2" t="s">
        <v>6291</v>
      </c>
      <c r="D4" t="s">
        <v>29</v>
      </c>
      <c r="E4" s="2" t="s">
        <v>30</v>
      </c>
      <c r="F4" s="2">
        <v>37205</v>
      </c>
      <c r="G4" s="2" t="s">
        <v>147</v>
      </c>
      <c r="H4" t="s">
        <v>6292</v>
      </c>
      <c r="I4" s="6">
        <v>26570</v>
      </c>
      <c r="J4" s="2" t="s">
        <v>6293</v>
      </c>
      <c r="K4" s="2" t="s">
        <v>34</v>
      </c>
      <c r="L4" t="s">
        <v>35</v>
      </c>
      <c r="M4" t="s">
        <v>29</v>
      </c>
      <c r="N4" t="s">
        <v>30</v>
      </c>
      <c r="O4">
        <v>37219</v>
      </c>
      <c r="P4" t="s">
        <v>6294</v>
      </c>
      <c r="Q4" s="2">
        <v>0.6</v>
      </c>
      <c r="R4" s="2">
        <v>150</v>
      </c>
      <c r="S4" s="2">
        <v>175</v>
      </c>
      <c r="T4" t="s">
        <v>278</v>
      </c>
      <c r="U4" s="6">
        <v>30060</v>
      </c>
      <c r="V4" s="2">
        <v>47037016700</v>
      </c>
      <c r="W4" s="2" t="s">
        <v>68</v>
      </c>
      <c r="X4" s="1">
        <v>45658</v>
      </c>
      <c r="Y4" s="2">
        <v>1080000</v>
      </c>
      <c r="Z4" s="2">
        <v>0</v>
      </c>
      <c r="AA4" s="2">
        <v>1080000</v>
      </c>
    </row>
    <row r="5" spans="1:27" x14ac:dyDescent="0.3">
      <c r="A5" s="3">
        <v>24</v>
      </c>
      <c r="B5" s="2" t="str">
        <f>"09112016700"</f>
        <v>09112016700</v>
      </c>
      <c r="C5" s="2" t="s">
        <v>6295</v>
      </c>
      <c r="D5" t="s">
        <v>29</v>
      </c>
      <c r="E5" s="2" t="s">
        <v>30</v>
      </c>
      <c r="F5" s="2">
        <v>37209</v>
      </c>
      <c r="G5" s="2" t="s">
        <v>147</v>
      </c>
      <c r="H5" t="s">
        <v>6296</v>
      </c>
      <c r="I5" s="6">
        <v>32611</v>
      </c>
      <c r="J5" s="2" t="s">
        <v>6297</v>
      </c>
      <c r="K5" s="2">
        <v>36000</v>
      </c>
      <c r="L5" t="s">
        <v>35</v>
      </c>
      <c r="M5" t="s">
        <v>29</v>
      </c>
      <c r="N5" t="s">
        <v>30</v>
      </c>
      <c r="O5">
        <v>37219</v>
      </c>
      <c r="P5" t="s">
        <v>6298</v>
      </c>
      <c r="Q5" s="2">
        <v>0.35</v>
      </c>
      <c r="R5" s="2">
        <v>150</v>
      </c>
      <c r="S5" s="2">
        <v>105</v>
      </c>
      <c r="T5" t="s">
        <v>278</v>
      </c>
      <c r="U5" s="6">
        <v>32825</v>
      </c>
      <c r="V5" s="2">
        <v>47037013400</v>
      </c>
      <c r="W5" s="2" t="s">
        <v>68</v>
      </c>
      <c r="X5" s="1">
        <v>45658</v>
      </c>
      <c r="Y5" s="2">
        <v>1181300</v>
      </c>
      <c r="Z5" s="2">
        <v>0</v>
      </c>
      <c r="AA5" s="2">
        <v>1181300</v>
      </c>
    </row>
    <row r="6" spans="1:27" x14ac:dyDescent="0.3">
      <c r="A6" s="3">
        <v>24</v>
      </c>
      <c r="B6" s="2" t="str">
        <f>"09115037300"</f>
        <v>09115037300</v>
      </c>
      <c r="C6" s="2" t="s">
        <v>6299</v>
      </c>
      <c r="D6" t="s">
        <v>29</v>
      </c>
      <c r="E6" s="2" t="s">
        <v>30</v>
      </c>
      <c r="F6" s="2">
        <v>37209</v>
      </c>
      <c r="G6" s="2" t="s">
        <v>901</v>
      </c>
      <c r="H6" t="s">
        <v>6300</v>
      </c>
      <c r="I6" s="6">
        <v>22282</v>
      </c>
      <c r="J6" s="2" t="s">
        <v>6301</v>
      </c>
      <c r="K6" s="2" t="s">
        <v>34</v>
      </c>
      <c r="L6" t="s">
        <v>35</v>
      </c>
      <c r="M6" t="s">
        <v>29</v>
      </c>
      <c r="N6" t="s">
        <v>30</v>
      </c>
      <c r="O6">
        <v>37219</v>
      </c>
      <c r="P6" t="s">
        <v>6302</v>
      </c>
      <c r="Q6" s="2">
        <v>0.49</v>
      </c>
      <c r="R6" s="2">
        <v>140</v>
      </c>
      <c r="S6" s="2">
        <v>150</v>
      </c>
      <c r="T6" t="s">
        <v>6301</v>
      </c>
      <c r="U6" s="6">
        <v>22282</v>
      </c>
      <c r="V6" s="2">
        <v>47037013400</v>
      </c>
      <c r="W6" s="2" t="s">
        <v>68</v>
      </c>
      <c r="X6" s="1">
        <v>45658</v>
      </c>
      <c r="Y6" s="2">
        <v>418000</v>
      </c>
      <c r="Z6" s="2">
        <v>0</v>
      </c>
      <c r="AA6" s="2">
        <v>418000</v>
      </c>
    </row>
    <row r="7" spans="1:27" x14ac:dyDescent="0.3">
      <c r="A7" s="3">
        <v>24</v>
      </c>
      <c r="B7" s="2" t="str">
        <f>"10303004100"</f>
        <v>10303004100</v>
      </c>
      <c r="C7" s="2" t="s">
        <v>6303</v>
      </c>
      <c r="D7" t="s">
        <v>29</v>
      </c>
      <c r="E7" s="2" t="s">
        <v>30</v>
      </c>
      <c r="F7" s="2">
        <v>37209</v>
      </c>
      <c r="G7" s="2" t="s">
        <v>6304</v>
      </c>
      <c r="H7" t="s">
        <v>6305</v>
      </c>
      <c r="I7" s="6">
        <v>8453</v>
      </c>
      <c r="J7" s="2" t="s">
        <v>6306</v>
      </c>
      <c r="K7" s="2" t="s">
        <v>34</v>
      </c>
      <c r="L7" t="s">
        <v>35</v>
      </c>
      <c r="M7" t="s">
        <v>29</v>
      </c>
      <c r="N7" t="s">
        <v>30</v>
      </c>
      <c r="O7">
        <v>37219</v>
      </c>
      <c r="P7" t="s">
        <v>6307</v>
      </c>
      <c r="Q7" s="2">
        <v>7.71</v>
      </c>
      <c r="R7" s="2">
        <v>0</v>
      </c>
      <c r="S7" s="2">
        <v>0</v>
      </c>
      <c r="T7" t="s">
        <v>6306</v>
      </c>
      <c r="U7" s="6">
        <v>8453</v>
      </c>
      <c r="V7" s="2">
        <v>47037013400</v>
      </c>
      <c r="W7" s="2" t="s">
        <v>68</v>
      </c>
      <c r="X7" s="1">
        <v>45658</v>
      </c>
      <c r="Y7" s="2">
        <v>3515800</v>
      </c>
      <c r="Z7" s="2">
        <v>0</v>
      </c>
      <c r="AA7" s="2">
        <v>3515800</v>
      </c>
    </row>
    <row r="8" spans="1:27" x14ac:dyDescent="0.3">
      <c r="A8" s="3">
        <v>24</v>
      </c>
      <c r="B8" s="2" t="str">
        <f>"09114010800"</f>
        <v>09114010800</v>
      </c>
      <c r="C8" s="2" t="s">
        <v>6308</v>
      </c>
      <c r="D8" t="s">
        <v>29</v>
      </c>
      <c r="E8" s="2" t="s">
        <v>30</v>
      </c>
      <c r="F8" s="2">
        <v>37209</v>
      </c>
      <c r="G8" s="2" t="s">
        <v>152</v>
      </c>
      <c r="H8" t="s">
        <v>171</v>
      </c>
      <c r="I8" s="6">
        <v>40141</v>
      </c>
      <c r="J8" s="2" t="s">
        <v>6309</v>
      </c>
      <c r="K8" s="2">
        <v>4200000</v>
      </c>
      <c r="L8" t="s">
        <v>35</v>
      </c>
      <c r="M8" t="s">
        <v>29</v>
      </c>
      <c r="N8" t="s">
        <v>30</v>
      </c>
      <c r="O8">
        <v>37219</v>
      </c>
      <c r="P8" t="s">
        <v>6310</v>
      </c>
      <c r="Q8" s="2">
        <v>6.05</v>
      </c>
      <c r="R8" s="2">
        <v>0</v>
      </c>
      <c r="S8" s="2">
        <v>0</v>
      </c>
      <c r="T8" t="s">
        <v>6311</v>
      </c>
      <c r="U8" s="6">
        <v>34080</v>
      </c>
      <c r="V8" s="2">
        <v>47037018101</v>
      </c>
      <c r="W8" s="2" t="s">
        <v>68</v>
      </c>
      <c r="X8" s="1">
        <v>45658</v>
      </c>
      <c r="Y8" s="2">
        <v>18430500</v>
      </c>
      <c r="Z8" s="2">
        <v>8310600</v>
      </c>
      <c r="AA8" s="2">
        <v>10119900</v>
      </c>
    </row>
    <row r="9" spans="1:27" x14ac:dyDescent="0.3">
      <c r="A9" s="3">
        <v>24</v>
      </c>
      <c r="B9" s="2" t="str">
        <f>"10315003100"</f>
        <v>10315003100</v>
      </c>
      <c r="C9" s="2" t="s">
        <v>6312</v>
      </c>
      <c r="D9" t="s">
        <v>29</v>
      </c>
      <c r="E9" s="2" t="s">
        <v>30</v>
      </c>
      <c r="F9" s="2">
        <v>37205</v>
      </c>
      <c r="G9" s="2" t="s">
        <v>152</v>
      </c>
      <c r="H9" t="s">
        <v>176</v>
      </c>
      <c r="I9" s="6">
        <v>18976</v>
      </c>
      <c r="J9" s="2" t="s">
        <v>6313</v>
      </c>
      <c r="K9" s="2" t="s">
        <v>34</v>
      </c>
      <c r="L9" t="s">
        <v>178</v>
      </c>
      <c r="M9" t="s">
        <v>29</v>
      </c>
      <c r="N9" t="s">
        <v>30</v>
      </c>
      <c r="O9">
        <v>37246</v>
      </c>
      <c r="P9" t="s">
        <v>6314</v>
      </c>
      <c r="Q9" s="2">
        <v>0.15</v>
      </c>
      <c r="R9" s="2">
        <v>80</v>
      </c>
      <c r="S9" s="2">
        <v>80</v>
      </c>
      <c r="T9" t="s">
        <v>6313</v>
      </c>
      <c r="U9" s="6">
        <v>18976</v>
      </c>
      <c r="V9" s="2">
        <v>47037018000</v>
      </c>
      <c r="W9" s="2" t="s">
        <v>68</v>
      </c>
      <c r="X9" s="1">
        <v>45658</v>
      </c>
      <c r="Y9" s="2">
        <v>522700</v>
      </c>
      <c r="Z9" s="2">
        <v>0</v>
      </c>
      <c r="AA9" s="2">
        <v>522700</v>
      </c>
    </row>
    <row r="10" spans="1:27" x14ac:dyDescent="0.3">
      <c r="A10" s="3">
        <v>24</v>
      </c>
      <c r="B10" s="2" t="str">
        <f>"09111028501"</f>
        <v>09111028501</v>
      </c>
      <c r="C10" s="2" t="s">
        <v>6315</v>
      </c>
      <c r="D10" t="s">
        <v>29</v>
      </c>
      <c r="E10" s="2" t="s">
        <v>30</v>
      </c>
      <c r="F10" s="2">
        <v>37209</v>
      </c>
      <c r="G10" s="2" t="s">
        <v>152</v>
      </c>
      <c r="H10" t="s">
        <v>176</v>
      </c>
      <c r="I10" s="6">
        <v>27395</v>
      </c>
      <c r="J10" s="2" t="s">
        <v>6316</v>
      </c>
      <c r="K10" s="2" t="s">
        <v>34</v>
      </c>
      <c r="L10" t="s">
        <v>178</v>
      </c>
      <c r="M10" t="s">
        <v>29</v>
      </c>
      <c r="N10" t="s">
        <v>30</v>
      </c>
      <c r="O10">
        <v>37246</v>
      </c>
      <c r="P10" t="s">
        <v>6317</v>
      </c>
      <c r="Q10" s="2">
        <v>0.14000000000000001</v>
      </c>
      <c r="R10" s="2">
        <v>80</v>
      </c>
      <c r="S10" s="2">
        <v>75</v>
      </c>
      <c r="T10" t="s">
        <v>6318</v>
      </c>
      <c r="U10" s="6">
        <v>19259</v>
      </c>
      <c r="V10" s="2">
        <v>47037013400</v>
      </c>
      <c r="W10" s="2" t="s">
        <v>68</v>
      </c>
      <c r="X10" s="1">
        <v>45658</v>
      </c>
      <c r="Y10" s="2">
        <v>438000</v>
      </c>
      <c r="Z10" s="2">
        <v>0</v>
      </c>
      <c r="AA10" s="2">
        <v>438000</v>
      </c>
    </row>
    <row r="11" spans="1:27" x14ac:dyDescent="0.3">
      <c r="A11" s="3">
        <v>24</v>
      </c>
      <c r="B11" s="2" t="str">
        <f>"10308000500"</f>
        <v>10308000500</v>
      </c>
      <c r="C11" s="2" t="s">
        <v>6319</v>
      </c>
      <c r="D11" t="s">
        <v>29</v>
      </c>
      <c r="E11" s="2" t="s">
        <v>30</v>
      </c>
      <c r="F11" s="2">
        <v>37209</v>
      </c>
      <c r="G11" s="2" t="s">
        <v>152</v>
      </c>
      <c r="H11" t="s">
        <v>176</v>
      </c>
      <c r="I11" s="6">
        <v>14472</v>
      </c>
      <c r="J11" s="2" t="s">
        <v>1267</v>
      </c>
      <c r="K11" s="2" t="s">
        <v>34</v>
      </c>
      <c r="L11" t="s">
        <v>178</v>
      </c>
      <c r="M11" t="s">
        <v>29</v>
      </c>
      <c r="N11" t="s">
        <v>30</v>
      </c>
      <c r="O11">
        <v>37246</v>
      </c>
      <c r="P11" t="s">
        <v>6320</v>
      </c>
      <c r="Q11" s="2">
        <v>0.56999999999999995</v>
      </c>
      <c r="R11" s="2">
        <v>150</v>
      </c>
      <c r="S11" s="2">
        <v>164</v>
      </c>
      <c r="T11" t="s">
        <v>1267</v>
      </c>
      <c r="U11" s="6">
        <v>14472</v>
      </c>
      <c r="V11" s="2">
        <v>47037013400</v>
      </c>
      <c r="W11" s="2" t="s">
        <v>68</v>
      </c>
      <c r="X11" s="1">
        <v>45658</v>
      </c>
      <c r="Y11" s="2">
        <v>553200</v>
      </c>
      <c r="Z11" s="2">
        <v>0</v>
      </c>
      <c r="AA11" s="2">
        <v>553200</v>
      </c>
    </row>
    <row r="12" spans="1:27" x14ac:dyDescent="0.3">
      <c r="A12" s="3">
        <v>24</v>
      </c>
      <c r="B12" s="2" t="str">
        <f>"11604017300"</f>
        <v>11604017300</v>
      </c>
      <c r="C12" s="2" t="s">
        <v>6321</v>
      </c>
      <c r="D12" t="s">
        <v>29</v>
      </c>
      <c r="E12" s="2" t="s">
        <v>30</v>
      </c>
      <c r="F12" s="2">
        <v>37215</v>
      </c>
      <c r="G12" s="2" t="s">
        <v>152</v>
      </c>
      <c r="H12" t="s">
        <v>176</v>
      </c>
      <c r="I12" s="6">
        <v>14472</v>
      </c>
      <c r="J12" s="2" t="s">
        <v>1267</v>
      </c>
      <c r="K12" s="2" t="s">
        <v>34</v>
      </c>
      <c r="L12" t="s">
        <v>934</v>
      </c>
      <c r="M12" t="s">
        <v>29</v>
      </c>
      <c r="N12" t="s">
        <v>30</v>
      </c>
      <c r="O12">
        <v>37246</v>
      </c>
      <c r="P12" t="s">
        <v>6322</v>
      </c>
      <c r="Q12" s="2">
        <v>0.56999999999999995</v>
      </c>
      <c r="R12" s="2">
        <v>100</v>
      </c>
      <c r="S12" s="2">
        <v>252</v>
      </c>
      <c r="T12" t="s">
        <v>1267</v>
      </c>
      <c r="U12" s="6">
        <v>14472</v>
      </c>
      <c r="V12" s="2">
        <v>47037018000</v>
      </c>
      <c r="W12" s="2" t="s">
        <v>68</v>
      </c>
      <c r="X12" s="1">
        <v>45658</v>
      </c>
      <c r="Y12" s="2">
        <v>500000</v>
      </c>
      <c r="Z12" s="2">
        <v>0</v>
      </c>
      <c r="AA12" s="2">
        <v>500000</v>
      </c>
    </row>
    <row r="13" spans="1:27" x14ac:dyDescent="0.3">
      <c r="A13" s="3">
        <v>24</v>
      </c>
      <c r="B13" s="2" t="str">
        <f>"10414001700"</f>
        <v>10414001700</v>
      </c>
      <c r="C13" s="2" t="s">
        <v>6323</v>
      </c>
      <c r="D13" t="s">
        <v>29</v>
      </c>
      <c r="E13" s="2" t="s">
        <v>30</v>
      </c>
      <c r="F13" s="2">
        <v>37215</v>
      </c>
      <c r="G13" s="2" t="s">
        <v>152</v>
      </c>
      <c r="H13" t="s">
        <v>176</v>
      </c>
      <c r="I13" s="6">
        <v>16972</v>
      </c>
      <c r="J13" s="2" t="s">
        <v>6324</v>
      </c>
      <c r="K13" s="2" t="s">
        <v>34</v>
      </c>
      <c r="L13" t="s">
        <v>178</v>
      </c>
      <c r="M13" t="s">
        <v>29</v>
      </c>
      <c r="N13" t="s">
        <v>30</v>
      </c>
      <c r="O13">
        <v>37246</v>
      </c>
      <c r="P13" t="s">
        <v>6325</v>
      </c>
      <c r="Q13" s="2">
        <v>1.9</v>
      </c>
      <c r="R13" s="2">
        <v>254</v>
      </c>
      <c r="S13" s="2">
        <v>379</v>
      </c>
      <c r="T13" t="s">
        <v>6324</v>
      </c>
      <c r="U13" s="6">
        <v>16972</v>
      </c>
      <c r="V13" s="2">
        <v>47037018000</v>
      </c>
      <c r="W13" s="2" t="s">
        <v>68</v>
      </c>
      <c r="X13" s="1">
        <v>45658</v>
      </c>
      <c r="Y13" s="2">
        <v>817000</v>
      </c>
      <c r="Z13" s="2">
        <v>0</v>
      </c>
      <c r="AA13" s="2">
        <v>817000</v>
      </c>
    </row>
    <row r="14" spans="1:27" x14ac:dyDescent="0.3">
      <c r="A14" s="3">
        <v>24</v>
      </c>
      <c r="B14" s="2" t="str">
        <f>"10315000200"</f>
        <v>10315000200</v>
      </c>
      <c r="C14" s="2" t="s">
        <v>6326</v>
      </c>
      <c r="D14" t="s">
        <v>29</v>
      </c>
      <c r="E14" s="2" t="s">
        <v>30</v>
      </c>
      <c r="F14" s="2">
        <v>37205</v>
      </c>
      <c r="G14" s="2" t="s">
        <v>152</v>
      </c>
      <c r="H14" t="s">
        <v>176</v>
      </c>
      <c r="I14" s="6">
        <v>26569</v>
      </c>
      <c r="J14" s="2" t="s">
        <v>6327</v>
      </c>
      <c r="K14" s="2" t="s">
        <v>34</v>
      </c>
      <c r="L14" t="s">
        <v>178</v>
      </c>
      <c r="M14" t="s">
        <v>29</v>
      </c>
      <c r="N14" t="s">
        <v>30</v>
      </c>
      <c r="O14">
        <v>37246</v>
      </c>
      <c r="P14" t="s">
        <v>6328</v>
      </c>
      <c r="Q14" s="2">
        <v>3.96</v>
      </c>
      <c r="R14" s="2">
        <v>0</v>
      </c>
      <c r="S14" s="2">
        <v>0</v>
      </c>
      <c r="T14" t="s">
        <v>6327</v>
      </c>
      <c r="U14" s="6">
        <v>26569</v>
      </c>
      <c r="V14" s="2">
        <v>47037018102</v>
      </c>
      <c r="W14" s="2" t="s">
        <v>68</v>
      </c>
      <c r="X14" s="1">
        <v>45658</v>
      </c>
      <c r="Y14" s="2">
        <v>9659900</v>
      </c>
      <c r="Z14" s="2">
        <v>0</v>
      </c>
      <c r="AA14" s="2">
        <v>9659900</v>
      </c>
    </row>
    <row r="15" spans="1:27" x14ac:dyDescent="0.3">
      <c r="A15" s="3">
        <v>24</v>
      </c>
      <c r="B15" s="2" t="str">
        <f>"10409024500"</f>
        <v>10409024500</v>
      </c>
      <c r="C15" s="2" t="s">
        <v>6329</v>
      </c>
      <c r="D15" t="s">
        <v>29</v>
      </c>
      <c r="E15" s="2" t="s">
        <v>30</v>
      </c>
      <c r="F15" s="2">
        <v>37205</v>
      </c>
      <c r="G15" s="2" t="s">
        <v>200</v>
      </c>
      <c r="H15" t="s">
        <v>6330</v>
      </c>
      <c r="I15" s="6">
        <v>17520</v>
      </c>
      <c r="J15" s="2" t="s">
        <v>6331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6332</v>
      </c>
      <c r="Q15" s="2">
        <v>13.34</v>
      </c>
      <c r="R15" s="2">
        <v>0</v>
      </c>
      <c r="S15" s="2">
        <v>0</v>
      </c>
      <c r="T15" t="s">
        <v>6333</v>
      </c>
      <c r="U15" s="6">
        <v>30434</v>
      </c>
      <c r="V15" s="2">
        <v>47037016700</v>
      </c>
      <c r="W15" s="2" t="s">
        <v>68</v>
      </c>
      <c r="X15" s="1">
        <v>45658</v>
      </c>
      <c r="Y15" s="2">
        <v>2100000</v>
      </c>
      <c r="Z15" s="2">
        <v>0</v>
      </c>
      <c r="AA15" s="2">
        <v>2100000</v>
      </c>
    </row>
    <row r="16" spans="1:27" x14ac:dyDescent="0.3">
      <c r="A16" s="3">
        <v>24</v>
      </c>
      <c r="B16" s="2" t="str">
        <f>"10303026200"</f>
        <v>10303026200</v>
      </c>
      <c r="C16" s="2" t="s">
        <v>6334</v>
      </c>
      <c r="D16" t="s">
        <v>29</v>
      </c>
      <c r="E16" s="2" t="s">
        <v>30</v>
      </c>
      <c r="F16" s="2">
        <v>37209</v>
      </c>
      <c r="G16" s="2" t="s">
        <v>200</v>
      </c>
      <c r="H16" t="s">
        <v>6335</v>
      </c>
      <c r="I16" s="6">
        <v>16798</v>
      </c>
      <c r="J16" s="2" t="s">
        <v>6336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6337</v>
      </c>
      <c r="Q16" s="2">
        <v>0.91</v>
      </c>
      <c r="R16" s="2">
        <v>260</v>
      </c>
      <c r="S16" s="2">
        <v>160</v>
      </c>
      <c r="T16" t="s">
        <v>6336</v>
      </c>
      <c r="U16" s="6">
        <v>16798</v>
      </c>
      <c r="V16" s="2">
        <v>47037013400</v>
      </c>
      <c r="W16" s="2" t="s">
        <v>68</v>
      </c>
      <c r="X16" s="1">
        <v>45658</v>
      </c>
      <c r="Y16" s="2">
        <v>553200</v>
      </c>
      <c r="Z16" s="2">
        <v>0</v>
      </c>
      <c r="AA16" s="2">
        <v>553200</v>
      </c>
    </row>
    <row r="17" spans="1:27" x14ac:dyDescent="0.3">
      <c r="A17" s="3">
        <v>24</v>
      </c>
      <c r="B17" s="2" t="str">
        <f>"10308013200"</f>
        <v>10308013200</v>
      </c>
      <c r="C17" s="2" t="s">
        <v>6338</v>
      </c>
      <c r="D17" t="s">
        <v>29</v>
      </c>
      <c r="E17" s="2" t="s">
        <v>30</v>
      </c>
      <c r="F17" s="2">
        <v>37209</v>
      </c>
      <c r="G17" s="2" t="s">
        <v>200</v>
      </c>
      <c r="H17" t="s">
        <v>6335</v>
      </c>
      <c r="I17" s="6">
        <v>27395</v>
      </c>
      <c r="J17" s="2" t="s">
        <v>6339</v>
      </c>
      <c r="K17" s="2" t="s">
        <v>34</v>
      </c>
      <c r="L17" t="s">
        <v>35</v>
      </c>
      <c r="M17" t="s">
        <v>29</v>
      </c>
      <c r="N17" t="s">
        <v>30</v>
      </c>
      <c r="O17">
        <v>37219</v>
      </c>
      <c r="P17" t="s">
        <v>6340</v>
      </c>
      <c r="Q17" s="2">
        <v>5.9</v>
      </c>
      <c r="R17" s="2">
        <v>0</v>
      </c>
      <c r="S17" s="2">
        <v>0</v>
      </c>
      <c r="T17" t="s">
        <v>6341</v>
      </c>
      <c r="U17" s="6">
        <v>9989</v>
      </c>
      <c r="V17" s="2">
        <v>47037013400</v>
      </c>
      <c r="W17" s="2" t="s">
        <v>68</v>
      </c>
      <c r="X17" s="1">
        <v>45658</v>
      </c>
      <c r="Y17" s="2">
        <v>2867400</v>
      </c>
      <c r="Z17" s="2">
        <v>0</v>
      </c>
      <c r="AA17" s="2">
        <v>2867400</v>
      </c>
    </row>
    <row r="18" spans="1:27" x14ac:dyDescent="0.3">
      <c r="A18" s="3">
        <v>24</v>
      </c>
      <c r="B18" s="2" t="str">
        <f>"10307007500"</f>
        <v>10307007500</v>
      </c>
      <c r="C18" s="2" t="s">
        <v>6342</v>
      </c>
      <c r="D18" t="s">
        <v>29</v>
      </c>
      <c r="E18" s="2" t="s">
        <v>30</v>
      </c>
      <c r="F18" s="2">
        <v>37209</v>
      </c>
      <c r="G18" s="2" t="s">
        <v>200</v>
      </c>
      <c r="H18" t="s">
        <v>6335</v>
      </c>
      <c r="I18" s="6">
        <v>16798</v>
      </c>
      <c r="J18" s="2" t="s">
        <v>6336</v>
      </c>
      <c r="K18" s="2" t="s">
        <v>34</v>
      </c>
      <c r="L18" t="s">
        <v>35</v>
      </c>
      <c r="M18" t="s">
        <v>29</v>
      </c>
      <c r="N18" t="s">
        <v>30</v>
      </c>
      <c r="O18">
        <v>37219</v>
      </c>
      <c r="P18" t="s">
        <v>6343</v>
      </c>
      <c r="Q18" s="2">
        <v>202.73</v>
      </c>
      <c r="R18" s="2">
        <v>0</v>
      </c>
      <c r="S18" s="2">
        <v>0</v>
      </c>
      <c r="T18" t="s">
        <v>6344</v>
      </c>
      <c r="U18" s="6">
        <v>29151</v>
      </c>
      <c r="V18" s="2">
        <v>47037013400</v>
      </c>
      <c r="W18" s="2" t="s">
        <v>68</v>
      </c>
      <c r="X18" s="1">
        <v>45658</v>
      </c>
      <c r="Y18" s="2">
        <v>20273000</v>
      </c>
      <c r="Z18" s="2">
        <v>0</v>
      </c>
      <c r="AA18" s="2">
        <v>20273000</v>
      </c>
    </row>
    <row r="19" spans="1:27" x14ac:dyDescent="0.3">
      <c r="A19" s="3">
        <v>24</v>
      </c>
      <c r="B19" s="2" t="str">
        <f>"09115026500"</f>
        <v>09115026500</v>
      </c>
      <c r="C19" s="2" t="s">
        <v>6345</v>
      </c>
      <c r="D19" t="s">
        <v>29</v>
      </c>
      <c r="E19" s="2" t="s">
        <v>30</v>
      </c>
      <c r="F19" s="2">
        <v>37209</v>
      </c>
      <c r="G19" s="2" t="s">
        <v>200</v>
      </c>
      <c r="H19" t="s">
        <v>6346</v>
      </c>
      <c r="I19" s="6">
        <v>9</v>
      </c>
      <c r="J19" s="2" t="s">
        <v>6347</v>
      </c>
      <c r="K19" s="2" t="s">
        <v>34</v>
      </c>
      <c r="L19" t="s">
        <v>35</v>
      </c>
      <c r="M19" t="s">
        <v>29</v>
      </c>
      <c r="N19" t="s">
        <v>30</v>
      </c>
      <c r="O19">
        <v>37219</v>
      </c>
      <c r="P19" t="s">
        <v>6348</v>
      </c>
      <c r="Q19" s="2">
        <v>13.4</v>
      </c>
      <c r="R19" s="2">
        <v>0</v>
      </c>
      <c r="S19" s="2">
        <v>0</v>
      </c>
      <c r="T19" t="s">
        <v>6347</v>
      </c>
      <c r="U19" s="6">
        <v>9</v>
      </c>
      <c r="V19" s="2">
        <v>47037013400</v>
      </c>
      <c r="W19" s="2" t="s">
        <v>68</v>
      </c>
      <c r="X19" s="1">
        <v>45658</v>
      </c>
      <c r="Y19" s="2">
        <v>6110400</v>
      </c>
      <c r="Z19" s="2">
        <v>0</v>
      </c>
      <c r="AA19" s="2">
        <v>6110400</v>
      </c>
    </row>
    <row r="20" spans="1:27" x14ac:dyDescent="0.3">
      <c r="A20" s="3">
        <v>24</v>
      </c>
      <c r="B20" s="2" t="str">
        <f>"09115033300"</f>
        <v>09115033300</v>
      </c>
      <c r="C20" s="2" t="s">
        <v>6349</v>
      </c>
      <c r="D20" t="s">
        <v>29</v>
      </c>
      <c r="E20" s="2" t="s">
        <v>30</v>
      </c>
      <c r="F20" s="2">
        <v>37209</v>
      </c>
      <c r="G20" s="2" t="s">
        <v>253</v>
      </c>
      <c r="H20" t="s">
        <v>6350</v>
      </c>
      <c r="I20" s="6">
        <v>17391</v>
      </c>
      <c r="J20" s="2" t="s">
        <v>6351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6352</v>
      </c>
      <c r="Q20" s="2">
        <v>2.38</v>
      </c>
      <c r="R20" s="2">
        <v>320</v>
      </c>
      <c r="S20" s="2">
        <v>325</v>
      </c>
      <c r="T20" t="s">
        <v>6353</v>
      </c>
      <c r="U20" s="6">
        <v>10300</v>
      </c>
      <c r="V20" s="2">
        <v>47037013400</v>
      </c>
      <c r="W20" s="2" t="s">
        <v>68</v>
      </c>
      <c r="X20" s="1">
        <v>45658</v>
      </c>
      <c r="Y20" s="2">
        <v>1316600</v>
      </c>
      <c r="Z20" s="2">
        <v>0</v>
      </c>
      <c r="AA20" s="2">
        <v>1316600</v>
      </c>
    </row>
    <row r="21" spans="1:27" x14ac:dyDescent="0.3">
      <c r="A21" s="3">
        <v>24</v>
      </c>
      <c r="B21" s="2" t="str">
        <f>"10302018500"</f>
        <v>10302018500</v>
      </c>
      <c r="C21" s="2" t="s">
        <v>6354</v>
      </c>
      <c r="D21" t="s">
        <v>29</v>
      </c>
      <c r="E21" s="2" t="s">
        <v>30</v>
      </c>
      <c r="F21" s="2">
        <v>37209</v>
      </c>
      <c r="G21" s="2" t="s">
        <v>253</v>
      </c>
      <c r="H21" t="s">
        <v>6355</v>
      </c>
      <c r="I21" s="6">
        <v>18361</v>
      </c>
      <c r="J21" s="2" t="s">
        <v>6356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6357</v>
      </c>
      <c r="Q21" s="2">
        <v>8.49</v>
      </c>
      <c r="R21" s="2">
        <v>614</v>
      </c>
      <c r="S21" s="2">
        <v>477</v>
      </c>
      <c r="T21" t="s">
        <v>278</v>
      </c>
      <c r="U21" s="6">
        <v>36581</v>
      </c>
      <c r="V21" s="2">
        <v>47037018101</v>
      </c>
      <c r="W21" s="2" t="s">
        <v>68</v>
      </c>
      <c r="X21" s="1">
        <v>45658</v>
      </c>
      <c r="Y21" s="2">
        <v>424600</v>
      </c>
      <c r="Z21" s="2">
        <v>0</v>
      </c>
      <c r="AA21" s="2">
        <v>424600</v>
      </c>
    </row>
    <row r="22" spans="1:27" x14ac:dyDescent="0.3">
      <c r="A22" s="3">
        <v>24</v>
      </c>
      <c r="B22" s="2" t="str">
        <f>"09213013500"</f>
        <v>09213013500</v>
      </c>
      <c r="C22" s="2" t="s">
        <v>6358</v>
      </c>
      <c r="D22" t="s">
        <v>29</v>
      </c>
      <c r="E22" s="2" t="s">
        <v>30</v>
      </c>
      <c r="F22" s="2">
        <v>37209</v>
      </c>
      <c r="G22" s="2" t="s">
        <v>253</v>
      </c>
      <c r="H22" t="s">
        <v>6359</v>
      </c>
      <c r="I22" s="6">
        <v>5659</v>
      </c>
      <c r="J22" s="2" t="s">
        <v>6360</v>
      </c>
      <c r="K22" s="2" t="s">
        <v>34</v>
      </c>
      <c r="L22" t="s">
        <v>35</v>
      </c>
      <c r="M22" t="s">
        <v>29</v>
      </c>
      <c r="N22" t="s">
        <v>30</v>
      </c>
      <c r="O22">
        <v>37219</v>
      </c>
      <c r="P22" t="s">
        <v>6361</v>
      </c>
      <c r="Q22" s="2">
        <v>4.91</v>
      </c>
      <c r="R22" s="2">
        <v>671</v>
      </c>
      <c r="S22" s="2">
        <v>320</v>
      </c>
      <c r="T22" t="s">
        <v>6362</v>
      </c>
      <c r="U22" s="6">
        <v>36013</v>
      </c>
      <c r="V22" s="2">
        <v>47037013500</v>
      </c>
      <c r="W22" s="2" t="s">
        <v>68</v>
      </c>
      <c r="X22" s="1">
        <v>45658</v>
      </c>
      <c r="Y22" s="2">
        <v>2639600</v>
      </c>
      <c r="Z22" s="2">
        <v>0</v>
      </c>
      <c r="AA22" s="2">
        <v>2639600</v>
      </c>
    </row>
    <row r="23" spans="1:27" x14ac:dyDescent="0.3">
      <c r="A23" s="3">
        <v>24</v>
      </c>
      <c r="B23" s="2" t="str">
        <f>"10303022100"</f>
        <v>10303022100</v>
      </c>
      <c r="C23" s="2" t="s">
        <v>6363</v>
      </c>
      <c r="D23" t="s">
        <v>29</v>
      </c>
      <c r="E23" s="2" t="s">
        <v>30</v>
      </c>
      <c r="F23" s="2">
        <v>37209</v>
      </c>
      <c r="G23" s="2" t="s">
        <v>253</v>
      </c>
      <c r="H23" t="s">
        <v>6364</v>
      </c>
      <c r="I23" s="6">
        <v>12781</v>
      </c>
      <c r="J23" s="2" t="s">
        <v>6365</v>
      </c>
      <c r="K23" s="2" t="s">
        <v>34</v>
      </c>
      <c r="L23" t="s">
        <v>35</v>
      </c>
      <c r="M23" t="s">
        <v>29</v>
      </c>
      <c r="N23" t="s">
        <v>30</v>
      </c>
      <c r="O23">
        <v>37219</v>
      </c>
      <c r="P23" t="s">
        <v>6366</v>
      </c>
      <c r="Q23" s="2">
        <v>4.6900000000000004</v>
      </c>
      <c r="R23" s="2">
        <v>368</v>
      </c>
      <c r="S23" s="2">
        <v>368</v>
      </c>
      <c r="T23" t="s">
        <v>6367</v>
      </c>
      <c r="U23" s="6">
        <v>12879</v>
      </c>
      <c r="V23" s="2">
        <v>47037013400</v>
      </c>
      <c r="W23" s="2" t="s">
        <v>68</v>
      </c>
      <c r="X23" s="1">
        <v>45658</v>
      </c>
      <c r="Y23" s="2">
        <v>2594500</v>
      </c>
      <c r="Z23" s="2">
        <v>0</v>
      </c>
      <c r="AA23" s="2">
        <v>2594500</v>
      </c>
    </row>
    <row r="24" spans="1:27" x14ac:dyDescent="0.3">
      <c r="A24" s="3">
        <v>24</v>
      </c>
      <c r="B24" s="2" t="str">
        <f>"10409024400"</f>
        <v>10409024400</v>
      </c>
      <c r="C24" s="2" t="s">
        <v>6368</v>
      </c>
      <c r="D24" t="s">
        <v>29</v>
      </c>
      <c r="E24" s="2" t="s">
        <v>30</v>
      </c>
      <c r="F24" s="2">
        <v>37205</v>
      </c>
      <c r="G24" s="2" t="s">
        <v>253</v>
      </c>
      <c r="H24" t="s">
        <v>6369</v>
      </c>
      <c r="I24" s="6">
        <v>13248</v>
      </c>
      <c r="J24" s="2" t="s">
        <v>6370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6371</v>
      </c>
      <c r="Q24" s="2">
        <v>12.7</v>
      </c>
      <c r="R24" s="2">
        <v>0</v>
      </c>
      <c r="S24" s="2">
        <v>0</v>
      </c>
      <c r="T24" t="s">
        <v>6370</v>
      </c>
      <c r="U24" s="6">
        <v>13248</v>
      </c>
      <c r="V24" s="2">
        <v>47037016700</v>
      </c>
      <c r="W24" s="2" t="s">
        <v>68</v>
      </c>
      <c r="X24" s="1">
        <v>45658</v>
      </c>
      <c r="Y24" s="2">
        <v>2023200</v>
      </c>
      <c r="Z24" s="2">
        <v>0</v>
      </c>
      <c r="AA24" s="2">
        <v>2023200</v>
      </c>
    </row>
    <row r="25" spans="1:27" x14ac:dyDescent="0.3">
      <c r="A25" s="3">
        <v>24</v>
      </c>
      <c r="B25" s="2" t="str">
        <f>"11608014000"</f>
        <v>11608014000</v>
      </c>
      <c r="C25" s="2" t="s">
        <v>6372</v>
      </c>
      <c r="D25" t="s">
        <v>29</v>
      </c>
      <c r="E25" s="2" t="s">
        <v>30</v>
      </c>
      <c r="F25" s="2">
        <v>37215</v>
      </c>
      <c r="G25" s="2" t="s">
        <v>253</v>
      </c>
      <c r="H25" t="s">
        <v>6373</v>
      </c>
      <c r="I25" s="6">
        <v>15357</v>
      </c>
      <c r="J25" s="2" t="s">
        <v>6374</v>
      </c>
      <c r="K25" s="2" t="s">
        <v>34</v>
      </c>
      <c r="L25" t="s">
        <v>35</v>
      </c>
      <c r="M25" t="s">
        <v>29</v>
      </c>
      <c r="N25" t="s">
        <v>30</v>
      </c>
      <c r="O25">
        <v>37219</v>
      </c>
      <c r="P25" t="s">
        <v>6375</v>
      </c>
      <c r="Q25" s="2">
        <v>3.22</v>
      </c>
      <c r="R25" s="2">
        <v>350</v>
      </c>
      <c r="S25" s="2">
        <v>400</v>
      </c>
      <c r="T25" t="s">
        <v>6374</v>
      </c>
      <c r="U25" s="6">
        <v>15357</v>
      </c>
      <c r="V25" s="2">
        <v>47037018000</v>
      </c>
      <c r="W25" s="2" t="s">
        <v>68</v>
      </c>
      <c r="X25" s="1">
        <v>45658</v>
      </c>
      <c r="Y25" s="2">
        <v>1610000</v>
      </c>
      <c r="Z25" s="2">
        <v>0</v>
      </c>
      <c r="AA25" s="2">
        <v>1610000</v>
      </c>
    </row>
    <row r="26" spans="1:27" x14ac:dyDescent="0.3">
      <c r="A26" s="3">
        <v>24</v>
      </c>
      <c r="B26" s="2" t="str">
        <f>"09209017700"</f>
        <v>09209017700</v>
      </c>
      <c r="C26" s="2" t="s">
        <v>6376</v>
      </c>
      <c r="D26" t="s">
        <v>29</v>
      </c>
      <c r="E26" s="2" t="s">
        <v>30</v>
      </c>
      <c r="F26" s="2">
        <v>37209</v>
      </c>
      <c r="G26" s="2" t="s">
        <v>152</v>
      </c>
      <c r="H26" t="s">
        <v>280</v>
      </c>
      <c r="I26" s="6">
        <v>17982</v>
      </c>
      <c r="J26" s="2" t="s">
        <v>6377</v>
      </c>
      <c r="K26" s="2" t="s">
        <v>34</v>
      </c>
      <c r="L26" t="s">
        <v>35</v>
      </c>
      <c r="M26" t="s">
        <v>29</v>
      </c>
      <c r="N26" t="s">
        <v>30</v>
      </c>
      <c r="O26">
        <v>37219</v>
      </c>
      <c r="P26" t="s">
        <v>6378</v>
      </c>
      <c r="Q26" s="2">
        <v>1.29</v>
      </c>
      <c r="R26" s="2">
        <v>200</v>
      </c>
      <c r="S26" s="2">
        <v>158</v>
      </c>
      <c r="T26" t="s">
        <v>6379</v>
      </c>
      <c r="U26" s="6">
        <v>29221</v>
      </c>
      <c r="V26" s="2">
        <v>47037013500</v>
      </c>
      <c r="W26" s="2" t="s">
        <v>68</v>
      </c>
      <c r="X26" s="1">
        <v>45658</v>
      </c>
      <c r="Y26" s="2">
        <v>5057300</v>
      </c>
      <c r="Z26" s="2">
        <v>0</v>
      </c>
      <c r="AA26" s="2">
        <v>5057300</v>
      </c>
    </row>
    <row r="27" spans="1:27" x14ac:dyDescent="0.3">
      <c r="A27" s="3">
        <v>24</v>
      </c>
      <c r="B27" s="2" t="str">
        <f>"10303000600"</f>
        <v>10303000600</v>
      </c>
      <c r="C27" s="2" t="s">
        <v>6380</v>
      </c>
      <c r="D27" t="s">
        <v>29</v>
      </c>
      <c r="E27" s="2" t="s">
        <v>30</v>
      </c>
      <c r="F27" s="2">
        <v>37209</v>
      </c>
      <c r="G27" s="2" t="s">
        <v>64</v>
      </c>
      <c r="H27" t="s">
        <v>280</v>
      </c>
      <c r="I27" s="6">
        <v>40921</v>
      </c>
      <c r="J27" s="2" t="s">
        <v>6381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6382</v>
      </c>
      <c r="Q27" s="2">
        <v>0.27</v>
      </c>
      <c r="R27" s="2">
        <v>60</v>
      </c>
      <c r="S27" s="2">
        <v>198</v>
      </c>
      <c r="T27" t="s">
        <v>6383</v>
      </c>
      <c r="U27" s="6">
        <v>25652</v>
      </c>
      <c r="V27" s="2">
        <v>47037018101</v>
      </c>
      <c r="W27" s="2" t="s">
        <v>68</v>
      </c>
      <c r="X27" s="1">
        <v>45658</v>
      </c>
      <c r="Y27" s="2">
        <v>125000</v>
      </c>
      <c r="Z27" s="2">
        <v>0</v>
      </c>
      <c r="AA27" s="2">
        <v>125000</v>
      </c>
    </row>
    <row r="28" spans="1:27" x14ac:dyDescent="0.3">
      <c r="A28" s="3">
        <v>24</v>
      </c>
      <c r="B28" s="2" t="str">
        <f>"10303000700"</f>
        <v>10303000700</v>
      </c>
      <c r="C28" s="2" t="s">
        <v>6384</v>
      </c>
      <c r="D28" t="s">
        <v>29</v>
      </c>
      <c r="E28" s="2" t="s">
        <v>30</v>
      </c>
      <c r="F28" s="2">
        <v>37209</v>
      </c>
      <c r="G28" s="2" t="s">
        <v>64</v>
      </c>
      <c r="H28" t="s">
        <v>280</v>
      </c>
      <c r="I28" s="6">
        <v>40893</v>
      </c>
      <c r="J28" s="2" t="s">
        <v>6385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6386</v>
      </c>
      <c r="Q28" s="2">
        <v>0.27</v>
      </c>
      <c r="R28" s="2">
        <v>60</v>
      </c>
      <c r="S28" s="2">
        <v>191</v>
      </c>
      <c r="T28" t="s">
        <v>6387</v>
      </c>
      <c r="U28" s="6">
        <v>26687</v>
      </c>
      <c r="V28" s="2">
        <v>47037018101</v>
      </c>
      <c r="W28" s="2" t="s">
        <v>68</v>
      </c>
      <c r="X28" s="1">
        <v>45658</v>
      </c>
      <c r="Y28" s="2">
        <v>125000</v>
      </c>
      <c r="Z28" s="2">
        <v>0</v>
      </c>
      <c r="AA28" s="2">
        <v>125000</v>
      </c>
    </row>
    <row r="29" spans="1:27" x14ac:dyDescent="0.3">
      <c r="A29" s="3">
        <v>24</v>
      </c>
      <c r="B29" s="2" t="str">
        <f>"10303000800"</f>
        <v>10303000800</v>
      </c>
      <c r="C29" s="2" t="s">
        <v>6388</v>
      </c>
      <c r="D29" t="s">
        <v>29</v>
      </c>
      <c r="E29" s="2" t="s">
        <v>30</v>
      </c>
      <c r="F29" s="2">
        <v>37209</v>
      </c>
      <c r="G29" s="2" t="s">
        <v>64</v>
      </c>
      <c r="H29" t="s">
        <v>280</v>
      </c>
      <c r="I29" s="6">
        <v>41085</v>
      </c>
      <c r="J29" s="2" t="s">
        <v>6389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6390</v>
      </c>
      <c r="Q29" s="2">
        <v>0.26</v>
      </c>
      <c r="R29" s="2">
        <v>60</v>
      </c>
      <c r="S29" s="2">
        <v>183</v>
      </c>
      <c r="T29" t="s">
        <v>6391</v>
      </c>
      <c r="U29" s="6">
        <v>23188</v>
      </c>
      <c r="V29" s="2">
        <v>47037018101</v>
      </c>
      <c r="W29" s="2" t="s">
        <v>68</v>
      </c>
      <c r="X29" s="1">
        <v>45658</v>
      </c>
      <c r="Y29" s="2">
        <v>125000</v>
      </c>
      <c r="Z29" s="2">
        <v>0</v>
      </c>
      <c r="AA29" s="2">
        <v>125000</v>
      </c>
    </row>
    <row r="30" spans="1:27" x14ac:dyDescent="0.3">
      <c r="A30" s="3">
        <v>24</v>
      </c>
      <c r="B30" s="2" t="str">
        <f>"11604006900"</f>
        <v>11604006900</v>
      </c>
      <c r="C30" s="2" t="s">
        <v>6392</v>
      </c>
      <c r="D30" t="s">
        <v>29</v>
      </c>
      <c r="E30" s="2" t="s">
        <v>30</v>
      </c>
      <c r="F30" s="2">
        <v>37205</v>
      </c>
      <c r="G30" s="2" t="s">
        <v>64</v>
      </c>
      <c r="H30" t="s">
        <v>280</v>
      </c>
      <c r="I30" s="6">
        <v>27045</v>
      </c>
      <c r="J30" s="2" t="s">
        <v>6393</v>
      </c>
      <c r="K30" s="2">
        <v>234</v>
      </c>
      <c r="L30" t="s">
        <v>35</v>
      </c>
      <c r="M30" t="s">
        <v>29</v>
      </c>
      <c r="N30" t="s">
        <v>30</v>
      </c>
      <c r="O30">
        <v>37219</v>
      </c>
      <c r="P30" t="s">
        <v>6394</v>
      </c>
      <c r="Q30" s="2">
        <v>0.27</v>
      </c>
      <c r="R30" s="2">
        <v>10</v>
      </c>
      <c r="S30" s="2">
        <v>110</v>
      </c>
      <c r="T30" t="s">
        <v>6287</v>
      </c>
      <c r="U30" s="6">
        <v>5285</v>
      </c>
      <c r="V30" s="2">
        <v>47037018000</v>
      </c>
      <c r="W30" s="2" t="s">
        <v>68</v>
      </c>
      <c r="X30" s="1">
        <v>45658</v>
      </c>
      <c r="Y30" s="2">
        <v>5100</v>
      </c>
      <c r="Z30" s="2">
        <v>0</v>
      </c>
      <c r="AA30" s="2">
        <v>5100</v>
      </c>
    </row>
    <row r="31" spans="1:27" x14ac:dyDescent="0.3">
      <c r="A31" s="3">
        <v>24</v>
      </c>
      <c r="B31" s="2" t="str">
        <f>"11608008500"</f>
        <v>11608008500</v>
      </c>
      <c r="C31" s="2" t="s">
        <v>6395</v>
      </c>
      <c r="D31" t="s">
        <v>29</v>
      </c>
      <c r="E31" s="2" t="s">
        <v>30</v>
      </c>
      <c r="F31" s="2">
        <v>37215</v>
      </c>
      <c r="G31" s="2" t="s">
        <v>152</v>
      </c>
      <c r="H31" t="s">
        <v>280</v>
      </c>
      <c r="I31" s="6">
        <v>27395</v>
      </c>
      <c r="J31" s="2" t="s">
        <v>6396</v>
      </c>
      <c r="K31" s="2" t="s">
        <v>34</v>
      </c>
      <c r="L31" t="s">
        <v>35</v>
      </c>
      <c r="M31" t="s">
        <v>29</v>
      </c>
      <c r="N31" t="s">
        <v>30</v>
      </c>
      <c r="O31">
        <v>37219</v>
      </c>
      <c r="P31" t="s">
        <v>6397</v>
      </c>
      <c r="Q31" s="2">
        <v>0.16</v>
      </c>
      <c r="R31" s="2">
        <v>60</v>
      </c>
      <c r="S31" s="2">
        <v>71</v>
      </c>
      <c r="T31" t="s">
        <v>6398</v>
      </c>
      <c r="U31" s="6">
        <v>5981</v>
      </c>
      <c r="V31" s="2">
        <v>47037018000</v>
      </c>
      <c r="W31" s="2" t="s">
        <v>68</v>
      </c>
      <c r="X31" s="1">
        <v>45658</v>
      </c>
      <c r="Y31" s="2">
        <v>5100</v>
      </c>
      <c r="Z31" s="2">
        <v>0</v>
      </c>
      <c r="AA31" s="2">
        <v>5100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826C-B0F7-41AB-B139-D63327EDB8D1}">
  <sheetPr>
    <tabColor rgb="FF002060"/>
  </sheetPr>
  <dimension ref="A1:AA49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25</v>
      </c>
      <c r="B2" s="2" t="str">
        <f>"11715000100"</f>
        <v>11715000100</v>
      </c>
      <c r="C2" s="2" t="s">
        <v>6399</v>
      </c>
      <c r="D2" t="s">
        <v>29</v>
      </c>
      <c r="E2" s="2" t="s">
        <v>30</v>
      </c>
      <c r="F2" s="2">
        <v>37215</v>
      </c>
      <c r="G2" s="2" t="s">
        <v>6400</v>
      </c>
      <c r="H2" t="s">
        <v>32</v>
      </c>
      <c r="I2" s="6">
        <v>44903</v>
      </c>
      <c r="J2" s="2" t="s">
        <v>6401</v>
      </c>
      <c r="K2" s="2">
        <v>7350000</v>
      </c>
      <c r="L2" t="s">
        <v>35</v>
      </c>
      <c r="M2" t="s">
        <v>29</v>
      </c>
      <c r="N2" t="s">
        <v>30</v>
      </c>
      <c r="O2">
        <v>37219</v>
      </c>
      <c r="P2" t="s">
        <v>6402</v>
      </c>
      <c r="Q2" s="2">
        <v>0.92</v>
      </c>
      <c r="R2" s="2">
        <v>138</v>
      </c>
      <c r="S2" s="2">
        <v>213</v>
      </c>
      <c r="T2" t="s">
        <v>6403</v>
      </c>
      <c r="U2" s="6">
        <v>14788</v>
      </c>
      <c r="V2" s="2">
        <v>47037017901</v>
      </c>
      <c r="W2" s="2" t="s">
        <v>68</v>
      </c>
      <c r="X2" s="1">
        <v>45658</v>
      </c>
      <c r="Y2" s="2">
        <v>8816500</v>
      </c>
      <c r="Z2" s="2">
        <v>0</v>
      </c>
      <c r="AA2" s="2">
        <v>8816500</v>
      </c>
    </row>
    <row r="3" spans="1:27" x14ac:dyDescent="0.3">
      <c r="A3" s="3">
        <v>25</v>
      </c>
      <c r="B3" s="2" t="str">
        <f>"11711008500"</f>
        <v>11711008500</v>
      </c>
      <c r="C3" s="2" t="s">
        <v>6404</v>
      </c>
      <c r="D3" t="s">
        <v>29</v>
      </c>
      <c r="E3" s="2" t="s">
        <v>30</v>
      </c>
      <c r="F3" s="2">
        <v>37215</v>
      </c>
      <c r="G3" s="2" t="s">
        <v>64</v>
      </c>
      <c r="H3" t="s">
        <v>6405</v>
      </c>
      <c r="I3" s="6">
        <v>36165</v>
      </c>
      <c r="J3" s="2" t="s">
        <v>6406</v>
      </c>
      <c r="K3" s="2" t="s">
        <v>34</v>
      </c>
      <c r="L3" t="s">
        <v>35</v>
      </c>
      <c r="M3" t="s">
        <v>29</v>
      </c>
      <c r="N3" t="s">
        <v>30</v>
      </c>
      <c r="O3">
        <v>37219</v>
      </c>
      <c r="P3" t="s">
        <v>6407</v>
      </c>
      <c r="Q3" s="2">
        <v>6.35</v>
      </c>
      <c r="R3" s="2">
        <v>0</v>
      </c>
      <c r="S3" s="2">
        <v>0</v>
      </c>
      <c r="T3" t="s">
        <v>6408</v>
      </c>
      <c r="U3" s="6">
        <v>36535</v>
      </c>
      <c r="V3" s="2">
        <v>47037017800</v>
      </c>
      <c r="W3" s="2" t="s">
        <v>68</v>
      </c>
      <c r="X3" s="1">
        <v>45658</v>
      </c>
      <c r="Y3" s="2">
        <v>1625800</v>
      </c>
      <c r="Z3" s="2">
        <v>0</v>
      </c>
      <c r="AA3" s="2">
        <v>1625800</v>
      </c>
    </row>
    <row r="4" spans="1:27" x14ac:dyDescent="0.3">
      <c r="A4" s="3">
        <v>25</v>
      </c>
      <c r="B4" s="2" t="str">
        <f>"11715000400"</f>
        <v>11715000400</v>
      </c>
      <c r="C4" s="2" t="s">
        <v>6409</v>
      </c>
      <c r="D4" t="s">
        <v>29</v>
      </c>
      <c r="E4" s="2" t="s">
        <v>30</v>
      </c>
      <c r="F4" s="2">
        <v>37215</v>
      </c>
      <c r="G4" s="2" t="s">
        <v>2490</v>
      </c>
      <c r="H4" t="s">
        <v>176</v>
      </c>
      <c r="I4" s="6">
        <v>29532</v>
      </c>
      <c r="J4" s="2" t="s">
        <v>6410</v>
      </c>
      <c r="K4" s="2" t="s">
        <v>34</v>
      </c>
      <c r="L4" t="s">
        <v>178</v>
      </c>
      <c r="M4" t="s">
        <v>29</v>
      </c>
      <c r="N4" t="s">
        <v>30</v>
      </c>
      <c r="O4">
        <v>37246</v>
      </c>
      <c r="P4" t="s">
        <v>6411</v>
      </c>
      <c r="Q4" s="2">
        <v>0.38</v>
      </c>
      <c r="R4" s="2">
        <v>20</v>
      </c>
      <c r="S4" s="2">
        <v>310</v>
      </c>
      <c r="T4" t="s">
        <v>6412</v>
      </c>
      <c r="U4" s="6">
        <v>29532</v>
      </c>
      <c r="V4" s="2">
        <v>47037017800</v>
      </c>
      <c r="W4" s="2" t="s">
        <v>68</v>
      </c>
      <c r="X4" s="1">
        <v>45658</v>
      </c>
      <c r="Y4" s="2">
        <v>1452100</v>
      </c>
      <c r="Z4" s="2">
        <v>44700</v>
      </c>
      <c r="AA4" s="2">
        <v>1407400</v>
      </c>
    </row>
    <row r="5" spans="1:27" x14ac:dyDescent="0.3">
      <c r="A5" s="3">
        <v>25</v>
      </c>
      <c r="B5" s="2" t="str">
        <f>"11714012600"</f>
        <v>11714012600</v>
      </c>
      <c r="C5" s="2" t="s">
        <v>6413</v>
      </c>
      <c r="D5" t="s">
        <v>29</v>
      </c>
      <c r="E5" s="2" t="s">
        <v>30</v>
      </c>
      <c r="F5" s="2">
        <v>37215</v>
      </c>
      <c r="G5" s="2" t="s">
        <v>41</v>
      </c>
      <c r="H5" t="s">
        <v>176</v>
      </c>
      <c r="I5" s="6">
        <v>25373</v>
      </c>
      <c r="J5" s="2" t="s">
        <v>6414</v>
      </c>
      <c r="K5" s="2" t="s">
        <v>34</v>
      </c>
      <c r="L5" t="s">
        <v>178</v>
      </c>
      <c r="M5" t="s">
        <v>29</v>
      </c>
      <c r="N5" t="s">
        <v>30</v>
      </c>
      <c r="O5">
        <v>37246</v>
      </c>
      <c r="P5" t="s">
        <v>6415</v>
      </c>
      <c r="Q5" s="2">
        <v>0.61</v>
      </c>
      <c r="R5" s="2">
        <v>90</v>
      </c>
      <c r="S5" s="2">
        <v>292</v>
      </c>
      <c r="T5" t="s">
        <v>6414</v>
      </c>
      <c r="U5" s="6">
        <v>25373</v>
      </c>
      <c r="V5" s="2">
        <v>47037017901</v>
      </c>
      <c r="W5" s="2" t="s">
        <v>68</v>
      </c>
      <c r="X5" s="1">
        <v>45658</v>
      </c>
      <c r="Y5" s="2">
        <v>4782800</v>
      </c>
      <c r="Z5" s="2">
        <v>0</v>
      </c>
      <c r="AA5" s="2">
        <v>4782800</v>
      </c>
    </row>
    <row r="6" spans="1:27" x14ac:dyDescent="0.3">
      <c r="A6" s="3">
        <v>25</v>
      </c>
      <c r="B6" s="2" t="str">
        <f>"11714012700"</f>
        <v>11714012700</v>
      </c>
      <c r="C6" s="2" t="s">
        <v>6416</v>
      </c>
      <c r="D6" t="s">
        <v>29</v>
      </c>
      <c r="E6" s="2" t="s">
        <v>30</v>
      </c>
      <c r="F6" s="2">
        <v>37215</v>
      </c>
      <c r="G6" s="2" t="s">
        <v>152</v>
      </c>
      <c r="H6" t="s">
        <v>176</v>
      </c>
      <c r="I6" s="6">
        <v>25373</v>
      </c>
      <c r="J6" s="2" t="s">
        <v>6417</v>
      </c>
      <c r="K6" s="2" t="s">
        <v>34</v>
      </c>
      <c r="L6" t="s">
        <v>178</v>
      </c>
      <c r="M6" t="s">
        <v>29</v>
      </c>
      <c r="N6" t="s">
        <v>30</v>
      </c>
      <c r="O6">
        <v>37246</v>
      </c>
      <c r="P6" t="s">
        <v>6418</v>
      </c>
      <c r="Q6" s="2">
        <v>0.61</v>
      </c>
      <c r="R6" s="2">
        <v>90</v>
      </c>
      <c r="S6" s="2">
        <v>292</v>
      </c>
      <c r="T6" t="s">
        <v>6417</v>
      </c>
      <c r="U6" s="6">
        <v>25373</v>
      </c>
      <c r="V6" s="2">
        <v>47037017901</v>
      </c>
      <c r="W6" s="2" t="s">
        <v>68</v>
      </c>
      <c r="X6" s="1">
        <v>45658</v>
      </c>
      <c r="Y6" s="2">
        <v>4782800</v>
      </c>
      <c r="Z6" s="2">
        <v>0</v>
      </c>
      <c r="AA6" s="2">
        <v>4782800</v>
      </c>
    </row>
    <row r="7" spans="1:27" x14ac:dyDescent="0.3">
      <c r="A7" s="3">
        <v>25</v>
      </c>
      <c r="B7" s="2" t="str">
        <f>"13201021200"</f>
        <v>13201021200</v>
      </c>
      <c r="C7" s="2" t="s">
        <v>6419</v>
      </c>
      <c r="D7" t="s">
        <v>29</v>
      </c>
      <c r="E7" s="2" t="s">
        <v>30</v>
      </c>
      <c r="F7" s="2">
        <v>37204</v>
      </c>
      <c r="G7" s="2" t="s">
        <v>152</v>
      </c>
      <c r="H7" t="s">
        <v>176</v>
      </c>
      <c r="I7" s="6">
        <v>18162</v>
      </c>
      <c r="J7" s="2" t="s">
        <v>6420</v>
      </c>
      <c r="K7" s="2" t="s">
        <v>34</v>
      </c>
      <c r="L7" t="s">
        <v>178</v>
      </c>
      <c r="M7" t="s">
        <v>29</v>
      </c>
      <c r="N7" t="s">
        <v>30</v>
      </c>
      <c r="O7">
        <v>37246</v>
      </c>
      <c r="P7" t="s">
        <v>6421</v>
      </c>
      <c r="Q7" s="2">
        <v>0.83</v>
      </c>
      <c r="R7" s="2">
        <v>115</v>
      </c>
      <c r="S7" s="2">
        <v>294</v>
      </c>
      <c r="T7" t="s">
        <v>6422</v>
      </c>
      <c r="U7" s="6">
        <v>36077</v>
      </c>
      <c r="V7" s="2">
        <v>47037017701</v>
      </c>
      <c r="W7" s="2" t="s">
        <v>68</v>
      </c>
      <c r="X7" s="1">
        <v>45658</v>
      </c>
      <c r="Y7" s="2">
        <v>552500</v>
      </c>
      <c r="Z7" s="2">
        <v>0</v>
      </c>
      <c r="AA7" s="2">
        <v>552500</v>
      </c>
    </row>
    <row r="8" spans="1:27" x14ac:dyDescent="0.3">
      <c r="A8" s="3">
        <v>25</v>
      </c>
      <c r="B8" s="2" t="str">
        <f>"13201003400"</f>
        <v>13201003400</v>
      </c>
      <c r="C8" s="2" t="s">
        <v>6423</v>
      </c>
      <c r="D8" t="s">
        <v>29</v>
      </c>
      <c r="E8" s="2" t="s">
        <v>30</v>
      </c>
      <c r="F8" s="2">
        <v>37204</v>
      </c>
      <c r="G8" s="2" t="s">
        <v>152</v>
      </c>
      <c r="H8" t="s">
        <v>176</v>
      </c>
      <c r="I8" s="6">
        <v>18162</v>
      </c>
      <c r="J8" s="2" t="s">
        <v>6420</v>
      </c>
      <c r="K8" s="2" t="s">
        <v>34</v>
      </c>
      <c r="L8" t="s">
        <v>178</v>
      </c>
      <c r="M8" t="s">
        <v>29</v>
      </c>
      <c r="N8" t="s">
        <v>30</v>
      </c>
      <c r="O8">
        <v>37246</v>
      </c>
      <c r="P8" t="s">
        <v>6424</v>
      </c>
      <c r="Q8" s="2">
        <v>0.87</v>
      </c>
      <c r="R8" s="2">
        <v>110</v>
      </c>
      <c r="S8" s="2">
        <v>297</v>
      </c>
      <c r="T8" t="s">
        <v>6422</v>
      </c>
      <c r="U8" s="6">
        <v>36077</v>
      </c>
      <c r="V8" s="2">
        <v>47037017701</v>
      </c>
      <c r="W8" s="2" t="s">
        <v>68</v>
      </c>
      <c r="X8" s="1">
        <v>45658</v>
      </c>
      <c r="Y8" s="2">
        <v>552500</v>
      </c>
      <c r="Z8" s="2">
        <v>0</v>
      </c>
      <c r="AA8" s="2">
        <v>552500</v>
      </c>
    </row>
    <row r="9" spans="1:27" x14ac:dyDescent="0.3">
      <c r="A9" s="3">
        <v>25</v>
      </c>
      <c r="B9" s="2" t="str">
        <f>"13207001800"</f>
        <v>13207001800</v>
      </c>
      <c r="C9" s="2" t="s">
        <v>6425</v>
      </c>
      <c r="D9" t="s">
        <v>29</v>
      </c>
      <c r="E9" s="2" t="s">
        <v>30</v>
      </c>
      <c r="F9" s="2">
        <v>37204</v>
      </c>
      <c r="G9" s="2" t="s">
        <v>152</v>
      </c>
      <c r="H9" t="s">
        <v>176</v>
      </c>
      <c r="I9" s="6">
        <v>20200</v>
      </c>
      <c r="J9" s="2" t="s">
        <v>6426</v>
      </c>
      <c r="K9" s="2" t="s">
        <v>34</v>
      </c>
      <c r="L9" t="s">
        <v>178</v>
      </c>
      <c r="M9" t="s">
        <v>29</v>
      </c>
      <c r="N9" t="s">
        <v>30</v>
      </c>
      <c r="O9">
        <v>37246</v>
      </c>
      <c r="P9" t="s">
        <v>6427</v>
      </c>
      <c r="Q9" s="2">
        <v>0.21</v>
      </c>
      <c r="R9" s="2">
        <v>65</v>
      </c>
      <c r="S9" s="2">
        <v>153</v>
      </c>
      <c r="T9" t="s">
        <v>6428</v>
      </c>
      <c r="U9" s="6">
        <v>39739</v>
      </c>
      <c r="V9" s="2">
        <v>47037017701</v>
      </c>
      <c r="W9" s="2" t="s">
        <v>6429</v>
      </c>
      <c r="X9" s="1">
        <v>45658</v>
      </c>
      <c r="Y9" s="2">
        <v>4400</v>
      </c>
      <c r="Z9" s="2">
        <v>0</v>
      </c>
      <c r="AA9" s="2">
        <v>4400</v>
      </c>
    </row>
    <row r="10" spans="1:27" x14ac:dyDescent="0.3">
      <c r="A10" s="3">
        <v>25</v>
      </c>
      <c r="B10" s="2" t="str">
        <f>"13209000300"</f>
        <v>13209000300</v>
      </c>
      <c r="C10" s="2" t="s">
        <v>6430</v>
      </c>
      <c r="D10" t="s">
        <v>29</v>
      </c>
      <c r="E10" s="2" t="s">
        <v>30</v>
      </c>
      <c r="F10" s="2">
        <v>37204</v>
      </c>
      <c r="G10" s="2" t="s">
        <v>152</v>
      </c>
      <c r="H10" t="s">
        <v>176</v>
      </c>
      <c r="I10" s="6">
        <v>20431</v>
      </c>
      <c r="J10" s="2" t="s">
        <v>6431</v>
      </c>
      <c r="K10" s="2" t="s">
        <v>34</v>
      </c>
      <c r="L10" t="s">
        <v>178</v>
      </c>
      <c r="M10" t="s">
        <v>29</v>
      </c>
      <c r="N10" t="s">
        <v>30</v>
      </c>
      <c r="O10">
        <v>37246</v>
      </c>
      <c r="P10" t="s">
        <v>6432</v>
      </c>
      <c r="Q10" s="2">
        <v>0.31</v>
      </c>
      <c r="R10" s="2">
        <v>98</v>
      </c>
      <c r="S10" s="2">
        <v>130</v>
      </c>
      <c r="T10" t="s">
        <v>6431</v>
      </c>
      <c r="U10" s="6">
        <v>20431</v>
      </c>
      <c r="V10" s="2">
        <v>47037017702</v>
      </c>
      <c r="W10" s="2" t="s">
        <v>68</v>
      </c>
      <c r="X10" s="1">
        <v>45658</v>
      </c>
      <c r="Y10" s="2">
        <v>425000</v>
      </c>
      <c r="Z10" s="2">
        <v>0</v>
      </c>
      <c r="AA10" s="2">
        <v>425000</v>
      </c>
    </row>
    <row r="11" spans="1:27" x14ac:dyDescent="0.3">
      <c r="A11" s="3">
        <v>25</v>
      </c>
      <c r="B11" s="2" t="str">
        <f>"13103022700"</f>
        <v>13103022700</v>
      </c>
      <c r="C11" s="2" t="s">
        <v>6433</v>
      </c>
      <c r="D11" t="s">
        <v>29</v>
      </c>
      <c r="E11" s="2" t="s">
        <v>30</v>
      </c>
      <c r="F11" s="2">
        <v>37215</v>
      </c>
      <c r="G11" s="2" t="s">
        <v>152</v>
      </c>
      <c r="H11" t="s">
        <v>176</v>
      </c>
      <c r="I11" s="6">
        <v>20269</v>
      </c>
      <c r="J11" s="2" t="s">
        <v>6434</v>
      </c>
      <c r="K11" s="2" t="s">
        <v>34</v>
      </c>
      <c r="L11" t="s">
        <v>178</v>
      </c>
      <c r="M11" t="s">
        <v>29</v>
      </c>
      <c r="N11" t="s">
        <v>30</v>
      </c>
      <c r="O11">
        <v>37246</v>
      </c>
      <c r="P11" t="s">
        <v>6435</v>
      </c>
      <c r="Q11" s="2">
        <v>2.15</v>
      </c>
      <c r="R11" s="2">
        <v>235</v>
      </c>
      <c r="S11" s="2">
        <v>375</v>
      </c>
      <c r="T11" t="s">
        <v>6434</v>
      </c>
      <c r="U11" s="6">
        <v>20269</v>
      </c>
      <c r="V11" s="2">
        <v>47037017702</v>
      </c>
      <c r="W11" s="2" t="s">
        <v>68</v>
      </c>
      <c r="X11" s="1">
        <v>45658</v>
      </c>
      <c r="Y11" s="2">
        <v>959500</v>
      </c>
      <c r="Z11" s="2">
        <v>0</v>
      </c>
      <c r="AA11" s="2">
        <v>959500</v>
      </c>
    </row>
    <row r="12" spans="1:27" x14ac:dyDescent="0.3">
      <c r="A12" s="3">
        <v>25</v>
      </c>
      <c r="B12" s="2" t="str">
        <f>"13107011000"</f>
        <v>13107011000</v>
      </c>
      <c r="C12" s="2" t="s">
        <v>6436</v>
      </c>
      <c r="D12" t="s">
        <v>29</v>
      </c>
      <c r="E12" s="2" t="s">
        <v>30</v>
      </c>
      <c r="F12" s="2">
        <v>37215</v>
      </c>
      <c r="G12" s="2" t="s">
        <v>200</v>
      </c>
      <c r="H12" t="s">
        <v>6437</v>
      </c>
      <c r="I12" s="6">
        <v>24329</v>
      </c>
      <c r="J12" s="2" t="s">
        <v>6438</v>
      </c>
      <c r="K12" s="2" t="s">
        <v>34</v>
      </c>
      <c r="L12" t="s">
        <v>35</v>
      </c>
      <c r="M12" t="s">
        <v>29</v>
      </c>
      <c r="N12" t="s">
        <v>30</v>
      </c>
      <c r="O12">
        <v>37219</v>
      </c>
      <c r="P12" t="s">
        <v>6439</v>
      </c>
      <c r="Q12" s="2">
        <v>13.9</v>
      </c>
      <c r="R12" s="2">
        <v>0</v>
      </c>
      <c r="S12" s="2">
        <v>0</v>
      </c>
      <c r="T12" t="s">
        <v>6438</v>
      </c>
      <c r="U12" s="6">
        <v>24329</v>
      </c>
      <c r="V12" s="2">
        <v>47037017702</v>
      </c>
      <c r="W12" s="2" t="s">
        <v>68</v>
      </c>
      <c r="X12" s="1">
        <v>45658</v>
      </c>
      <c r="Y12" s="2">
        <v>2702800</v>
      </c>
      <c r="Z12" s="2">
        <v>0</v>
      </c>
      <c r="AA12" s="2">
        <v>2702800</v>
      </c>
    </row>
    <row r="13" spans="1:27" x14ac:dyDescent="0.3">
      <c r="A13" s="3">
        <v>25</v>
      </c>
      <c r="B13" s="2" t="str">
        <f>"11810008900"</f>
        <v>11810008900</v>
      </c>
      <c r="C13" s="2" t="s">
        <v>6440</v>
      </c>
      <c r="D13" t="s">
        <v>29</v>
      </c>
      <c r="E13" s="2" t="s">
        <v>30</v>
      </c>
      <c r="F13" s="2">
        <v>37204</v>
      </c>
      <c r="G13" s="2" t="s">
        <v>64</v>
      </c>
      <c r="H13" t="s">
        <v>211</v>
      </c>
      <c r="I13" s="6">
        <v>40949</v>
      </c>
      <c r="J13" s="2" t="s">
        <v>6441</v>
      </c>
      <c r="K13" s="2">
        <v>0</v>
      </c>
      <c r="L13" t="s">
        <v>35</v>
      </c>
      <c r="M13" t="s">
        <v>29</v>
      </c>
      <c r="N13" t="s">
        <v>30</v>
      </c>
      <c r="O13">
        <v>37219</v>
      </c>
      <c r="P13" t="s">
        <v>6442</v>
      </c>
      <c r="Q13" s="2">
        <v>0.69</v>
      </c>
      <c r="R13" s="2">
        <v>153</v>
      </c>
      <c r="S13" s="2">
        <v>194</v>
      </c>
      <c r="T13" t="s">
        <v>62</v>
      </c>
      <c r="U13" s="6">
        <v>38353</v>
      </c>
      <c r="V13" s="2">
        <v>47037017800</v>
      </c>
      <c r="W13" s="2" t="s">
        <v>68</v>
      </c>
      <c r="X13" s="1">
        <v>45658</v>
      </c>
      <c r="Y13" s="2">
        <v>322000</v>
      </c>
      <c r="Z13" s="2">
        <v>0</v>
      </c>
      <c r="AA13" s="2">
        <v>322000</v>
      </c>
    </row>
    <row r="14" spans="1:27" x14ac:dyDescent="0.3">
      <c r="A14" s="3">
        <v>25</v>
      </c>
      <c r="B14" s="2" t="str">
        <f>"11810003200"</f>
        <v>11810003200</v>
      </c>
      <c r="C14" s="2" t="s">
        <v>6443</v>
      </c>
      <c r="D14" t="s">
        <v>29</v>
      </c>
      <c r="E14" s="2" t="s">
        <v>30</v>
      </c>
      <c r="F14" s="2">
        <v>37204</v>
      </c>
      <c r="G14" s="2" t="s">
        <v>64</v>
      </c>
      <c r="H14" t="s">
        <v>211</v>
      </c>
      <c r="I14" s="6">
        <v>40956</v>
      </c>
      <c r="J14" s="2" t="s">
        <v>6444</v>
      </c>
      <c r="K14" s="2">
        <v>0</v>
      </c>
      <c r="L14" t="s">
        <v>35</v>
      </c>
      <c r="M14" t="s">
        <v>29</v>
      </c>
      <c r="N14" t="s">
        <v>30</v>
      </c>
      <c r="O14">
        <v>37219</v>
      </c>
      <c r="P14" t="s">
        <v>6445</v>
      </c>
      <c r="Q14" s="2">
        <v>0.26</v>
      </c>
      <c r="R14" s="2">
        <v>70</v>
      </c>
      <c r="S14" s="2">
        <v>140</v>
      </c>
      <c r="T14" t="s">
        <v>6446</v>
      </c>
      <c r="U14" s="6">
        <v>26525</v>
      </c>
      <c r="V14" s="2">
        <v>47037017800</v>
      </c>
      <c r="W14" s="2" t="s">
        <v>68</v>
      </c>
      <c r="X14" s="1">
        <v>45658</v>
      </c>
      <c r="Y14" s="2">
        <v>280000</v>
      </c>
      <c r="Z14" s="2">
        <v>0</v>
      </c>
      <c r="AA14" s="2">
        <v>280000</v>
      </c>
    </row>
    <row r="15" spans="1:27" x14ac:dyDescent="0.3">
      <c r="A15" s="3">
        <v>25</v>
      </c>
      <c r="B15" s="2" t="str">
        <f>"11810003100"</f>
        <v>11810003100</v>
      </c>
      <c r="C15" s="2" t="s">
        <v>6447</v>
      </c>
      <c r="D15" t="s">
        <v>29</v>
      </c>
      <c r="E15" s="2" t="s">
        <v>30</v>
      </c>
      <c r="F15" s="2">
        <v>37204</v>
      </c>
      <c r="G15" s="2" t="s">
        <v>64</v>
      </c>
      <c r="H15" t="s">
        <v>211</v>
      </c>
      <c r="I15" s="6">
        <v>40899</v>
      </c>
      <c r="J15" s="2" t="s">
        <v>6448</v>
      </c>
      <c r="K15" s="2">
        <v>0</v>
      </c>
      <c r="L15" t="s">
        <v>35</v>
      </c>
      <c r="M15" t="s">
        <v>29</v>
      </c>
      <c r="N15" t="s">
        <v>30</v>
      </c>
      <c r="O15">
        <v>37219</v>
      </c>
      <c r="P15" t="s">
        <v>6449</v>
      </c>
      <c r="Q15" s="2">
        <v>0.18</v>
      </c>
      <c r="R15" s="2">
        <v>60</v>
      </c>
      <c r="S15" s="2">
        <v>140</v>
      </c>
      <c r="T15" t="s">
        <v>6450</v>
      </c>
      <c r="U15" s="6">
        <v>26968</v>
      </c>
      <c r="V15" s="2">
        <v>47037017800</v>
      </c>
      <c r="W15" s="2" t="s">
        <v>68</v>
      </c>
      <c r="X15" s="1">
        <v>45658</v>
      </c>
      <c r="Y15" s="2">
        <v>224000</v>
      </c>
      <c r="Z15" s="2">
        <v>0</v>
      </c>
      <c r="AA15" s="2">
        <v>224000</v>
      </c>
    </row>
    <row r="16" spans="1:27" x14ac:dyDescent="0.3">
      <c r="A16" s="3">
        <v>25</v>
      </c>
      <c r="B16" s="2" t="str">
        <f>"11810003000"</f>
        <v>11810003000</v>
      </c>
      <c r="C16" s="2" t="s">
        <v>6451</v>
      </c>
      <c r="D16" t="s">
        <v>29</v>
      </c>
      <c r="E16" s="2" t="s">
        <v>30</v>
      </c>
      <c r="F16" s="2">
        <v>37204</v>
      </c>
      <c r="G16" s="2" t="s">
        <v>64</v>
      </c>
      <c r="H16" t="s">
        <v>211</v>
      </c>
      <c r="I16" s="6">
        <v>40897</v>
      </c>
      <c r="J16" s="2" t="s">
        <v>6452</v>
      </c>
      <c r="K16" s="2">
        <v>0</v>
      </c>
      <c r="L16" t="s">
        <v>35</v>
      </c>
      <c r="M16" t="s">
        <v>29</v>
      </c>
      <c r="N16" t="s">
        <v>30</v>
      </c>
      <c r="O16">
        <v>37219</v>
      </c>
      <c r="P16" t="s">
        <v>6453</v>
      </c>
      <c r="Q16" s="2">
        <v>0.17</v>
      </c>
      <c r="R16" s="2">
        <v>60</v>
      </c>
      <c r="S16" s="2">
        <v>120</v>
      </c>
      <c r="T16" t="s">
        <v>6454</v>
      </c>
      <c r="U16" s="6">
        <v>27044</v>
      </c>
      <c r="V16" s="2">
        <v>47037017800</v>
      </c>
      <c r="W16" s="2" t="s">
        <v>68</v>
      </c>
      <c r="X16" s="1">
        <v>45658</v>
      </c>
      <c r="Y16" s="2">
        <v>224000</v>
      </c>
      <c r="Z16" s="2">
        <v>0</v>
      </c>
      <c r="AA16" s="2">
        <v>224000</v>
      </c>
    </row>
    <row r="17" spans="1:27" x14ac:dyDescent="0.3">
      <c r="A17" s="3">
        <v>25</v>
      </c>
      <c r="B17" s="2" t="str">
        <f>"11810002900"</f>
        <v>11810002900</v>
      </c>
      <c r="C17" s="2" t="s">
        <v>6455</v>
      </c>
      <c r="D17" t="s">
        <v>29</v>
      </c>
      <c r="E17" s="2" t="s">
        <v>30</v>
      </c>
      <c r="F17" s="2">
        <v>37204</v>
      </c>
      <c r="G17" s="2" t="s">
        <v>64</v>
      </c>
      <c r="H17" t="s">
        <v>211</v>
      </c>
      <c r="I17" s="6">
        <v>40935</v>
      </c>
      <c r="J17" s="2" t="s">
        <v>6456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6457</v>
      </c>
      <c r="Q17" s="2">
        <v>0.2</v>
      </c>
      <c r="R17" s="2">
        <v>60</v>
      </c>
      <c r="S17" s="2">
        <v>102</v>
      </c>
      <c r="T17" t="s">
        <v>6458</v>
      </c>
      <c r="U17" s="6">
        <v>27272</v>
      </c>
      <c r="V17" s="2">
        <v>47037017800</v>
      </c>
      <c r="W17" s="2" t="s">
        <v>68</v>
      </c>
      <c r="X17" s="1">
        <v>45658</v>
      </c>
      <c r="Y17" s="2">
        <v>224000</v>
      </c>
      <c r="Z17" s="2">
        <v>0</v>
      </c>
      <c r="AA17" s="2">
        <v>224000</v>
      </c>
    </row>
    <row r="18" spans="1:27" x14ac:dyDescent="0.3">
      <c r="A18" s="3">
        <v>25</v>
      </c>
      <c r="B18" s="2" t="str">
        <f>"11810002800"</f>
        <v>11810002800</v>
      </c>
      <c r="C18" s="2" t="s">
        <v>6459</v>
      </c>
      <c r="D18" t="s">
        <v>29</v>
      </c>
      <c r="E18" s="2" t="s">
        <v>30</v>
      </c>
      <c r="F18" s="2">
        <v>37204</v>
      </c>
      <c r="G18" s="2" t="s">
        <v>64</v>
      </c>
      <c r="H18" t="s">
        <v>211</v>
      </c>
      <c r="I18" s="6">
        <v>40935</v>
      </c>
      <c r="J18" s="2" t="s">
        <v>6460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6461</v>
      </c>
      <c r="Q18" s="2">
        <v>0.09</v>
      </c>
      <c r="R18" s="2">
        <v>90</v>
      </c>
      <c r="S18" s="2">
        <v>120</v>
      </c>
      <c r="T18" t="s">
        <v>6462</v>
      </c>
      <c r="U18" s="6">
        <v>16649</v>
      </c>
      <c r="V18" s="2">
        <v>47037017800</v>
      </c>
      <c r="W18" s="2" t="s">
        <v>68</v>
      </c>
      <c r="X18" s="1">
        <v>45658</v>
      </c>
      <c r="Y18" s="2">
        <v>22400</v>
      </c>
      <c r="Z18" s="2">
        <v>0</v>
      </c>
      <c r="AA18" s="2">
        <v>22400</v>
      </c>
    </row>
    <row r="19" spans="1:27" x14ac:dyDescent="0.3">
      <c r="A19" s="3">
        <v>25</v>
      </c>
      <c r="B19" s="2" t="str">
        <f>"11810008200"</f>
        <v>11810008200</v>
      </c>
      <c r="C19" s="2" t="s">
        <v>6463</v>
      </c>
      <c r="D19" t="s">
        <v>29</v>
      </c>
      <c r="E19" s="2" t="s">
        <v>30</v>
      </c>
      <c r="F19" s="2">
        <v>37204</v>
      </c>
      <c r="G19" s="2" t="s">
        <v>64</v>
      </c>
      <c r="H19" t="s">
        <v>211</v>
      </c>
      <c r="I19" s="6">
        <v>40905</v>
      </c>
      <c r="J19" s="2" t="s">
        <v>6464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6465</v>
      </c>
      <c r="Q19" s="2">
        <v>0.5</v>
      </c>
      <c r="R19" s="2">
        <v>90</v>
      </c>
      <c r="S19" s="2">
        <v>252</v>
      </c>
      <c r="T19" t="s">
        <v>6466</v>
      </c>
      <c r="U19" s="6">
        <v>26383</v>
      </c>
      <c r="V19" s="2">
        <v>47037017800</v>
      </c>
      <c r="W19" s="2" t="s">
        <v>68</v>
      </c>
      <c r="X19" s="1">
        <v>45658</v>
      </c>
      <c r="Y19" s="2">
        <v>294000</v>
      </c>
      <c r="Z19" s="2">
        <v>0</v>
      </c>
      <c r="AA19" s="2">
        <v>294000</v>
      </c>
    </row>
    <row r="20" spans="1:27" x14ac:dyDescent="0.3">
      <c r="A20" s="3">
        <v>25</v>
      </c>
      <c r="B20" s="2" t="str">
        <f>"11810008300"</f>
        <v>11810008300</v>
      </c>
      <c r="C20" s="2" t="s">
        <v>6467</v>
      </c>
      <c r="D20" t="s">
        <v>29</v>
      </c>
      <c r="E20" s="2" t="s">
        <v>30</v>
      </c>
      <c r="F20" s="2">
        <v>37204</v>
      </c>
      <c r="G20" s="2" t="s">
        <v>64</v>
      </c>
      <c r="H20" t="s">
        <v>211</v>
      </c>
      <c r="I20" s="6">
        <v>40905</v>
      </c>
      <c r="J20" s="2" t="s">
        <v>6468</v>
      </c>
      <c r="K20" s="2">
        <v>0</v>
      </c>
      <c r="L20" t="s">
        <v>35</v>
      </c>
      <c r="M20" t="s">
        <v>29</v>
      </c>
      <c r="N20" t="s">
        <v>30</v>
      </c>
      <c r="O20">
        <v>37219</v>
      </c>
      <c r="P20" t="s">
        <v>6469</v>
      </c>
      <c r="Q20" s="2">
        <v>0.34</v>
      </c>
      <c r="R20" s="2">
        <v>60</v>
      </c>
      <c r="S20" s="2">
        <v>248</v>
      </c>
      <c r="T20" t="s">
        <v>6470</v>
      </c>
      <c r="U20" s="6">
        <v>26960</v>
      </c>
      <c r="V20" s="2">
        <v>47037017800</v>
      </c>
      <c r="W20" s="2" t="s">
        <v>68</v>
      </c>
      <c r="X20" s="1">
        <v>45658</v>
      </c>
      <c r="Y20" s="2">
        <v>280000</v>
      </c>
      <c r="Z20" s="2">
        <v>0</v>
      </c>
      <c r="AA20" s="2">
        <v>280000</v>
      </c>
    </row>
    <row r="21" spans="1:27" x14ac:dyDescent="0.3">
      <c r="A21" s="3">
        <v>25</v>
      </c>
      <c r="B21" s="2" t="str">
        <f>"11810008400"</f>
        <v>11810008400</v>
      </c>
      <c r="C21" s="2" t="s">
        <v>6471</v>
      </c>
      <c r="D21" t="s">
        <v>29</v>
      </c>
      <c r="E21" s="2" t="s">
        <v>30</v>
      </c>
      <c r="F21" s="2">
        <v>37204</v>
      </c>
      <c r="G21" s="2" t="s">
        <v>64</v>
      </c>
      <c r="H21" t="s">
        <v>211</v>
      </c>
      <c r="I21" s="6">
        <v>40952</v>
      </c>
      <c r="J21" s="2" t="s">
        <v>6472</v>
      </c>
      <c r="K21" s="2">
        <v>0</v>
      </c>
      <c r="L21" t="s">
        <v>35</v>
      </c>
      <c r="M21" t="s">
        <v>29</v>
      </c>
      <c r="N21" t="s">
        <v>30</v>
      </c>
      <c r="O21">
        <v>37219</v>
      </c>
      <c r="P21" t="s">
        <v>6473</v>
      </c>
      <c r="Q21" s="2">
        <v>0.34</v>
      </c>
      <c r="R21" s="2">
        <v>60</v>
      </c>
      <c r="S21" s="2">
        <v>246</v>
      </c>
      <c r="T21" t="s">
        <v>6474</v>
      </c>
      <c r="U21" s="6">
        <v>23160</v>
      </c>
      <c r="V21" s="2">
        <v>47037017800</v>
      </c>
      <c r="W21" s="2" t="s">
        <v>68</v>
      </c>
      <c r="X21" s="1">
        <v>45658</v>
      </c>
      <c r="Y21" s="2">
        <v>280000</v>
      </c>
      <c r="Z21" s="2">
        <v>0</v>
      </c>
      <c r="AA21" s="2">
        <v>280000</v>
      </c>
    </row>
    <row r="22" spans="1:27" x14ac:dyDescent="0.3">
      <c r="A22" s="3">
        <v>25</v>
      </c>
      <c r="B22" s="2" t="str">
        <f>"11810008500"</f>
        <v>11810008500</v>
      </c>
      <c r="C22" s="2" t="s">
        <v>6475</v>
      </c>
      <c r="D22" t="s">
        <v>29</v>
      </c>
      <c r="E22" s="2" t="s">
        <v>30</v>
      </c>
      <c r="F22" s="2">
        <v>37204</v>
      </c>
      <c r="G22" s="2" t="s">
        <v>64</v>
      </c>
      <c r="H22" t="s">
        <v>211</v>
      </c>
      <c r="I22" s="6">
        <v>41005</v>
      </c>
      <c r="J22" s="2" t="s">
        <v>6476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6477</v>
      </c>
      <c r="Q22" s="2">
        <v>0.34</v>
      </c>
      <c r="R22" s="2">
        <v>60</v>
      </c>
      <c r="S22" s="2">
        <v>244</v>
      </c>
      <c r="T22" t="s">
        <v>6478</v>
      </c>
      <c r="U22" s="6">
        <v>19043</v>
      </c>
      <c r="V22" s="2">
        <v>47037017800</v>
      </c>
      <c r="W22" s="2" t="s">
        <v>68</v>
      </c>
      <c r="X22" s="1">
        <v>45658</v>
      </c>
      <c r="Y22" s="2">
        <v>280000</v>
      </c>
      <c r="Z22" s="2">
        <v>0</v>
      </c>
      <c r="AA22" s="2">
        <v>280000</v>
      </c>
    </row>
    <row r="23" spans="1:27" x14ac:dyDescent="0.3">
      <c r="A23" s="3">
        <v>25</v>
      </c>
      <c r="B23" s="2" t="str">
        <f>"11810008600"</f>
        <v>11810008600</v>
      </c>
      <c r="C23" s="2" t="s">
        <v>6479</v>
      </c>
      <c r="D23" t="s">
        <v>29</v>
      </c>
      <c r="E23" s="2" t="s">
        <v>30</v>
      </c>
      <c r="F23" s="2">
        <v>37204</v>
      </c>
      <c r="G23" s="2" t="s">
        <v>64</v>
      </c>
      <c r="H23" t="s">
        <v>211</v>
      </c>
      <c r="I23" s="6">
        <v>40897</v>
      </c>
      <c r="J23" s="2" t="s">
        <v>6480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6481</v>
      </c>
      <c r="Q23" s="2">
        <v>0.33</v>
      </c>
      <c r="R23" s="2">
        <v>60</v>
      </c>
      <c r="S23" s="2">
        <v>242</v>
      </c>
      <c r="T23" t="s">
        <v>6482</v>
      </c>
      <c r="U23" s="6">
        <v>23708</v>
      </c>
      <c r="V23" s="2">
        <v>47037017800</v>
      </c>
      <c r="W23" s="2" t="s">
        <v>68</v>
      </c>
      <c r="X23" s="1">
        <v>45658</v>
      </c>
      <c r="Y23" s="2">
        <v>280000</v>
      </c>
      <c r="Z23" s="2">
        <v>0</v>
      </c>
      <c r="AA23" s="2">
        <v>280000</v>
      </c>
    </row>
    <row r="24" spans="1:27" x14ac:dyDescent="0.3">
      <c r="A24" s="3">
        <v>25</v>
      </c>
      <c r="B24" s="2" t="str">
        <f>"11810008700"</f>
        <v>11810008700</v>
      </c>
      <c r="C24" s="2" t="s">
        <v>6483</v>
      </c>
      <c r="D24" t="s">
        <v>29</v>
      </c>
      <c r="E24" s="2" t="s">
        <v>30</v>
      </c>
      <c r="F24" s="2">
        <v>37204</v>
      </c>
      <c r="G24" s="2" t="s">
        <v>64</v>
      </c>
      <c r="H24" t="s">
        <v>211</v>
      </c>
      <c r="I24" s="6">
        <v>40889</v>
      </c>
      <c r="J24" s="2" t="s">
        <v>6484</v>
      </c>
      <c r="K24" s="2">
        <v>0</v>
      </c>
      <c r="L24" t="s">
        <v>35</v>
      </c>
      <c r="M24" t="s">
        <v>29</v>
      </c>
      <c r="N24" t="s">
        <v>30</v>
      </c>
      <c r="O24">
        <v>37219</v>
      </c>
      <c r="P24" t="s">
        <v>6485</v>
      </c>
      <c r="Q24" s="2">
        <v>0.33</v>
      </c>
      <c r="R24" s="2">
        <v>60</v>
      </c>
      <c r="S24" s="2">
        <v>239</v>
      </c>
      <c r="T24" t="s">
        <v>6486</v>
      </c>
      <c r="U24" s="6">
        <v>23643</v>
      </c>
      <c r="V24" s="2">
        <v>47037017800</v>
      </c>
      <c r="W24" s="2" t="s">
        <v>68</v>
      </c>
      <c r="X24" s="1">
        <v>45658</v>
      </c>
      <c r="Y24" s="2">
        <v>280000</v>
      </c>
      <c r="Z24" s="2">
        <v>0</v>
      </c>
      <c r="AA24" s="2">
        <v>280000</v>
      </c>
    </row>
    <row r="25" spans="1:27" x14ac:dyDescent="0.3">
      <c r="A25" s="3">
        <v>25</v>
      </c>
      <c r="B25" s="2" t="str">
        <f>"11810009000"</f>
        <v>11810009000</v>
      </c>
      <c r="C25" s="2" t="s">
        <v>6487</v>
      </c>
      <c r="D25" t="s">
        <v>29</v>
      </c>
      <c r="E25" s="2" t="s">
        <v>30</v>
      </c>
      <c r="F25" s="2">
        <v>37204</v>
      </c>
      <c r="G25" s="2" t="s">
        <v>64</v>
      </c>
      <c r="H25" t="s">
        <v>211</v>
      </c>
      <c r="I25" s="6">
        <v>40885</v>
      </c>
      <c r="J25" s="2" t="s">
        <v>6488</v>
      </c>
      <c r="K25" s="2">
        <v>0</v>
      </c>
      <c r="L25" t="s">
        <v>35</v>
      </c>
      <c r="M25" t="s">
        <v>29</v>
      </c>
      <c r="N25" t="s">
        <v>30</v>
      </c>
      <c r="O25">
        <v>37219</v>
      </c>
      <c r="P25" t="s">
        <v>6489</v>
      </c>
      <c r="Q25" s="2">
        <v>0.4</v>
      </c>
      <c r="R25" s="2">
        <v>119</v>
      </c>
      <c r="S25" s="2">
        <v>207</v>
      </c>
      <c r="T25" t="s">
        <v>6490</v>
      </c>
      <c r="U25" s="6">
        <v>19634</v>
      </c>
      <c r="V25" s="2">
        <v>47037017800</v>
      </c>
      <c r="W25" s="2" t="s">
        <v>68</v>
      </c>
      <c r="X25" s="1">
        <v>45658</v>
      </c>
      <c r="Y25" s="2">
        <v>279300</v>
      </c>
      <c r="Z25" s="2">
        <v>0</v>
      </c>
      <c r="AA25" s="2">
        <v>279300</v>
      </c>
    </row>
    <row r="26" spans="1:27" x14ac:dyDescent="0.3">
      <c r="A26" s="3">
        <v>25</v>
      </c>
      <c r="B26" s="2" t="str">
        <f>"11810010800"</f>
        <v>11810010800</v>
      </c>
      <c r="C26" s="2" t="s">
        <v>6491</v>
      </c>
      <c r="D26" t="s">
        <v>29</v>
      </c>
      <c r="E26" s="2" t="s">
        <v>30</v>
      </c>
      <c r="F26" s="2">
        <v>37204</v>
      </c>
      <c r="G26" s="2" t="s">
        <v>64</v>
      </c>
      <c r="H26" t="s">
        <v>211</v>
      </c>
      <c r="I26" s="6">
        <v>40924</v>
      </c>
      <c r="J26" s="2" t="s">
        <v>6492</v>
      </c>
      <c r="K26" s="2">
        <v>0</v>
      </c>
      <c r="L26" t="s">
        <v>35</v>
      </c>
      <c r="M26" t="s">
        <v>29</v>
      </c>
      <c r="N26" t="s">
        <v>30</v>
      </c>
      <c r="O26">
        <v>37219</v>
      </c>
      <c r="P26" t="s">
        <v>6493</v>
      </c>
      <c r="Q26" s="2">
        <v>0.28999999999999998</v>
      </c>
      <c r="R26" s="2">
        <v>70</v>
      </c>
      <c r="S26" s="2">
        <v>164</v>
      </c>
      <c r="T26" t="s">
        <v>6494</v>
      </c>
      <c r="U26" s="6">
        <v>25658</v>
      </c>
      <c r="V26" s="2">
        <v>47037017800</v>
      </c>
      <c r="W26" s="2" t="s">
        <v>68</v>
      </c>
      <c r="X26" s="1">
        <v>45658</v>
      </c>
      <c r="Y26" s="2">
        <v>280000</v>
      </c>
      <c r="Z26" s="2">
        <v>0</v>
      </c>
      <c r="AA26" s="2">
        <v>280000</v>
      </c>
    </row>
    <row r="27" spans="1:27" x14ac:dyDescent="0.3">
      <c r="A27" s="3">
        <v>25</v>
      </c>
      <c r="B27" s="2" t="str">
        <f>"11810010600"</f>
        <v>11810010600</v>
      </c>
      <c r="C27" s="2" t="s">
        <v>6495</v>
      </c>
      <c r="D27" t="s">
        <v>29</v>
      </c>
      <c r="E27" s="2" t="s">
        <v>30</v>
      </c>
      <c r="F27" s="2">
        <v>37204</v>
      </c>
      <c r="G27" s="2" t="s">
        <v>64</v>
      </c>
      <c r="H27" t="s">
        <v>211</v>
      </c>
      <c r="I27" s="6">
        <v>41009</v>
      </c>
      <c r="J27" s="2" t="s">
        <v>6496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6497</v>
      </c>
      <c r="Q27" s="2">
        <v>0.26</v>
      </c>
      <c r="R27" s="2">
        <v>75</v>
      </c>
      <c r="S27" s="2">
        <v>150</v>
      </c>
      <c r="T27" t="s">
        <v>6498</v>
      </c>
      <c r="U27" s="6">
        <v>22878</v>
      </c>
      <c r="V27" s="2">
        <v>47037017800</v>
      </c>
      <c r="W27" s="2" t="s">
        <v>68</v>
      </c>
      <c r="X27" s="1">
        <v>45658</v>
      </c>
      <c r="Y27" s="2">
        <v>280000</v>
      </c>
      <c r="Z27" s="2">
        <v>0</v>
      </c>
      <c r="AA27" s="2">
        <v>280000</v>
      </c>
    </row>
    <row r="28" spans="1:27" x14ac:dyDescent="0.3">
      <c r="A28" s="3">
        <v>25</v>
      </c>
      <c r="B28" s="2" t="str">
        <f>"11810010500"</f>
        <v>11810010500</v>
      </c>
      <c r="C28" s="2" t="s">
        <v>6499</v>
      </c>
      <c r="D28" t="s">
        <v>29</v>
      </c>
      <c r="E28" s="2" t="s">
        <v>30</v>
      </c>
      <c r="F28" s="2">
        <v>37204</v>
      </c>
      <c r="G28" s="2" t="s">
        <v>64</v>
      </c>
      <c r="H28" t="s">
        <v>211</v>
      </c>
      <c r="I28" s="6">
        <v>40897</v>
      </c>
      <c r="J28" s="2" t="s">
        <v>6500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6501</v>
      </c>
      <c r="Q28" s="2">
        <v>0.27</v>
      </c>
      <c r="R28" s="2">
        <v>67</v>
      </c>
      <c r="S28" s="2">
        <v>155</v>
      </c>
      <c r="T28" t="s">
        <v>6502</v>
      </c>
      <c r="U28" s="6">
        <v>24794</v>
      </c>
      <c r="V28" s="2">
        <v>47037017800</v>
      </c>
      <c r="W28" s="2" t="s">
        <v>68</v>
      </c>
      <c r="X28" s="1">
        <v>45658</v>
      </c>
      <c r="Y28" s="2">
        <v>280000</v>
      </c>
      <c r="Z28" s="2">
        <v>0</v>
      </c>
      <c r="AA28" s="2">
        <v>280000</v>
      </c>
    </row>
    <row r="29" spans="1:27" x14ac:dyDescent="0.3">
      <c r="A29" s="3">
        <v>25</v>
      </c>
      <c r="B29" s="2" t="str">
        <f>"11810010400"</f>
        <v>11810010400</v>
      </c>
      <c r="C29" s="2" t="s">
        <v>6503</v>
      </c>
      <c r="D29" t="s">
        <v>29</v>
      </c>
      <c r="E29" s="2" t="s">
        <v>30</v>
      </c>
      <c r="F29" s="2">
        <v>37204</v>
      </c>
      <c r="G29" s="2" t="s">
        <v>64</v>
      </c>
      <c r="H29" t="s">
        <v>211</v>
      </c>
      <c r="I29" s="6">
        <v>40949</v>
      </c>
      <c r="J29" s="2" t="s">
        <v>6504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6505</v>
      </c>
      <c r="Q29" s="2">
        <v>0.39</v>
      </c>
      <c r="R29" s="2">
        <v>57</v>
      </c>
      <c r="S29" s="2">
        <v>221</v>
      </c>
      <c r="T29" t="s">
        <v>6506</v>
      </c>
      <c r="U29" s="6">
        <v>24259</v>
      </c>
      <c r="V29" s="2">
        <v>47037017800</v>
      </c>
      <c r="W29" s="2" t="s">
        <v>68</v>
      </c>
      <c r="X29" s="1">
        <v>45658</v>
      </c>
      <c r="Y29" s="2">
        <v>280000</v>
      </c>
      <c r="Z29" s="2">
        <v>0</v>
      </c>
      <c r="AA29" s="2">
        <v>280000</v>
      </c>
    </row>
    <row r="30" spans="1:27" x14ac:dyDescent="0.3">
      <c r="A30" s="3">
        <v>25</v>
      </c>
      <c r="B30" s="2" t="str">
        <f>"11810006000"</f>
        <v>11810006000</v>
      </c>
      <c r="C30" s="2" t="s">
        <v>6507</v>
      </c>
      <c r="D30" t="s">
        <v>29</v>
      </c>
      <c r="E30" s="2" t="s">
        <v>30</v>
      </c>
      <c r="F30" s="2">
        <v>37204</v>
      </c>
      <c r="G30" s="2" t="s">
        <v>64</v>
      </c>
      <c r="H30" t="s">
        <v>211</v>
      </c>
      <c r="I30" s="6">
        <v>43116</v>
      </c>
      <c r="J30" s="2" t="s">
        <v>6508</v>
      </c>
      <c r="K30" s="2">
        <v>0</v>
      </c>
      <c r="L30" t="s">
        <v>343</v>
      </c>
      <c r="M30" t="s">
        <v>29</v>
      </c>
      <c r="N30" t="s">
        <v>30</v>
      </c>
      <c r="O30">
        <v>37201</v>
      </c>
      <c r="P30" t="s">
        <v>6509</v>
      </c>
      <c r="Q30" s="2">
        <v>1</v>
      </c>
      <c r="R30" s="2">
        <v>166</v>
      </c>
      <c r="S30" s="2">
        <v>275</v>
      </c>
      <c r="T30" t="s">
        <v>6510</v>
      </c>
      <c r="U30" s="6">
        <v>24345</v>
      </c>
      <c r="V30" s="2">
        <v>47037017800</v>
      </c>
      <c r="W30" s="2" t="s">
        <v>68</v>
      </c>
      <c r="X30" s="1">
        <v>45658</v>
      </c>
      <c r="Y30" s="2">
        <v>273700</v>
      </c>
      <c r="Z30" s="2">
        <v>0</v>
      </c>
      <c r="AA30" s="2">
        <v>273700</v>
      </c>
    </row>
    <row r="31" spans="1:27" x14ac:dyDescent="0.3">
      <c r="A31" s="3">
        <v>25</v>
      </c>
      <c r="B31" s="2" t="str">
        <f>"11810019700"</f>
        <v>11810019700</v>
      </c>
      <c r="C31" s="2" t="s">
        <v>6511</v>
      </c>
      <c r="D31" t="s">
        <v>29</v>
      </c>
      <c r="E31" s="2" t="s">
        <v>30</v>
      </c>
      <c r="F31" s="2">
        <v>37204</v>
      </c>
      <c r="G31" s="2" t="s">
        <v>64</v>
      </c>
      <c r="H31" t="s">
        <v>211</v>
      </c>
      <c r="I31" s="6">
        <v>40899</v>
      </c>
      <c r="J31" s="2" t="s">
        <v>6512</v>
      </c>
      <c r="K31" s="2">
        <v>0</v>
      </c>
      <c r="L31" t="s">
        <v>35</v>
      </c>
      <c r="M31" t="s">
        <v>29</v>
      </c>
      <c r="N31" t="s">
        <v>30</v>
      </c>
      <c r="O31">
        <v>37219</v>
      </c>
      <c r="P31" t="s">
        <v>6513</v>
      </c>
      <c r="Q31" s="2">
        <v>0.44</v>
      </c>
      <c r="R31" s="2">
        <v>61</v>
      </c>
      <c r="S31" s="2">
        <v>200</v>
      </c>
      <c r="T31" t="s">
        <v>6514</v>
      </c>
      <c r="U31" s="6">
        <v>24540</v>
      </c>
      <c r="V31" s="2">
        <v>47037017800</v>
      </c>
      <c r="W31" s="2" t="s">
        <v>68</v>
      </c>
      <c r="X31" s="1">
        <v>45658</v>
      </c>
      <c r="Y31" s="2">
        <v>280000</v>
      </c>
      <c r="Z31" s="2">
        <v>0</v>
      </c>
      <c r="AA31" s="2">
        <v>280000</v>
      </c>
    </row>
    <row r="32" spans="1:27" x14ac:dyDescent="0.3">
      <c r="A32" s="3">
        <v>25</v>
      </c>
      <c r="B32" s="2" t="str">
        <f>"11810019600"</f>
        <v>11810019600</v>
      </c>
      <c r="C32" s="2" t="s">
        <v>6515</v>
      </c>
      <c r="D32" t="s">
        <v>29</v>
      </c>
      <c r="E32" s="2" t="s">
        <v>30</v>
      </c>
      <c r="F32" s="2">
        <v>37204</v>
      </c>
      <c r="G32" s="2" t="s">
        <v>64</v>
      </c>
      <c r="H32" t="s">
        <v>211</v>
      </c>
      <c r="I32" s="6">
        <v>40924</v>
      </c>
      <c r="J32" s="2" t="s">
        <v>6516</v>
      </c>
      <c r="K32" s="2">
        <v>0</v>
      </c>
      <c r="L32" t="s">
        <v>35</v>
      </c>
      <c r="M32" t="s">
        <v>29</v>
      </c>
      <c r="N32" t="s">
        <v>30</v>
      </c>
      <c r="O32">
        <v>37219</v>
      </c>
      <c r="P32" t="s">
        <v>6517</v>
      </c>
      <c r="Q32" s="2">
        <v>0.44</v>
      </c>
      <c r="R32" s="2">
        <v>84</v>
      </c>
      <c r="S32" s="2">
        <v>200</v>
      </c>
      <c r="T32" t="s">
        <v>6518</v>
      </c>
      <c r="U32" s="6">
        <v>26801</v>
      </c>
      <c r="V32" s="2">
        <v>47037017800</v>
      </c>
      <c r="W32" s="2" t="s">
        <v>68</v>
      </c>
      <c r="X32" s="1">
        <v>45658</v>
      </c>
      <c r="Y32" s="2">
        <v>280000</v>
      </c>
      <c r="Z32" s="2">
        <v>0</v>
      </c>
      <c r="AA32" s="2">
        <v>280000</v>
      </c>
    </row>
    <row r="33" spans="1:27" x14ac:dyDescent="0.3">
      <c r="A33" s="3">
        <v>25</v>
      </c>
      <c r="B33" s="2" t="str">
        <f>"11810008100"</f>
        <v>11810008100</v>
      </c>
      <c r="C33" s="2" t="s">
        <v>6519</v>
      </c>
      <c r="D33" t="s">
        <v>29</v>
      </c>
      <c r="E33" s="2" t="s">
        <v>30</v>
      </c>
      <c r="F33" s="2">
        <v>37204</v>
      </c>
      <c r="G33" s="2" t="s">
        <v>64</v>
      </c>
      <c r="H33" t="s">
        <v>211</v>
      </c>
      <c r="I33" s="6">
        <v>41016</v>
      </c>
      <c r="J33" s="2" t="s">
        <v>6520</v>
      </c>
      <c r="K33" s="2">
        <v>0</v>
      </c>
      <c r="L33" t="s">
        <v>35</v>
      </c>
      <c r="M33" t="s">
        <v>29</v>
      </c>
      <c r="N33" t="s">
        <v>30</v>
      </c>
      <c r="O33">
        <v>37219</v>
      </c>
      <c r="P33" t="s">
        <v>6521</v>
      </c>
      <c r="Q33" s="2">
        <v>0.51</v>
      </c>
      <c r="R33" s="2">
        <v>134</v>
      </c>
      <c r="S33" s="2">
        <v>166</v>
      </c>
      <c r="T33" t="s">
        <v>6522</v>
      </c>
      <c r="U33" s="6">
        <v>28060</v>
      </c>
      <c r="V33" s="2">
        <v>47037017800</v>
      </c>
      <c r="W33" s="2" t="s">
        <v>68</v>
      </c>
      <c r="X33" s="1">
        <v>45658</v>
      </c>
      <c r="Y33" s="2">
        <v>294000</v>
      </c>
      <c r="Z33" s="2">
        <v>0</v>
      </c>
      <c r="AA33" s="2">
        <v>294000</v>
      </c>
    </row>
    <row r="34" spans="1:27" x14ac:dyDescent="0.3">
      <c r="A34" s="3">
        <v>25</v>
      </c>
      <c r="B34" s="2" t="str">
        <f>"11810011200"</f>
        <v>11810011200</v>
      </c>
      <c r="C34" s="2" t="s">
        <v>6523</v>
      </c>
      <c r="D34" t="s">
        <v>29</v>
      </c>
      <c r="E34" s="2" t="s">
        <v>30</v>
      </c>
      <c r="F34" s="2">
        <v>37204</v>
      </c>
      <c r="G34" s="2" t="s">
        <v>64</v>
      </c>
      <c r="H34" t="s">
        <v>211</v>
      </c>
      <c r="I34" s="6">
        <v>40996</v>
      </c>
      <c r="J34" s="2" t="s">
        <v>6524</v>
      </c>
      <c r="K34" s="2">
        <v>0</v>
      </c>
      <c r="L34" t="s">
        <v>35</v>
      </c>
      <c r="M34" t="s">
        <v>29</v>
      </c>
      <c r="N34" t="s">
        <v>30</v>
      </c>
      <c r="O34">
        <v>37219</v>
      </c>
      <c r="P34" t="s">
        <v>6525</v>
      </c>
      <c r="Q34" s="2">
        <v>0.6</v>
      </c>
      <c r="R34" s="2">
        <v>135</v>
      </c>
      <c r="S34" s="2">
        <v>310</v>
      </c>
      <c r="T34" t="s">
        <v>6526</v>
      </c>
      <c r="U34" s="6">
        <v>26791</v>
      </c>
      <c r="V34" s="2">
        <v>47037017800</v>
      </c>
      <c r="W34" s="2" t="s">
        <v>68</v>
      </c>
      <c r="X34" s="1">
        <v>45658</v>
      </c>
      <c r="Y34" s="2">
        <v>294000</v>
      </c>
      <c r="Z34" s="2">
        <v>0</v>
      </c>
      <c r="AA34" s="2">
        <v>294000</v>
      </c>
    </row>
    <row r="35" spans="1:27" x14ac:dyDescent="0.3">
      <c r="A35" s="3">
        <v>25</v>
      </c>
      <c r="B35" s="2" t="str">
        <f>"11810011000"</f>
        <v>11810011000</v>
      </c>
      <c r="C35" s="2" t="s">
        <v>6527</v>
      </c>
      <c r="D35" t="s">
        <v>29</v>
      </c>
      <c r="E35" s="2" t="s">
        <v>30</v>
      </c>
      <c r="F35" s="2">
        <v>37204</v>
      </c>
      <c r="G35" s="2" t="s">
        <v>64</v>
      </c>
      <c r="H35" t="s">
        <v>211</v>
      </c>
      <c r="I35" s="6">
        <v>40913</v>
      </c>
      <c r="J35" s="2" t="s">
        <v>6528</v>
      </c>
      <c r="K35" s="2">
        <v>0</v>
      </c>
      <c r="L35" t="s">
        <v>35</v>
      </c>
      <c r="M35" t="s">
        <v>29</v>
      </c>
      <c r="N35" t="s">
        <v>30</v>
      </c>
      <c r="O35">
        <v>37216</v>
      </c>
      <c r="P35" t="s">
        <v>6529</v>
      </c>
      <c r="Q35" s="2">
        <v>0.34</v>
      </c>
      <c r="R35" s="2">
        <v>71</v>
      </c>
      <c r="S35" s="2">
        <v>189</v>
      </c>
      <c r="T35" t="s">
        <v>6530</v>
      </c>
      <c r="U35" s="6">
        <v>24240</v>
      </c>
      <c r="V35" s="2">
        <v>47037017800</v>
      </c>
      <c r="W35" s="2" t="s">
        <v>68</v>
      </c>
      <c r="X35" s="1">
        <v>45658</v>
      </c>
      <c r="Y35" s="2">
        <v>280000</v>
      </c>
      <c r="Z35" s="2">
        <v>0</v>
      </c>
      <c r="AA35" s="2">
        <v>280000</v>
      </c>
    </row>
    <row r="36" spans="1:27" x14ac:dyDescent="0.3">
      <c r="A36" s="3">
        <v>25</v>
      </c>
      <c r="B36" s="2" t="str">
        <f>"11810010900"</f>
        <v>11810010900</v>
      </c>
      <c r="C36" s="2" t="s">
        <v>6531</v>
      </c>
      <c r="D36" t="s">
        <v>29</v>
      </c>
      <c r="E36" s="2" t="s">
        <v>30</v>
      </c>
      <c r="F36" s="2">
        <v>37204</v>
      </c>
      <c r="G36" s="2" t="s">
        <v>64</v>
      </c>
      <c r="H36" t="s">
        <v>211</v>
      </c>
      <c r="I36" s="6">
        <v>40939</v>
      </c>
      <c r="J36" s="2" t="s">
        <v>6532</v>
      </c>
      <c r="K36" s="2">
        <v>0</v>
      </c>
      <c r="L36" t="s">
        <v>35</v>
      </c>
      <c r="M36" t="s">
        <v>29</v>
      </c>
      <c r="N36" t="s">
        <v>30</v>
      </c>
      <c r="O36">
        <v>37219</v>
      </c>
      <c r="P36" t="s">
        <v>6533</v>
      </c>
      <c r="Q36" s="2">
        <v>0.32</v>
      </c>
      <c r="R36" s="2">
        <v>70</v>
      </c>
      <c r="S36" s="2">
        <v>189</v>
      </c>
      <c r="T36" t="s">
        <v>6534</v>
      </c>
      <c r="U36" s="6">
        <v>24217</v>
      </c>
      <c r="V36" s="2">
        <v>47037017800</v>
      </c>
      <c r="W36" s="2" t="s">
        <v>68</v>
      </c>
      <c r="X36" s="1">
        <v>45658</v>
      </c>
      <c r="Y36" s="2">
        <v>280000</v>
      </c>
      <c r="Z36" s="2">
        <v>0</v>
      </c>
      <c r="AA36" s="2">
        <v>280000</v>
      </c>
    </row>
    <row r="37" spans="1:27" x14ac:dyDescent="0.3">
      <c r="A37" s="3">
        <v>25</v>
      </c>
      <c r="B37" s="2" t="str">
        <f>"11810011100"</f>
        <v>11810011100</v>
      </c>
      <c r="C37" s="2" t="s">
        <v>6535</v>
      </c>
      <c r="D37" t="s">
        <v>29</v>
      </c>
      <c r="E37" s="2" t="s">
        <v>30</v>
      </c>
      <c r="F37" s="2">
        <v>37204</v>
      </c>
      <c r="G37" s="2" t="s">
        <v>64</v>
      </c>
      <c r="H37" t="s">
        <v>211</v>
      </c>
      <c r="I37" s="6">
        <v>40919</v>
      </c>
      <c r="J37" s="2" t="s">
        <v>6536</v>
      </c>
      <c r="K37" s="2">
        <v>0</v>
      </c>
      <c r="L37" t="s">
        <v>35</v>
      </c>
      <c r="M37" t="s">
        <v>29</v>
      </c>
      <c r="N37" t="s">
        <v>30</v>
      </c>
      <c r="O37">
        <v>37219</v>
      </c>
      <c r="P37" t="s">
        <v>6537</v>
      </c>
      <c r="Q37" s="2">
        <v>0.28999999999999998</v>
      </c>
      <c r="R37" s="2">
        <v>75</v>
      </c>
      <c r="S37" s="2">
        <v>215</v>
      </c>
      <c r="T37" t="s">
        <v>6522</v>
      </c>
      <c r="U37" s="6">
        <v>28060</v>
      </c>
      <c r="V37" s="2">
        <v>47037017800</v>
      </c>
      <c r="W37" s="2" t="s">
        <v>68</v>
      </c>
      <c r="X37" s="1">
        <v>45658</v>
      </c>
      <c r="Y37" s="2">
        <v>280000</v>
      </c>
      <c r="Z37" s="2">
        <v>0</v>
      </c>
      <c r="AA37" s="2">
        <v>280000</v>
      </c>
    </row>
    <row r="38" spans="1:27" x14ac:dyDescent="0.3">
      <c r="A38" s="3">
        <v>25</v>
      </c>
      <c r="B38" s="2" t="str">
        <f>"11810008800"</f>
        <v>11810008800</v>
      </c>
      <c r="C38" s="2" t="s">
        <v>6538</v>
      </c>
      <c r="D38" t="s">
        <v>29</v>
      </c>
      <c r="E38" s="2" t="s">
        <v>30</v>
      </c>
      <c r="F38" s="2">
        <v>37204</v>
      </c>
      <c r="G38" s="2" t="s">
        <v>64</v>
      </c>
      <c r="H38" t="s">
        <v>5141</v>
      </c>
      <c r="I38" s="6">
        <v>40955</v>
      </c>
      <c r="J38" s="2" t="s">
        <v>6539</v>
      </c>
      <c r="K38" s="2">
        <v>0</v>
      </c>
      <c r="L38" t="s">
        <v>35</v>
      </c>
      <c r="M38" t="s">
        <v>29</v>
      </c>
      <c r="N38" t="s">
        <v>30</v>
      </c>
      <c r="O38">
        <v>37219</v>
      </c>
      <c r="P38" t="s">
        <v>6540</v>
      </c>
      <c r="Q38" s="2">
        <v>0.64</v>
      </c>
      <c r="R38" s="2">
        <v>90</v>
      </c>
      <c r="S38" s="2">
        <v>237</v>
      </c>
      <c r="T38" t="s">
        <v>6541</v>
      </c>
      <c r="U38" s="6">
        <v>24824</v>
      </c>
      <c r="V38" s="2">
        <v>47037017800</v>
      </c>
      <c r="W38" s="2" t="s">
        <v>68</v>
      </c>
      <c r="X38" s="1">
        <v>45658</v>
      </c>
      <c r="Y38" s="2">
        <v>294000</v>
      </c>
      <c r="Z38" s="2">
        <v>0</v>
      </c>
      <c r="AA38" s="2">
        <v>294000</v>
      </c>
    </row>
    <row r="39" spans="1:27" x14ac:dyDescent="0.3">
      <c r="A39" s="3">
        <v>25</v>
      </c>
      <c r="B39" s="2" t="str">
        <f>"13205012700"</f>
        <v>13205012700</v>
      </c>
      <c r="C39" s="2" t="s">
        <v>6542</v>
      </c>
      <c r="D39" t="s">
        <v>29</v>
      </c>
      <c r="E39" s="2" t="s">
        <v>30</v>
      </c>
      <c r="F39" s="2">
        <v>37204</v>
      </c>
      <c r="G39" s="2" t="s">
        <v>253</v>
      </c>
      <c r="H39" t="s">
        <v>6543</v>
      </c>
      <c r="I39" s="6">
        <v>18711</v>
      </c>
      <c r="J39" s="2" t="s">
        <v>6544</v>
      </c>
      <c r="K39" s="2" t="s">
        <v>34</v>
      </c>
      <c r="L39" t="s">
        <v>35</v>
      </c>
      <c r="M39" t="s">
        <v>29</v>
      </c>
      <c r="N39" t="s">
        <v>30</v>
      </c>
      <c r="O39">
        <v>37219</v>
      </c>
      <c r="P39" t="s">
        <v>6545</v>
      </c>
      <c r="Q39" s="2">
        <v>13.18</v>
      </c>
      <c r="R39" s="2">
        <v>0</v>
      </c>
      <c r="S39" s="2">
        <v>0</v>
      </c>
      <c r="T39" t="s">
        <v>6544</v>
      </c>
      <c r="U39" s="6">
        <v>18711</v>
      </c>
      <c r="V39" s="2">
        <v>47037017701</v>
      </c>
      <c r="W39" s="2" t="s">
        <v>6429</v>
      </c>
      <c r="X39" s="1">
        <v>45658</v>
      </c>
      <c r="Y39" s="2">
        <v>2940100</v>
      </c>
      <c r="Z39" s="2">
        <v>0</v>
      </c>
      <c r="AA39" s="2">
        <v>2940100</v>
      </c>
    </row>
    <row r="40" spans="1:27" x14ac:dyDescent="0.3">
      <c r="A40" s="3">
        <v>25</v>
      </c>
      <c r="B40" s="2" t="str">
        <f>"11715003700"</f>
        <v>11715003700</v>
      </c>
      <c r="C40" s="2" t="s">
        <v>6546</v>
      </c>
      <c r="D40" t="s">
        <v>29</v>
      </c>
      <c r="E40" s="2" t="s">
        <v>30</v>
      </c>
      <c r="F40" s="2">
        <v>37215</v>
      </c>
      <c r="G40" s="2" t="s">
        <v>253</v>
      </c>
      <c r="H40" t="s">
        <v>6547</v>
      </c>
      <c r="I40" s="6">
        <v>14360</v>
      </c>
      <c r="J40" s="2" t="s">
        <v>6548</v>
      </c>
      <c r="K40" s="2" t="s">
        <v>34</v>
      </c>
      <c r="L40" t="s">
        <v>35</v>
      </c>
      <c r="M40" t="s">
        <v>29</v>
      </c>
      <c r="N40" t="s">
        <v>30</v>
      </c>
      <c r="O40">
        <v>37219</v>
      </c>
      <c r="P40" t="s">
        <v>6549</v>
      </c>
      <c r="Q40" s="2">
        <v>28.23</v>
      </c>
      <c r="R40" s="2">
        <v>0</v>
      </c>
      <c r="S40" s="2">
        <v>0</v>
      </c>
      <c r="T40" t="s">
        <v>278</v>
      </c>
      <c r="U40" s="6">
        <v>36581</v>
      </c>
      <c r="V40" s="2">
        <v>47037017702</v>
      </c>
      <c r="W40" s="2" t="s">
        <v>68</v>
      </c>
      <c r="X40" s="1">
        <v>45658</v>
      </c>
      <c r="Y40" s="2">
        <v>145465700</v>
      </c>
      <c r="Z40" s="2">
        <v>0</v>
      </c>
      <c r="AA40" s="2">
        <v>145465700</v>
      </c>
    </row>
    <row r="41" spans="1:27" x14ac:dyDescent="0.3">
      <c r="A41" s="3">
        <v>25</v>
      </c>
      <c r="B41" s="2" t="str">
        <f>"13107011900"</f>
        <v>13107011900</v>
      </c>
      <c r="C41" s="2" t="s">
        <v>6550</v>
      </c>
      <c r="D41" t="s">
        <v>29</v>
      </c>
      <c r="E41" s="2" t="s">
        <v>30</v>
      </c>
      <c r="F41" s="2">
        <v>37204</v>
      </c>
      <c r="G41" s="2" t="s">
        <v>253</v>
      </c>
      <c r="H41" t="s">
        <v>6551</v>
      </c>
      <c r="I41" s="6">
        <v>24329</v>
      </c>
      <c r="J41" s="2" t="s">
        <v>6438</v>
      </c>
      <c r="K41" s="2">
        <v>0</v>
      </c>
      <c r="L41" t="s">
        <v>35</v>
      </c>
      <c r="M41" t="s">
        <v>29</v>
      </c>
      <c r="N41" t="s">
        <v>30</v>
      </c>
      <c r="O41">
        <v>37219</v>
      </c>
      <c r="P41" t="s">
        <v>6552</v>
      </c>
      <c r="Q41" s="2">
        <v>10.33</v>
      </c>
      <c r="R41" s="2">
        <v>0</v>
      </c>
      <c r="S41" s="2">
        <v>0</v>
      </c>
      <c r="T41" t="s">
        <v>6438</v>
      </c>
      <c r="U41" s="6">
        <v>24329</v>
      </c>
      <c r="V41" s="2">
        <v>47037017702</v>
      </c>
      <c r="W41" s="2" t="s">
        <v>68</v>
      </c>
      <c r="X41" s="1">
        <v>45658</v>
      </c>
      <c r="Y41" s="2">
        <v>2173200</v>
      </c>
      <c r="Z41" s="2">
        <v>0</v>
      </c>
      <c r="AA41" s="2">
        <v>2173200</v>
      </c>
    </row>
    <row r="42" spans="1:27" x14ac:dyDescent="0.3">
      <c r="A42" s="3">
        <v>25</v>
      </c>
      <c r="B42" s="2" t="str">
        <f>"14603000300"</f>
        <v>14603000300</v>
      </c>
      <c r="C42" s="2" t="s">
        <v>6553</v>
      </c>
      <c r="D42" t="s">
        <v>29</v>
      </c>
      <c r="E42" s="2" t="s">
        <v>30</v>
      </c>
      <c r="F42" s="2">
        <v>37220</v>
      </c>
      <c r="G42" s="2" t="s">
        <v>64</v>
      </c>
      <c r="H42" t="s">
        <v>6554</v>
      </c>
      <c r="I42" s="6">
        <v>20864</v>
      </c>
      <c r="J42" s="2" t="s">
        <v>6555</v>
      </c>
      <c r="K42" s="2" t="s">
        <v>34</v>
      </c>
      <c r="L42" t="s">
        <v>35</v>
      </c>
      <c r="M42" t="s">
        <v>29</v>
      </c>
      <c r="N42" t="s">
        <v>30</v>
      </c>
      <c r="O42">
        <v>37219</v>
      </c>
      <c r="P42" t="s">
        <v>6556</v>
      </c>
      <c r="Q42" s="2">
        <v>41.34</v>
      </c>
      <c r="R42" s="2">
        <v>0</v>
      </c>
      <c r="S42" s="2">
        <v>0</v>
      </c>
      <c r="T42" t="s">
        <v>278</v>
      </c>
      <c r="U42" s="6">
        <v>36587</v>
      </c>
      <c r="V42" s="2">
        <v>47037018700</v>
      </c>
      <c r="W42" s="2" t="s">
        <v>6429</v>
      </c>
      <c r="X42" s="1">
        <v>45658</v>
      </c>
      <c r="Y42" s="2">
        <v>5612500</v>
      </c>
      <c r="Z42" s="2">
        <v>0</v>
      </c>
      <c r="AA42" s="2">
        <v>5612500</v>
      </c>
    </row>
    <row r="43" spans="1:27" x14ac:dyDescent="0.3">
      <c r="A43" s="3">
        <v>25</v>
      </c>
      <c r="B43" s="2" t="str">
        <f>"13214005400"</f>
        <v>13214005400</v>
      </c>
      <c r="C43" s="2" t="s">
        <v>6557</v>
      </c>
      <c r="D43" t="s">
        <v>29</v>
      </c>
      <c r="E43" s="2" t="s">
        <v>30</v>
      </c>
      <c r="F43" s="2">
        <v>37220</v>
      </c>
      <c r="G43" s="2" t="s">
        <v>253</v>
      </c>
      <c r="H43" t="s">
        <v>6558</v>
      </c>
      <c r="I43" s="6">
        <v>4617</v>
      </c>
      <c r="J43" s="2" t="s">
        <v>6559</v>
      </c>
      <c r="K43" s="2" t="s">
        <v>34</v>
      </c>
      <c r="L43" t="s">
        <v>35</v>
      </c>
      <c r="M43" t="s">
        <v>29</v>
      </c>
      <c r="N43" t="s">
        <v>30</v>
      </c>
      <c r="O43">
        <v>37219</v>
      </c>
      <c r="P43" t="s">
        <v>6560</v>
      </c>
      <c r="Q43" s="2">
        <v>1.92</v>
      </c>
      <c r="R43" s="2">
        <v>348</v>
      </c>
      <c r="S43" s="2">
        <v>250</v>
      </c>
      <c r="T43" t="s">
        <v>6559</v>
      </c>
      <c r="U43" s="6">
        <v>4617</v>
      </c>
      <c r="V43" s="2">
        <v>47037018700</v>
      </c>
      <c r="W43" s="2" t="s">
        <v>6429</v>
      </c>
      <c r="X43" s="1">
        <v>45658</v>
      </c>
      <c r="Y43" s="2">
        <v>709800</v>
      </c>
      <c r="Z43" s="2">
        <v>0</v>
      </c>
      <c r="AA43" s="2">
        <v>709800</v>
      </c>
    </row>
    <row r="44" spans="1:27" x14ac:dyDescent="0.3">
      <c r="A44" s="3">
        <v>25</v>
      </c>
      <c r="B44" s="2" t="str">
        <f>"11716000100"</f>
        <v>11716000100</v>
      </c>
      <c r="C44" s="2" t="s">
        <v>6561</v>
      </c>
      <c r="D44" t="s">
        <v>29</v>
      </c>
      <c r="E44" s="2" t="s">
        <v>30</v>
      </c>
      <c r="F44" s="2">
        <v>37215</v>
      </c>
      <c r="G44" s="2" t="s">
        <v>253</v>
      </c>
      <c r="H44" t="s">
        <v>6562</v>
      </c>
      <c r="I44" s="6">
        <v>12590</v>
      </c>
      <c r="J44" s="2" t="s">
        <v>6563</v>
      </c>
      <c r="K44" s="2" t="s">
        <v>34</v>
      </c>
      <c r="L44" t="s">
        <v>35</v>
      </c>
      <c r="M44" t="s">
        <v>29</v>
      </c>
      <c r="N44" t="s">
        <v>30</v>
      </c>
      <c r="O44">
        <v>37219</v>
      </c>
      <c r="P44" t="s">
        <v>6564</v>
      </c>
      <c r="Q44" s="2">
        <v>5.2</v>
      </c>
      <c r="R44" s="2">
        <v>376</v>
      </c>
      <c r="S44" s="2">
        <v>575</v>
      </c>
      <c r="T44" t="s">
        <v>6563</v>
      </c>
      <c r="U44" s="6">
        <v>12590</v>
      </c>
      <c r="V44" s="2">
        <v>47037017800</v>
      </c>
      <c r="W44" s="2" t="s">
        <v>68</v>
      </c>
      <c r="X44" s="1">
        <v>45658</v>
      </c>
      <c r="Y44" s="2">
        <v>2838000</v>
      </c>
      <c r="Z44" s="2">
        <v>0</v>
      </c>
      <c r="AA44" s="2">
        <v>2838000</v>
      </c>
    </row>
    <row r="45" spans="1:27" x14ac:dyDescent="0.3">
      <c r="A45" s="3">
        <v>25</v>
      </c>
      <c r="B45" s="2" t="str">
        <f>"14508000801"</f>
        <v>14508000801</v>
      </c>
      <c r="C45" s="2" t="s">
        <v>6565</v>
      </c>
      <c r="D45" t="s">
        <v>29</v>
      </c>
      <c r="E45" s="2" t="s">
        <v>30</v>
      </c>
      <c r="F45" s="2">
        <v>37220</v>
      </c>
      <c r="G45" s="2" t="s">
        <v>152</v>
      </c>
      <c r="H45" t="s">
        <v>280</v>
      </c>
      <c r="I45" s="6">
        <v>23545</v>
      </c>
      <c r="J45" s="2" t="s">
        <v>6566</v>
      </c>
      <c r="K45" s="2" t="s">
        <v>34</v>
      </c>
      <c r="L45" t="s">
        <v>35</v>
      </c>
      <c r="M45" t="s">
        <v>29</v>
      </c>
      <c r="N45" t="s">
        <v>30</v>
      </c>
      <c r="O45">
        <v>37219</v>
      </c>
      <c r="P45" t="s">
        <v>6567</v>
      </c>
      <c r="Q45" s="2">
        <v>0.01</v>
      </c>
      <c r="R45" s="2">
        <v>10</v>
      </c>
      <c r="S45" s="2">
        <v>10</v>
      </c>
      <c r="T45" t="s">
        <v>6566</v>
      </c>
      <c r="U45" s="6">
        <v>23545</v>
      </c>
      <c r="V45" s="2">
        <v>47037018700</v>
      </c>
      <c r="W45" s="2" t="s">
        <v>6429</v>
      </c>
      <c r="X45" s="1">
        <v>45658</v>
      </c>
      <c r="Y45" s="2">
        <v>800</v>
      </c>
      <c r="Z45" s="2">
        <v>0</v>
      </c>
      <c r="AA45" s="2">
        <v>800</v>
      </c>
    </row>
    <row r="46" spans="1:27" x14ac:dyDescent="0.3">
      <c r="A46" s="3">
        <v>25</v>
      </c>
      <c r="B46" s="2" t="str">
        <f>"14605000401"</f>
        <v>14605000401</v>
      </c>
      <c r="C46" s="2" t="s">
        <v>6568</v>
      </c>
      <c r="D46" t="s">
        <v>29</v>
      </c>
      <c r="E46" s="2" t="s">
        <v>30</v>
      </c>
      <c r="F46" s="2">
        <v>37220</v>
      </c>
      <c r="G46" s="2" t="s">
        <v>152</v>
      </c>
      <c r="H46" t="s">
        <v>280</v>
      </c>
      <c r="I46" s="6">
        <v>23545</v>
      </c>
      <c r="J46" s="2" t="s">
        <v>6569</v>
      </c>
      <c r="K46" s="2">
        <v>0</v>
      </c>
      <c r="L46" t="s">
        <v>35</v>
      </c>
      <c r="M46" t="s">
        <v>29</v>
      </c>
      <c r="N46" t="s">
        <v>30</v>
      </c>
      <c r="O46">
        <v>37219</v>
      </c>
      <c r="P46" t="s">
        <v>6570</v>
      </c>
      <c r="Q46" s="2">
        <v>0.01</v>
      </c>
      <c r="R46" s="2">
        <v>10</v>
      </c>
      <c r="S46" s="2">
        <v>10</v>
      </c>
      <c r="T46" t="s">
        <v>6571</v>
      </c>
      <c r="U46" s="6">
        <v>23545</v>
      </c>
      <c r="V46" s="2">
        <v>47037018700</v>
      </c>
      <c r="W46" s="2" t="s">
        <v>6429</v>
      </c>
      <c r="X46" s="1">
        <v>45658</v>
      </c>
      <c r="Y46" s="2">
        <v>800</v>
      </c>
      <c r="Z46" s="2">
        <v>0</v>
      </c>
      <c r="AA46" s="2">
        <v>800</v>
      </c>
    </row>
    <row r="47" spans="1:27" x14ac:dyDescent="0.3">
      <c r="A47" s="3">
        <v>25</v>
      </c>
      <c r="B47" s="2" t="str">
        <f>"16000023000"</f>
        <v>16000023000</v>
      </c>
      <c r="C47" s="2" t="s">
        <v>6572</v>
      </c>
      <c r="D47" t="s">
        <v>29</v>
      </c>
      <c r="E47" s="2" t="s">
        <v>30</v>
      </c>
      <c r="F47" s="2">
        <v>37220</v>
      </c>
      <c r="G47" s="2" t="s">
        <v>152</v>
      </c>
      <c r="H47" t="s">
        <v>280</v>
      </c>
      <c r="I47" s="6">
        <v>35447</v>
      </c>
      <c r="J47" s="2" t="s">
        <v>6573</v>
      </c>
      <c r="K47" s="2">
        <v>0</v>
      </c>
      <c r="L47" t="s">
        <v>35</v>
      </c>
      <c r="M47" t="s">
        <v>29</v>
      </c>
      <c r="N47" t="s">
        <v>30</v>
      </c>
      <c r="O47">
        <v>37219</v>
      </c>
      <c r="P47" t="s">
        <v>6574</v>
      </c>
      <c r="Q47" s="2">
        <v>1.2</v>
      </c>
      <c r="R47" s="2">
        <v>0</v>
      </c>
      <c r="S47" s="2">
        <v>0</v>
      </c>
      <c r="T47" t="s">
        <v>6573</v>
      </c>
      <c r="U47" s="6">
        <v>35803</v>
      </c>
      <c r="V47" s="2">
        <v>47037018700</v>
      </c>
      <c r="W47" s="2" t="s">
        <v>6429</v>
      </c>
      <c r="X47" s="1">
        <v>45658</v>
      </c>
      <c r="Y47" s="2">
        <v>475000</v>
      </c>
      <c r="Z47" s="2">
        <v>0</v>
      </c>
      <c r="AA47" s="2">
        <v>475000</v>
      </c>
    </row>
    <row r="48" spans="1:27" x14ac:dyDescent="0.3">
      <c r="A48" s="3">
        <v>25</v>
      </c>
      <c r="B48" s="2" t="str">
        <f>"16000023100"</f>
        <v>16000023100</v>
      </c>
      <c r="C48" s="2" t="s">
        <v>6575</v>
      </c>
      <c r="D48" t="s">
        <v>29</v>
      </c>
      <c r="E48" s="2" t="s">
        <v>30</v>
      </c>
      <c r="F48" s="2">
        <v>37220</v>
      </c>
      <c r="G48" s="2" t="s">
        <v>152</v>
      </c>
      <c r="H48" t="s">
        <v>280</v>
      </c>
      <c r="I48" s="6">
        <v>35447</v>
      </c>
      <c r="J48" s="2" t="s">
        <v>6573</v>
      </c>
      <c r="K48" s="2">
        <v>0</v>
      </c>
      <c r="L48" t="s">
        <v>35</v>
      </c>
      <c r="M48" t="s">
        <v>29</v>
      </c>
      <c r="N48" t="s">
        <v>30</v>
      </c>
      <c r="O48">
        <v>37219</v>
      </c>
      <c r="P48" t="s">
        <v>6574</v>
      </c>
      <c r="Q48" s="2">
        <v>0.48</v>
      </c>
      <c r="R48" s="2">
        <v>0</v>
      </c>
      <c r="S48" s="2">
        <v>0</v>
      </c>
      <c r="T48" t="s">
        <v>6573</v>
      </c>
      <c r="U48" s="6">
        <v>35803</v>
      </c>
      <c r="V48" s="2">
        <v>47037018700</v>
      </c>
      <c r="W48" s="2" t="s">
        <v>6429</v>
      </c>
      <c r="X48" s="1">
        <v>45658</v>
      </c>
      <c r="Y48" s="2">
        <v>237500</v>
      </c>
      <c r="Z48" s="2">
        <v>0</v>
      </c>
      <c r="AA48" s="2">
        <v>237500</v>
      </c>
    </row>
    <row r="49" spans="1:27" x14ac:dyDescent="0.3">
      <c r="A49" s="3">
        <v>25</v>
      </c>
      <c r="B49" s="2" t="str">
        <f>"11810005000"</f>
        <v>11810005000</v>
      </c>
      <c r="C49" s="2" t="s">
        <v>6576</v>
      </c>
      <c r="D49" t="s">
        <v>29</v>
      </c>
      <c r="E49" s="2" t="s">
        <v>30</v>
      </c>
      <c r="F49" s="2">
        <v>37204</v>
      </c>
      <c r="G49" s="2" t="s">
        <v>64</v>
      </c>
      <c r="H49" t="s">
        <v>280</v>
      </c>
      <c r="I49" s="6">
        <v>40898</v>
      </c>
      <c r="J49" s="2" t="s">
        <v>6577</v>
      </c>
      <c r="K49" s="2">
        <v>0</v>
      </c>
      <c r="L49" t="s">
        <v>35</v>
      </c>
      <c r="M49" t="s">
        <v>29</v>
      </c>
      <c r="N49" t="s">
        <v>30</v>
      </c>
      <c r="O49">
        <v>37219</v>
      </c>
      <c r="P49" t="s">
        <v>6578</v>
      </c>
      <c r="Q49" s="2">
        <v>1.42</v>
      </c>
      <c r="R49" s="2">
        <v>115</v>
      </c>
      <c r="S49" s="2">
        <v>600</v>
      </c>
      <c r="T49" t="s">
        <v>6579</v>
      </c>
      <c r="U49" s="6">
        <v>23406</v>
      </c>
      <c r="V49" s="2">
        <v>47037017800</v>
      </c>
      <c r="W49" s="2" t="s">
        <v>68</v>
      </c>
      <c r="X49" s="1">
        <v>45658</v>
      </c>
      <c r="Y49" s="2">
        <v>400000</v>
      </c>
      <c r="Z49" s="2">
        <v>0</v>
      </c>
      <c r="AA49" s="2">
        <v>400000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A356-D7B9-47D1-BAC2-5E5288D3ABE4}">
  <sheetPr>
    <tabColor rgb="FF002060"/>
  </sheetPr>
  <dimension ref="A1:AA64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26</v>
      </c>
      <c r="B2" s="2" t="str">
        <f>"14700000600"</f>
        <v>14700000600</v>
      </c>
      <c r="C2" s="2" t="s">
        <v>6580</v>
      </c>
      <c r="D2" t="s">
        <v>29</v>
      </c>
      <c r="E2" s="2" t="s">
        <v>30</v>
      </c>
      <c r="F2" s="2">
        <v>37211</v>
      </c>
      <c r="G2" s="2" t="s">
        <v>2490</v>
      </c>
      <c r="H2" t="s">
        <v>32</v>
      </c>
      <c r="I2" s="6">
        <v>39083</v>
      </c>
      <c r="J2" s="2" t="s">
        <v>6581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6582</v>
      </c>
      <c r="Q2" s="2">
        <v>13.15</v>
      </c>
      <c r="R2" s="2">
        <v>0</v>
      </c>
      <c r="S2" s="2">
        <v>0</v>
      </c>
      <c r="T2" t="s">
        <v>6583</v>
      </c>
      <c r="U2" s="6">
        <v>36375</v>
      </c>
      <c r="V2" s="2">
        <v>47037018902</v>
      </c>
      <c r="W2" s="2" t="s">
        <v>68</v>
      </c>
      <c r="X2" s="1">
        <v>45658</v>
      </c>
      <c r="Y2" s="2">
        <v>991900</v>
      </c>
      <c r="Z2" s="2">
        <v>27000</v>
      </c>
      <c r="AA2" s="2">
        <v>964900</v>
      </c>
    </row>
    <row r="3" spans="1:27" x14ac:dyDescent="0.3">
      <c r="A3" s="3">
        <v>26</v>
      </c>
      <c r="B3" s="2" t="str">
        <f>"16100002900"</f>
        <v>16100002900</v>
      </c>
      <c r="C3" s="2" t="s">
        <v>6584</v>
      </c>
      <c r="D3" t="s">
        <v>29</v>
      </c>
      <c r="E3" s="2" t="s">
        <v>30</v>
      </c>
      <c r="F3" s="2">
        <v>37211</v>
      </c>
      <c r="G3" s="2" t="s">
        <v>64</v>
      </c>
      <c r="H3" t="s">
        <v>32</v>
      </c>
      <c r="I3" s="6">
        <v>36159</v>
      </c>
      <c r="J3" s="2" t="s">
        <v>6585</v>
      </c>
      <c r="K3" s="2">
        <v>86000</v>
      </c>
      <c r="L3" t="s">
        <v>35</v>
      </c>
      <c r="M3" t="s">
        <v>29</v>
      </c>
      <c r="N3" t="s">
        <v>30</v>
      </c>
      <c r="O3">
        <v>37219</v>
      </c>
      <c r="P3" t="s">
        <v>6586</v>
      </c>
      <c r="Q3" s="2">
        <v>6.68</v>
      </c>
      <c r="R3" s="2">
        <v>0</v>
      </c>
      <c r="S3" s="2">
        <v>0</v>
      </c>
      <c r="T3" t="s">
        <v>6587</v>
      </c>
      <c r="U3" s="6">
        <v>36427</v>
      </c>
      <c r="V3" s="2">
        <v>47037018801</v>
      </c>
      <c r="W3" s="2" t="s">
        <v>68</v>
      </c>
      <c r="X3" s="1">
        <v>45658</v>
      </c>
      <c r="Y3" s="2">
        <v>811200</v>
      </c>
      <c r="Z3" s="2">
        <v>0</v>
      </c>
      <c r="AA3" s="2">
        <v>811200</v>
      </c>
    </row>
    <row r="4" spans="1:27" x14ac:dyDescent="0.3">
      <c r="A4" s="3">
        <v>26</v>
      </c>
      <c r="B4" s="2" t="str">
        <f>"14604004900"</f>
        <v>14604004900</v>
      </c>
      <c r="C4" s="2" t="s">
        <v>6588</v>
      </c>
      <c r="D4" t="s">
        <v>29</v>
      </c>
      <c r="E4" s="2" t="s">
        <v>30</v>
      </c>
      <c r="F4" s="2">
        <v>37220</v>
      </c>
      <c r="G4" s="2" t="s">
        <v>152</v>
      </c>
      <c r="H4" t="s">
        <v>6589</v>
      </c>
      <c r="I4" s="6">
        <v>27208</v>
      </c>
      <c r="J4" s="2" t="s">
        <v>6590</v>
      </c>
      <c r="K4" s="2">
        <v>53000</v>
      </c>
      <c r="L4" t="s">
        <v>35</v>
      </c>
      <c r="M4" t="s">
        <v>29</v>
      </c>
      <c r="N4" t="s">
        <v>30</v>
      </c>
      <c r="O4">
        <v>37219</v>
      </c>
      <c r="P4" t="s">
        <v>6591</v>
      </c>
      <c r="Q4" s="2">
        <v>2.04</v>
      </c>
      <c r="R4" s="2">
        <v>0</v>
      </c>
      <c r="S4" s="2">
        <v>0</v>
      </c>
      <c r="T4" t="s">
        <v>6590</v>
      </c>
      <c r="U4" s="6">
        <v>27208</v>
      </c>
      <c r="V4" s="2">
        <v>47037018902</v>
      </c>
      <c r="W4" s="2" t="s">
        <v>68</v>
      </c>
      <c r="X4" s="1">
        <v>45658</v>
      </c>
      <c r="Y4" s="2">
        <v>328100</v>
      </c>
      <c r="Z4" s="2">
        <v>0</v>
      </c>
      <c r="AA4" s="2">
        <v>328100</v>
      </c>
    </row>
    <row r="5" spans="1:27" x14ac:dyDescent="0.3">
      <c r="A5" s="3">
        <v>26</v>
      </c>
      <c r="B5" s="2" t="str">
        <f>"16100022800"</f>
        <v>16100022800</v>
      </c>
      <c r="C5" s="2" t="s">
        <v>6592</v>
      </c>
      <c r="D5" t="s">
        <v>29</v>
      </c>
      <c r="E5" s="2" t="s">
        <v>30</v>
      </c>
      <c r="F5" s="2">
        <v>37211</v>
      </c>
      <c r="G5" s="2" t="s">
        <v>64</v>
      </c>
      <c r="H5" t="s">
        <v>171</v>
      </c>
      <c r="I5" s="6">
        <v>32843</v>
      </c>
      <c r="J5" s="2" t="s">
        <v>6593</v>
      </c>
      <c r="K5" s="2">
        <v>1600000</v>
      </c>
      <c r="L5" t="s">
        <v>35</v>
      </c>
      <c r="M5" t="s">
        <v>29</v>
      </c>
      <c r="N5" t="s">
        <v>30</v>
      </c>
      <c r="O5">
        <v>37219</v>
      </c>
      <c r="P5" t="s">
        <v>6594</v>
      </c>
      <c r="Q5" s="2">
        <v>30.63</v>
      </c>
      <c r="R5" s="2">
        <v>0</v>
      </c>
      <c r="S5" s="2">
        <v>0</v>
      </c>
      <c r="T5" t="s">
        <v>6595</v>
      </c>
      <c r="U5" s="6">
        <v>32062</v>
      </c>
      <c r="V5" s="2">
        <v>47037018801</v>
      </c>
      <c r="W5" s="2" t="s">
        <v>68</v>
      </c>
      <c r="X5" s="1">
        <v>45658</v>
      </c>
      <c r="Y5" s="2">
        <v>2309800</v>
      </c>
      <c r="Z5" s="2">
        <v>0</v>
      </c>
      <c r="AA5" s="2">
        <v>2309800</v>
      </c>
    </row>
    <row r="6" spans="1:27" x14ac:dyDescent="0.3">
      <c r="A6" s="3">
        <v>26</v>
      </c>
      <c r="B6" s="2" t="str">
        <f>"16004000800"</f>
        <v>16004000800</v>
      </c>
      <c r="C6" s="2" t="s">
        <v>6596</v>
      </c>
      <c r="D6" t="s">
        <v>29</v>
      </c>
      <c r="E6" s="2" t="s">
        <v>30</v>
      </c>
      <c r="F6" s="2">
        <v>37220</v>
      </c>
      <c r="G6" s="2" t="s">
        <v>152</v>
      </c>
      <c r="H6" t="s">
        <v>176</v>
      </c>
      <c r="I6" s="6">
        <v>20253</v>
      </c>
      <c r="J6" s="2" t="s">
        <v>6597</v>
      </c>
      <c r="K6" s="2" t="s">
        <v>34</v>
      </c>
      <c r="L6" t="s">
        <v>178</v>
      </c>
      <c r="M6" t="s">
        <v>29</v>
      </c>
      <c r="N6" t="s">
        <v>30</v>
      </c>
      <c r="O6">
        <v>37246</v>
      </c>
      <c r="P6" t="s">
        <v>6598</v>
      </c>
      <c r="Q6" s="2">
        <v>0.45</v>
      </c>
      <c r="R6" s="2">
        <v>110</v>
      </c>
      <c r="S6" s="2">
        <v>201</v>
      </c>
      <c r="T6" t="s">
        <v>6597</v>
      </c>
      <c r="U6" s="6">
        <v>20253</v>
      </c>
      <c r="V6" s="2">
        <v>47037018801</v>
      </c>
      <c r="W6" s="2" t="s">
        <v>68</v>
      </c>
      <c r="X6" s="1">
        <v>45658</v>
      </c>
      <c r="Y6" s="2">
        <v>360000</v>
      </c>
      <c r="Z6" s="2">
        <v>0</v>
      </c>
      <c r="AA6" s="2">
        <v>360000</v>
      </c>
    </row>
    <row r="7" spans="1:27" x14ac:dyDescent="0.3">
      <c r="A7" s="3">
        <v>26</v>
      </c>
      <c r="B7" s="2" t="str">
        <f>"16003014400"</f>
        <v>16003014400</v>
      </c>
      <c r="C7" s="2" t="s">
        <v>6599</v>
      </c>
      <c r="D7" t="s">
        <v>1117</v>
      </c>
      <c r="E7" s="2" t="s">
        <v>30</v>
      </c>
      <c r="F7" s="2">
        <v>37027</v>
      </c>
      <c r="G7" s="2" t="s">
        <v>152</v>
      </c>
      <c r="H7" t="s">
        <v>176</v>
      </c>
      <c r="I7" s="6">
        <v>20920</v>
      </c>
      <c r="J7" s="2" t="s">
        <v>6600</v>
      </c>
      <c r="K7" s="2" t="s">
        <v>34</v>
      </c>
      <c r="L7" t="s">
        <v>178</v>
      </c>
      <c r="M7" t="s">
        <v>29</v>
      </c>
      <c r="N7" t="s">
        <v>30</v>
      </c>
      <c r="O7">
        <v>37246</v>
      </c>
      <c r="P7" t="s">
        <v>6601</v>
      </c>
      <c r="Q7" s="2">
        <v>20.9</v>
      </c>
      <c r="R7" s="2">
        <v>0</v>
      </c>
      <c r="S7" s="2">
        <v>0</v>
      </c>
      <c r="T7" t="s">
        <v>6600</v>
      </c>
      <c r="U7" s="6">
        <v>20920</v>
      </c>
      <c r="V7" s="2">
        <v>47037018801</v>
      </c>
      <c r="W7" s="2" t="s">
        <v>68</v>
      </c>
      <c r="X7" s="1">
        <v>45658</v>
      </c>
      <c r="Y7" s="2">
        <v>977300</v>
      </c>
      <c r="Z7" s="2">
        <v>0</v>
      </c>
      <c r="AA7" s="2">
        <v>977300</v>
      </c>
    </row>
    <row r="8" spans="1:27" x14ac:dyDescent="0.3">
      <c r="A8" s="3">
        <v>26</v>
      </c>
      <c r="B8" s="2" t="str">
        <f>"14707000500"</f>
        <v>14707000500</v>
      </c>
      <c r="C8" s="2" t="s">
        <v>6602</v>
      </c>
      <c r="D8" t="s">
        <v>29</v>
      </c>
      <c r="E8" s="2" t="s">
        <v>30</v>
      </c>
      <c r="F8" s="2">
        <v>37211</v>
      </c>
      <c r="G8" s="2" t="s">
        <v>152</v>
      </c>
      <c r="H8" t="s">
        <v>176</v>
      </c>
      <c r="I8" s="6">
        <v>22091</v>
      </c>
      <c r="J8" s="2" t="s">
        <v>6603</v>
      </c>
      <c r="K8" s="2" t="s">
        <v>34</v>
      </c>
      <c r="L8" t="s">
        <v>178</v>
      </c>
      <c r="M8" t="s">
        <v>29</v>
      </c>
      <c r="N8" t="s">
        <v>30</v>
      </c>
      <c r="O8">
        <v>37246</v>
      </c>
      <c r="P8" t="s">
        <v>6604</v>
      </c>
      <c r="Q8" s="2">
        <v>0.51</v>
      </c>
      <c r="R8" s="2">
        <v>85</v>
      </c>
      <c r="S8" s="2">
        <v>296</v>
      </c>
      <c r="T8" t="s">
        <v>6603</v>
      </c>
      <c r="U8" s="6">
        <v>22091</v>
      </c>
      <c r="V8" s="2">
        <v>47037018902</v>
      </c>
      <c r="W8" s="2" t="s">
        <v>68</v>
      </c>
      <c r="X8" s="1">
        <v>45658</v>
      </c>
      <c r="Y8" s="2">
        <v>225000</v>
      </c>
      <c r="Z8" s="2">
        <v>0</v>
      </c>
      <c r="AA8" s="2">
        <v>225000</v>
      </c>
    </row>
    <row r="9" spans="1:27" x14ac:dyDescent="0.3">
      <c r="A9" s="3">
        <v>26</v>
      </c>
      <c r="B9" s="2" t="str">
        <f>"14705018100"</f>
        <v>14705018100</v>
      </c>
      <c r="C9" s="2" t="s">
        <v>6605</v>
      </c>
      <c r="D9" t="s">
        <v>29</v>
      </c>
      <c r="E9" s="2" t="s">
        <v>30</v>
      </c>
      <c r="F9" s="2">
        <v>37211</v>
      </c>
      <c r="G9" s="2" t="s">
        <v>152</v>
      </c>
      <c r="H9" t="s">
        <v>176</v>
      </c>
      <c r="I9" s="6">
        <v>20114</v>
      </c>
      <c r="J9" s="2" t="s">
        <v>6606</v>
      </c>
      <c r="K9" s="2" t="s">
        <v>34</v>
      </c>
      <c r="L9" t="s">
        <v>178</v>
      </c>
      <c r="M9" t="s">
        <v>29</v>
      </c>
      <c r="N9" t="s">
        <v>30</v>
      </c>
      <c r="O9">
        <v>37246</v>
      </c>
      <c r="P9" t="s">
        <v>6607</v>
      </c>
      <c r="Q9" s="2">
        <v>0.62</v>
      </c>
      <c r="R9" s="2">
        <v>161</v>
      </c>
      <c r="S9" s="2">
        <v>281</v>
      </c>
      <c r="T9" t="s">
        <v>6606</v>
      </c>
      <c r="U9" s="6">
        <v>20114</v>
      </c>
      <c r="V9" s="2">
        <v>47037018902</v>
      </c>
      <c r="W9" s="2" t="s">
        <v>68</v>
      </c>
      <c r="X9" s="1">
        <v>45658</v>
      </c>
      <c r="Y9" s="2">
        <v>261300</v>
      </c>
      <c r="Z9" s="2">
        <v>0</v>
      </c>
      <c r="AA9" s="2">
        <v>261300</v>
      </c>
    </row>
    <row r="10" spans="1:27" x14ac:dyDescent="0.3">
      <c r="A10" s="3">
        <v>26</v>
      </c>
      <c r="B10" s="2" t="str">
        <f>"13216002900"</f>
        <v>13216002900</v>
      </c>
      <c r="C10" s="2" t="s">
        <v>6608</v>
      </c>
      <c r="D10" t="s">
        <v>29</v>
      </c>
      <c r="E10" s="2" t="s">
        <v>30</v>
      </c>
      <c r="F10" s="2">
        <v>37211</v>
      </c>
      <c r="G10" s="2" t="s">
        <v>152</v>
      </c>
      <c r="H10" t="s">
        <v>176</v>
      </c>
      <c r="I10" s="6">
        <v>22642</v>
      </c>
      <c r="J10" s="2" t="s">
        <v>6609</v>
      </c>
      <c r="K10" s="2" t="s">
        <v>34</v>
      </c>
      <c r="L10" t="s">
        <v>178</v>
      </c>
      <c r="M10" t="s">
        <v>29</v>
      </c>
      <c r="N10" t="s">
        <v>30</v>
      </c>
      <c r="O10">
        <v>37246</v>
      </c>
      <c r="P10" t="s">
        <v>6610</v>
      </c>
      <c r="Q10" s="2">
        <v>0.49</v>
      </c>
      <c r="R10" s="2">
        <v>120</v>
      </c>
      <c r="S10" s="2">
        <v>162</v>
      </c>
      <c r="T10" t="s">
        <v>6609</v>
      </c>
      <c r="U10" s="6">
        <v>22642</v>
      </c>
      <c r="V10" s="2">
        <v>47037018901</v>
      </c>
      <c r="W10" s="2" t="s">
        <v>68</v>
      </c>
      <c r="X10" s="1">
        <v>45658</v>
      </c>
      <c r="Y10" s="2">
        <v>261300</v>
      </c>
      <c r="Z10" s="2">
        <v>0</v>
      </c>
      <c r="AA10" s="2">
        <v>261300</v>
      </c>
    </row>
    <row r="11" spans="1:27" x14ac:dyDescent="0.3">
      <c r="A11" s="3">
        <v>26</v>
      </c>
      <c r="B11" s="2" t="str">
        <f>"13314002700"</f>
        <v>13314002700</v>
      </c>
      <c r="C11" s="2" t="s">
        <v>6611</v>
      </c>
      <c r="D11" t="s">
        <v>29</v>
      </c>
      <c r="E11" s="2" t="s">
        <v>30</v>
      </c>
      <c r="F11" s="2">
        <v>37211</v>
      </c>
      <c r="G11" s="2" t="s">
        <v>152</v>
      </c>
      <c r="H11" t="s">
        <v>176</v>
      </c>
      <c r="I11" s="6">
        <v>20201</v>
      </c>
      <c r="J11" s="2" t="s">
        <v>6612</v>
      </c>
      <c r="K11" s="2" t="s">
        <v>34</v>
      </c>
      <c r="L11" t="s">
        <v>178</v>
      </c>
      <c r="M11" t="s">
        <v>29</v>
      </c>
      <c r="N11" t="s">
        <v>30</v>
      </c>
      <c r="O11">
        <v>37246</v>
      </c>
      <c r="P11" t="s">
        <v>6613</v>
      </c>
      <c r="Q11" s="2">
        <v>0.37</v>
      </c>
      <c r="R11" s="2">
        <v>74</v>
      </c>
      <c r="S11" s="2">
        <v>198</v>
      </c>
      <c r="T11" t="s">
        <v>6612</v>
      </c>
      <c r="U11" s="6">
        <v>20201</v>
      </c>
      <c r="V11" s="2">
        <v>47037018901</v>
      </c>
      <c r="W11" s="2" t="s">
        <v>68</v>
      </c>
      <c r="X11" s="1">
        <v>45658</v>
      </c>
      <c r="Y11" s="2">
        <v>250000</v>
      </c>
      <c r="Z11" s="2">
        <v>0</v>
      </c>
      <c r="AA11" s="2">
        <v>250000</v>
      </c>
    </row>
    <row r="12" spans="1:27" x14ac:dyDescent="0.3">
      <c r="A12" s="3">
        <v>26</v>
      </c>
      <c r="B12" s="2" t="str">
        <f>"14607005401"</f>
        <v>14607005401</v>
      </c>
      <c r="C12" s="2" t="s">
        <v>6614</v>
      </c>
      <c r="D12" t="s">
        <v>29</v>
      </c>
      <c r="E12" s="2" t="s">
        <v>30</v>
      </c>
      <c r="F12" s="2">
        <v>37220</v>
      </c>
      <c r="G12" s="2" t="s">
        <v>152</v>
      </c>
      <c r="H12" t="s">
        <v>176</v>
      </c>
      <c r="I12" s="6">
        <v>19923</v>
      </c>
      <c r="J12" s="2" t="s">
        <v>6615</v>
      </c>
      <c r="K12" s="2" t="s">
        <v>34</v>
      </c>
      <c r="L12" t="s">
        <v>178</v>
      </c>
      <c r="M12" t="s">
        <v>29</v>
      </c>
      <c r="N12" t="s">
        <v>30</v>
      </c>
      <c r="O12">
        <v>37246</v>
      </c>
      <c r="P12" t="s">
        <v>6616</v>
      </c>
      <c r="Q12" s="2">
        <v>0.64</v>
      </c>
      <c r="R12" s="2">
        <v>200</v>
      </c>
      <c r="S12" s="2">
        <v>110</v>
      </c>
      <c r="T12" t="s">
        <v>6615</v>
      </c>
      <c r="U12" s="6">
        <v>19923</v>
      </c>
      <c r="V12" s="2">
        <v>47037018801</v>
      </c>
      <c r="W12" s="2" t="s">
        <v>68</v>
      </c>
      <c r="X12" s="1">
        <v>45658</v>
      </c>
      <c r="Y12" s="2">
        <v>375000</v>
      </c>
      <c r="Z12" s="2">
        <v>0</v>
      </c>
      <c r="AA12" s="2">
        <v>375000</v>
      </c>
    </row>
    <row r="13" spans="1:27" x14ac:dyDescent="0.3">
      <c r="A13" s="3">
        <v>26</v>
      </c>
      <c r="B13" s="2" t="str">
        <f>"11807000100"</f>
        <v>11807000100</v>
      </c>
      <c r="C13" s="2" t="s">
        <v>6617</v>
      </c>
      <c r="D13" t="s">
        <v>29</v>
      </c>
      <c r="E13" s="2" t="s">
        <v>30</v>
      </c>
      <c r="F13" s="2">
        <v>37204</v>
      </c>
      <c r="G13" s="2" t="s">
        <v>152</v>
      </c>
      <c r="H13" t="s">
        <v>176</v>
      </c>
      <c r="I13" s="6">
        <v>17035</v>
      </c>
      <c r="J13" s="2" t="s">
        <v>6618</v>
      </c>
      <c r="K13" s="2" t="s">
        <v>34</v>
      </c>
      <c r="L13" t="s">
        <v>178</v>
      </c>
      <c r="M13" t="s">
        <v>29</v>
      </c>
      <c r="N13" t="s">
        <v>30</v>
      </c>
      <c r="O13">
        <v>37246</v>
      </c>
      <c r="P13" t="s">
        <v>6619</v>
      </c>
      <c r="Q13" s="2">
        <v>3.72</v>
      </c>
      <c r="R13" s="2">
        <v>377</v>
      </c>
      <c r="S13" s="2">
        <v>310</v>
      </c>
      <c r="T13" t="s">
        <v>6620</v>
      </c>
      <c r="U13" s="6">
        <v>44221</v>
      </c>
      <c r="V13" s="2">
        <v>47037017200</v>
      </c>
      <c r="W13" s="2" t="s">
        <v>6621</v>
      </c>
      <c r="X13" s="1">
        <v>45658</v>
      </c>
      <c r="Y13" s="2">
        <v>4861300</v>
      </c>
      <c r="Z13" s="2">
        <v>0</v>
      </c>
      <c r="AA13" s="2">
        <v>4861300</v>
      </c>
    </row>
    <row r="14" spans="1:27" x14ac:dyDescent="0.3">
      <c r="A14" s="3">
        <v>26</v>
      </c>
      <c r="B14" s="2" t="str">
        <f>"13300000400"</f>
        <v>13300000400</v>
      </c>
      <c r="C14" s="2" t="s">
        <v>6622</v>
      </c>
      <c r="D14" t="s">
        <v>29</v>
      </c>
      <c r="E14" s="2" t="s">
        <v>30</v>
      </c>
      <c r="F14" s="2">
        <v>37211</v>
      </c>
      <c r="G14" s="2" t="s">
        <v>200</v>
      </c>
      <c r="H14" t="s">
        <v>6623</v>
      </c>
      <c r="I14" s="6">
        <v>34878</v>
      </c>
      <c r="J14" s="2" t="s">
        <v>6624</v>
      </c>
      <c r="K14" s="2">
        <v>0</v>
      </c>
      <c r="L14" t="s">
        <v>35</v>
      </c>
      <c r="M14" t="s">
        <v>29</v>
      </c>
      <c r="N14" t="s">
        <v>30</v>
      </c>
      <c r="O14">
        <v>37219</v>
      </c>
      <c r="P14" t="s">
        <v>6625</v>
      </c>
      <c r="Q14" s="2">
        <v>195.03</v>
      </c>
      <c r="R14" s="2">
        <v>0</v>
      </c>
      <c r="S14" s="2">
        <v>0</v>
      </c>
      <c r="T14" t="s">
        <v>6626</v>
      </c>
      <c r="U14" s="6">
        <v>30365</v>
      </c>
      <c r="V14" s="2">
        <v>47037018901</v>
      </c>
      <c r="W14" s="2" t="s">
        <v>68</v>
      </c>
      <c r="X14" s="1">
        <v>45658</v>
      </c>
      <c r="Y14" s="2">
        <v>2252800</v>
      </c>
      <c r="Z14" s="2">
        <v>0</v>
      </c>
      <c r="AA14" s="2">
        <v>2252800</v>
      </c>
    </row>
    <row r="15" spans="1:27" x14ac:dyDescent="0.3">
      <c r="A15" s="3">
        <v>26</v>
      </c>
      <c r="B15" s="2" t="str">
        <f>"16000017500"</f>
        <v>16000017500</v>
      </c>
      <c r="C15" s="2" t="s">
        <v>6627</v>
      </c>
      <c r="D15" t="s">
        <v>1117</v>
      </c>
      <c r="E15" s="2" t="s">
        <v>30</v>
      </c>
      <c r="F15" s="2">
        <v>37027</v>
      </c>
      <c r="G15" s="2" t="s">
        <v>200</v>
      </c>
      <c r="H15" t="s">
        <v>206</v>
      </c>
      <c r="I15" s="6">
        <v>29117</v>
      </c>
      <c r="J15" s="2" t="s">
        <v>6628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6629</v>
      </c>
      <c r="Q15" s="2">
        <v>7.01</v>
      </c>
      <c r="R15" s="2">
        <v>0</v>
      </c>
      <c r="S15" s="2">
        <v>0</v>
      </c>
      <c r="T15" t="s">
        <v>6628</v>
      </c>
      <c r="U15" s="6">
        <v>29117</v>
      </c>
      <c r="V15" s="2">
        <v>47037018803</v>
      </c>
      <c r="W15" s="2" t="s">
        <v>68</v>
      </c>
      <c r="X15" s="1">
        <v>45658</v>
      </c>
      <c r="Y15" s="2">
        <v>1500800</v>
      </c>
      <c r="Z15" s="2">
        <v>0</v>
      </c>
      <c r="AA15" s="2">
        <v>1500800</v>
      </c>
    </row>
    <row r="16" spans="1:27" x14ac:dyDescent="0.3">
      <c r="A16" s="3">
        <v>26</v>
      </c>
      <c r="B16" s="2" t="str">
        <f>"16100022500"</f>
        <v>16100022500</v>
      </c>
      <c r="C16" s="2" t="s">
        <v>6630</v>
      </c>
      <c r="D16" t="s">
        <v>29</v>
      </c>
      <c r="E16" s="2" t="s">
        <v>30</v>
      </c>
      <c r="F16" s="2">
        <v>37211</v>
      </c>
      <c r="G16" s="2" t="s">
        <v>64</v>
      </c>
      <c r="H16" t="s">
        <v>206</v>
      </c>
      <c r="I16" s="6">
        <v>34667</v>
      </c>
      <c r="J16" s="2" t="s">
        <v>6631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6632</v>
      </c>
      <c r="Q16" s="2">
        <v>21.06</v>
      </c>
      <c r="R16" s="2">
        <v>0</v>
      </c>
      <c r="S16" s="2">
        <v>0</v>
      </c>
      <c r="T16" t="s">
        <v>6633</v>
      </c>
      <c r="U16" s="6">
        <v>31418</v>
      </c>
      <c r="V16" s="2">
        <v>47037018905</v>
      </c>
      <c r="W16" s="2" t="s">
        <v>68</v>
      </c>
      <c r="X16" s="1">
        <v>45658</v>
      </c>
      <c r="Y16" s="2">
        <v>1579500</v>
      </c>
      <c r="Z16" s="2">
        <v>0</v>
      </c>
      <c r="AA16" s="2">
        <v>1579500</v>
      </c>
    </row>
    <row r="17" spans="1:27" x14ac:dyDescent="0.3">
      <c r="A17" s="3">
        <v>26</v>
      </c>
      <c r="B17" s="2" t="str">
        <f>"16002003900"</f>
        <v>16002003900</v>
      </c>
      <c r="C17" s="2" t="s">
        <v>6634</v>
      </c>
      <c r="D17" t="s">
        <v>29</v>
      </c>
      <c r="E17" s="2" t="s">
        <v>30</v>
      </c>
      <c r="F17" s="2">
        <v>37220</v>
      </c>
      <c r="G17" s="2" t="s">
        <v>64</v>
      </c>
      <c r="H17" t="s">
        <v>211</v>
      </c>
      <c r="I17" s="6">
        <v>29678</v>
      </c>
      <c r="J17" s="2" t="s">
        <v>6635</v>
      </c>
      <c r="K17" s="2">
        <v>171</v>
      </c>
      <c r="L17" t="s">
        <v>35</v>
      </c>
      <c r="M17" t="s">
        <v>29</v>
      </c>
      <c r="N17" t="s">
        <v>30</v>
      </c>
      <c r="O17">
        <v>37219</v>
      </c>
      <c r="P17" t="s">
        <v>6636</v>
      </c>
      <c r="Q17" s="2">
        <v>0.12</v>
      </c>
      <c r="R17" s="2">
        <v>8</v>
      </c>
      <c r="S17" s="2">
        <v>256</v>
      </c>
      <c r="T17" t="s">
        <v>6637</v>
      </c>
      <c r="U17" s="6">
        <v>20359</v>
      </c>
      <c r="V17" s="2">
        <v>47037018801</v>
      </c>
      <c r="W17" s="2" t="s">
        <v>68</v>
      </c>
      <c r="X17" s="1">
        <v>45658</v>
      </c>
      <c r="Y17" s="2">
        <v>1500</v>
      </c>
      <c r="Z17" s="2">
        <v>0</v>
      </c>
      <c r="AA17" s="2">
        <v>1500</v>
      </c>
    </row>
    <row r="18" spans="1:27" x14ac:dyDescent="0.3">
      <c r="A18" s="3">
        <v>26</v>
      </c>
      <c r="B18" s="2" t="str">
        <f>"14707000400"</f>
        <v>14707000400</v>
      </c>
      <c r="C18" s="2" t="s">
        <v>1116</v>
      </c>
      <c r="D18" t="s">
        <v>29</v>
      </c>
      <c r="E18" s="2" t="s">
        <v>30</v>
      </c>
      <c r="F18" s="2">
        <v>37211</v>
      </c>
      <c r="G18" s="2" t="s">
        <v>64</v>
      </c>
      <c r="H18" t="s">
        <v>211</v>
      </c>
      <c r="I18" s="6">
        <v>40772</v>
      </c>
      <c r="J18" s="2" t="s">
        <v>6638</v>
      </c>
      <c r="K18" s="2">
        <v>378</v>
      </c>
      <c r="L18" t="s">
        <v>35</v>
      </c>
      <c r="M18" t="s">
        <v>29</v>
      </c>
      <c r="N18" t="s">
        <v>30</v>
      </c>
      <c r="O18">
        <v>37219</v>
      </c>
      <c r="P18" t="s">
        <v>6639</v>
      </c>
      <c r="Q18" s="2">
        <v>0.15</v>
      </c>
      <c r="R18" s="2">
        <v>71</v>
      </c>
      <c r="S18" s="2">
        <v>183</v>
      </c>
      <c r="T18" t="s">
        <v>6640</v>
      </c>
      <c r="U18" s="6">
        <v>32924</v>
      </c>
      <c r="V18" s="2">
        <v>47037018902</v>
      </c>
      <c r="W18" s="2" t="s">
        <v>68</v>
      </c>
      <c r="X18" s="1">
        <v>45658</v>
      </c>
      <c r="Y18" s="2">
        <v>1500</v>
      </c>
      <c r="Z18" s="2">
        <v>0</v>
      </c>
      <c r="AA18" s="2">
        <v>1500</v>
      </c>
    </row>
    <row r="19" spans="1:27" x14ac:dyDescent="0.3">
      <c r="A19" s="3">
        <v>26</v>
      </c>
      <c r="B19" s="2" t="str">
        <f>"14612015100"</f>
        <v>14612015100</v>
      </c>
      <c r="C19" s="2" t="s">
        <v>6641</v>
      </c>
      <c r="D19" t="s">
        <v>29</v>
      </c>
      <c r="E19" s="2" t="s">
        <v>30</v>
      </c>
      <c r="F19" s="2">
        <v>37220</v>
      </c>
      <c r="G19" s="2" t="s">
        <v>253</v>
      </c>
      <c r="H19" t="s">
        <v>6642</v>
      </c>
      <c r="I19" s="6">
        <v>19567</v>
      </c>
      <c r="J19" s="2" t="s">
        <v>6643</v>
      </c>
      <c r="K19" s="2" t="s">
        <v>34</v>
      </c>
      <c r="L19" t="s">
        <v>35</v>
      </c>
      <c r="M19" t="s">
        <v>29</v>
      </c>
      <c r="N19" t="s">
        <v>30</v>
      </c>
      <c r="O19">
        <v>37219</v>
      </c>
      <c r="P19" t="s">
        <v>6644</v>
      </c>
      <c r="Q19" s="2">
        <v>16.57</v>
      </c>
      <c r="R19" s="2">
        <v>0</v>
      </c>
      <c r="S19" s="2">
        <v>0</v>
      </c>
      <c r="T19" t="s">
        <v>6643</v>
      </c>
      <c r="U19" s="6">
        <v>19567</v>
      </c>
      <c r="V19" s="2">
        <v>47037018801</v>
      </c>
      <c r="W19" s="2" t="s">
        <v>68</v>
      </c>
      <c r="X19" s="1">
        <v>45658</v>
      </c>
      <c r="Y19" s="2">
        <v>973000</v>
      </c>
      <c r="Z19" s="2">
        <v>0</v>
      </c>
      <c r="AA19" s="2">
        <v>973000</v>
      </c>
    </row>
    <row r="20" spans="1:27" x14ac:dyDescent="0.3">
      <c r="A20" s="3">
        <v>26</v>
      </c>
      <c r="B20" s="2" t="str">
        <f>"16012000400"</f>
        <v>16012000400</v>
      </c>
      <c r="C20" s="2" t="s">
        <v>6645</v>
      </c>
      <c r="D20" t="s">
        <v>1117</v>
      </c>
      <c r="E20" s="2" t="s">
        <v>30</v>
      </c>
      <c r="F20" s="2">
        <v>37027</v>
      </c>
      <c r="G20" s="2" t="s">
        <v>253</v>
      </c>
      <c r="H20" t="s">
        <v>6646</v>
      </c>
      <c r="I20" s="6">
        <v>23342</v>
      </c>
      <c r="J20" s="2" t="s">
        <v>6647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6648</v>
      </c>
      <c r="Q20" s="2">
        <v>11.6</v>
      </c>
      <c r="R20" s="2">
        <v>0</v>
      </c>
      <c r="S20" s="2">
        <v>0</v>
      </c>
      <c r="T20" t="s">
        <v>6647</v>
      </c>
      <c r="U20" s="6">
        <v>23342</v>
      </c>
      <c r="V20" s="2">
        <v>47037018803</v>
      </c>
      <c r="W20" s="2" t="s">
        <v>68</v>
      </c>
      <c r="X20" s="1">
        <v>45658</v>
      </c>
      <c r="Y20" s="2">
        <v>1195000</v>
      </c>
      <c r="Z20" s="2">
        <v>0</v>
      </c>
      <c r="AA20" s="2">
        <v>1195000</v>
      </c>
    </row>
    <row r="21" spans="1:27" x14ac:dyDescent="0.3">
      <c r="A21" s="3">
        <v>26</v>
      </c>
      <c r="B21" s="2" t="str">
        <f>"14701016300"</f>
        <v>14701016300</v>
      </c>
      <c r="C21" s="2" t="s">
        <v>6649</v>
      </c>
      <c r="D21" t="s">
        <v>29</v>
      </c>
      <c r="E21" s="2" t="s">
        <v>30</v>
      </c>
      <c r="F21" s="2">
        <v>37211</v>
      </c>
      <c r="G21" s="2" t="s">
        <v>253</v>
      </c>
      <c r="H21" t="s">
        <v>6650</v>
      </c>
      <c r="I21" s="6">
        <v>21832</v>
      </c>
      <c r="J21" s="2" t="s">
        <v>6651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6652</v>
      </c>
      <c r="Q21" s="2">
        <v>10.64</v>
      </c>
      <c r="R21" s="2">
        <v>0</v>
      </c>
      <c r="S21" s="2">
        <v>0</v>
      </c>
      <c r="T21" t="s">
        <v>6651</v>
      </c>
      <c r="U21" s="6">
        <v>21832</v>
      </c>
      <c r="V21" s="2">
        <v>47037018902</v>
      </c>
      <c r="W21" s="2" t="s">
        <v>68</v>
      </c>
      <c r="X21" s="1">
        <v>45658</v>
      </c>
      <c r="Y21" s="2">
        <v>601700</v>
      </c>
      <c r="Z21" s="2">
        <v>0</v>
      </c>
      <c r="AA21" s="2">
        <v>601700</v>
      </c>
    </row>
    <row r="22" spans="1:27" x14ac:dyDescent="0.3">
      <c r="A22" s="3">
        <v>26</v>
      </c>
      <c r="B22" s="2" t="str">
        <f>"11803000800"</f>
        <v>11803000800</v>
      </c>
      <c r="C22" s="2" t="s">
        <v>4501</v>
      </c>
      <c r="D22" t="s">
        <v>29</v>
      </c>
      <c r="E22" s="2" t="s">
        <v>30</v>
      </c>
      <c r="F22" s="2">
        <v>37204</v>
      </c>
      <c r="G22" s="2" t="s">
        <v>2495</v>
      </c>
      <c r="H22" t="s">
        <v>6653</v>
      </c>
      <c r="I22" s="6">
        <v>18694</v>
      </c>
      <c r="J22" s="2" t="s">
        <v>6654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6655</v>
      </c>
      <c r="Q22" s="2">
        <v>15.65</v>
      </c>
      <c r="R22" s="2">
        <v>0</v>
      </c>
      <c r="S22" s="2">
        <v>0</v>
      </c>
      <c r="T22" t="s">
        <v>278</v>
      </c>
      <c r="U22" s="6">
        <v>36581</v>
      </c>
      <c r="V22" s="2">
        <v>47037017200</v>
      </c>
      <c r="W22" s="2" t="s">
        <v>6621</v>
      </c>
      <c r="X22" s="1">
        <v>45658</v>
      </c>
      <c r="Y22" s="2">
        <v>2504000</v>
      </c>
      <c r="Z22" s="2">
        <v>0</v>
      </c>
      <c r="AA22" s="2">
        <v>2504000</v>
      </c>
    </row>
    <row r="23" spans="1:27" x14ac:dyDescent="0.3">
      <c r="A23" s="3">
        <v>26</v>
      </c>
      <c r="B23" s="2" t="str">
        <f>"11816003800"</f>
        <v>11816003800</v>
      </c>
      <c r="C23" s="2" t="s">
        <v>6656</v>
      </c>
      <c r="D23" t="s">
        <v>29</v>
      </c>
      <c r="E23" s="2" t="s">
        <v>30</v>
      </c>
      <c r="F23" s="2">
        <v>37204</v>
      </c>
      <c r="G23" s="2" t="s">
        <v>152</v>
      </c>
      <c r="H23" t="s">
        <v>6657</v>
      </c>
      <c r="I23" s="6">
        <v>25510</v>
      </c>
      <c r="J23" s="2" t="s">
        <v>6658</v>
      </c>
      <c r="K23" s="2" t="s">
        <v>34</v>
      </c>
      <c r="L23" t="s">
        <v>35</v>
      </c>
      <c r="M23" t="s">
        <v>29</v>
      </c>
      <c r="N23" t="s">
        <v>30</v>
      </c>
      <c r="O23">
        <v>37219</v>
      </c>
      <c r="P23" t="s">
        <v>6659</v>
      </c>
      <c r="Q23" s="2">
        <v>2.5099999999999998</v>
      </c>
      <c r="R23" s="2">
        <v>480</v>
      </c>
      <c r="S23" s="2">
        <v>210</v>
      </c>
      <c r="T23" t="s">
        <v>6658</v>
      </c>
      <c r="U23" s="6">
        <v>25510</v>
      </c>
      <c r="V23" s="2">
        <v>47037980200</v>
      </c>
      <c r="W23" s="2" t="s">
        <v>68</v>
      </c>
      <c r="X23" s="1">
        <v>45658</v>
      </c>
      <c r="Y23" s="2">
        <v>2733400</v>
      </c>
      <c r="Z23" s="2">
        <v>0</v>
      </c>
      <c r="AA23" s="2">
        <v>2733400</v>
      </c>
    </row>
    <row r="24" spans="1:27" x14ac:dyDescent="0.3">
      <c r="A24" s="3">
        <v>26</v>
      </c>
      <c r="B24" s="2" t="str">
        <f>"11811017700"</f>
        <v>11811017700</v>
      </c>
      <c r="C24" s="2" t="s">
        <v>6660</v>
      </c>
      <c r="D24" t="s">
        <v>29</v>
      </c>
      <c r="E24" s="2" t="s">
        <v>30</v>
      </c>
      <c r="F24" s="2">
        <v>37204</v>
      </c>
      <c r="G24" s="2" t="s">
        <v>152</v>
      </c>
      <c r="H24" t="s">
        <v>280</v>
      </c>
      <c r="I24" s="6">
        <v>31947</v>
      </c>
      <c r="J24" s="2" t="s">
        <v>6661</v>
      </c>
      <c r="K24" s="2">
        <v>41400</v>
      </c>
      <c r="L24" t="s">
        <v>35</v>
      </c>
      <c r="M24" t="s">
        <v>29</v>
      </c>
      <c r="N24" t="s">
        <v>30</v>
      </c>
      <c r="O24">
        <v>37219</v>
      </c>
      <c r="P24" t="s">
        <v>6662</v>
      </c>
      <c r="Q24" s="2">
        <v>0.61</v>
      </c>
      <c r="R24" s="2">
        <v>30</v>
      </c>
      <c r="S24" s="2">
        <v>350</v>
      </c>
      <c r="T24" t="s">
        <v>6661</v>
      </c>
      <c r="U24" s="6">
        <v>31947</v>
      </c>
      <c r="V24" s="2">
        <v>47037980200</v>
      </c>
      <c r="W24" s="2" t="s">
        <v>68</v>
      </c>
      <c r="X24" s="1">
        <v>45658</v>
      </c>
      <c r="Y24" s="2">
        <v>398600</v>
      </c>
      <c r="Z24" s="2">
        <v>0</v>
      </c>
      <c r="AA24" s="2">
        <v>398600</v>
      </c>
    </row>
    <row r="25" spans="1:27" x14ac:dyDescent="0.3">
      <c r="A25" s="3">
        <v>26</v>
      </c>
      <c r="B25" s="2" t="str">
        <f>"14707000800"</f>
        <v>14707000800</v>
      </c>
      <c r="C25" s="2" t="s">
        <v>6663</v>
      </c>
      <c r="D25" t="s">
        <v>29</v>
      </c>
      <c r="E25" s="2" t="s">
        <v>30</v>
      </c>
      <c r="F25" s="2">
        <v>37211</v>
      </c>
      <c r="G25" s="2" t="s">
        <v>64</v>
      </c>
      <c r="H25" t="s">
        <v>280</v>
      </c>
      <c r="I25" s="6">
        <v>38800</v>
      </c>
      <c r="J25" s="2" t="s">
        <v>6664</v>
      </c>
      <c r="K25" s="2">
        <v>112000</v>
      </c>
      <c r="L25" t="s">
        <v>35</v>
      </c>
      <c r="M25" t="s">
        <v>29</v>
      </c>
      <c r="N25" t="s">
        <v>30</v>
      </c>
      <c r="O25">
        <v>37219</v>
      </c>
      <c r="P25" t="s">
        <v>6665</v>
      </c>
      <c r="Q25" s="2">
        <v>0.67</v>
      </c>
      <c r="R25" s="2">
        <v>85</v>
      </c>
      <c r="S25" s="2">
        <v>332</v>
      </c>
      <c r="T25" t="s">
        <v>6666</v>
      </c>
      <c r="U25" s="6">
        <v>33371</v>
      </c>
      <c r="V25" s="2">
        <v>47037018902</v>
      </c>
      <c r="W25" s="2" t="s">
        <v>68</v>
      </c>
      <c r="X25" s="1">
        <v>45658</v>
      </c>
      <c r="Y25" s="2">
        <v>225000</v>
      </c>
      <c r="Z25" s="2">
        <v>0</v>
      </c>
      <c r="AA25" s="2">
        <v>225000</v>
      </c>
    </row>
    <row r="26" spans="1:27" x14ac:dyDescent="0.3">
      <c r="A26" s="3">
        <v>26</v>
      </c>
      <c r="B26" s="2" t="str">
        <f>"14707001200"</f>
        <v>14707001200</v>
      </c>
      <c r="C26" s="2" t="s">
        <v>6667</v>
      </c>
      <c r="D26" t="s">
        <v>29</v>
      </c>
      <c r="E26" s="2" t="s">
        <v>30</v>
      </c>
      <c r="F26" s="2">
        <v>37211</v>
      </c>
      <c r="G26" s="2" t="s">
        <v>64</v>
      </c>
      <c r="H26" t="s">
        <v>280</v>
      </c>
      <c r="I26" s="6">
        <v>38651</v>
      </c>
      <c r="J26" s="2" t="s">
        <v>6668</v>
      </c>
      <c r="K26" s="2">
        <v>117500</v>
      </c>
      <c r="L26" t="s">
        <v>35</v>
      </c>
      <c r="M26" t="s">
        <v>29</v>
      </c>
      <c r="N26" t="s">
        <v>30</v>
      </c>
      <c r="O26">
        <v>37219</v>
      </c>
      <c r="P26" t="s">
        <v>6669</v>
      </c>
      <c r="Q26" s="2">
        <v>0.88</v>
      </c>
      <c r="R26" s="2">
        <v>85</v>
      </c>
      <c r="S26" s="2">
        <v>350</v>
      </c>
      <c r="T26" t="s">
        <v>6670</v>
      </c>
      <c r="U26" s="6">
        <v>33179</v>
      </c>
      <c r="V26" s="2">
        <v>47037018902</v>
      </c>
      <c r="W26" s="2" t="s">
        <v>68</v>
      </c>
      <c r="X26" s="1">
        <v>45658</v>
      </c>
      <c r="Y26" s="2">
        <v>225000</v>
      </c>
      <c r="Z26" s="2">
        <v>0</v>
      </c>
      <c r="AA26" s="2">
        <v>225000</v>
      </c>
    </row>
    <row r="27" spans="1:27" x14ac:dyDescent="0.3">
      <c r="A27" s="3">
        <v>26</v>
      </c>
      <c r="B27" s="2" t="str">
        <f>"14706019800"</f>
        <v>14706019800</v>
      </c>
      <c r="C27" s="2" t="s">
        <v>6671</v>
      </c>
      <c r="D27" t="s">
        <v>29</v>
      </c>
      <c r="E27" s="2" t="s">
        <v>30</v>
      </c>
      <c r="F27" s="2">
        <v>37211</v>
      </c>
      <c r="G27" s="2" t="s">
        <v>64</v>
      </c>
      <c r="H27" t="s">
        <v>280</v>
      </c>
      <c r="I27" s="6">
        <v>37834</v>
      </c>
      <c r="J27" s="2" t="s">
        <v>6672</v>
      </c>
      <c r="K27" s="2" t="s">
        <v>34</v>
      </c>
      <c r="L27" t="s">
        <v>35</v>
      </c>
      <c r="M27" t="s">
        <v>29</v>
      </c>
      <c r="N27" t="s">
        <v>30</v>
      </c>
      <c r="O27">
        <v>37219</v>
      </c>
      <c r="P27" t="s">
        <v>6673</v>
      </c>
      <c r="Q27" s="2">
        <v>0.95</v>
      </c>
      <c r="R27" s="2">
        <v>80</v>
      </c>
      <c r="S27" s="2">
        <v>440</v>
      </c>
      <c r="T27" t="s">
        <v>6674</v>
      </c>
      <c r="U27" s="6">
        <v>26233</v>
      </c>
      <c r="V27" s="2">
        <v>47037018902</v>
      </c>
      <c r="W27" s="2" t="s">
        <v>68</v>
      </c>
      <c r="X27" s="1">
        <v>45658</v>
      </c>
      <c r="Y27" s="2">
        <v>267200</v>
      </c>
      <c r="Z27" s="2">
        <v>0</v>
      </c>
      <c r="AA27" s="2">
        <v>267200</v>
      </c>
    </row>
    <row r="28" spans="1:27" x14ac:dyDescent="0.3">
      <c r="A28" s="3">
        <v>26</v>
      </c>
      <c r="B28" s="2" t="str">
        <f>"14706010701"</f>
        <v>14706010701</v>
      </c>
      <c r="C28" s="2" t="s">
        <v>6675</v>
      </c>
      <c r="D28" t="s">
        <v>29</v>
      </c>
      <c r="E28" s="2" t="s">
        <v>30</v>
      </c>
      <c r="F28" s="2">
        <v>37211</v>
      </c>
      <c r="G28" s="2" t="s">
        <v>64</v>
      </c>
      <c r="H28" t="s">
        <v>280</v>
      </c>
      <c r="I28" s="6">
        <v>37819</v>
      </c>
      <c r="J28" s="2" t="s">
        <v>6676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6677</v>
      </c>
      <c r="Q28" s="2">
        <v>0.48</v>
      </c>
      <c r="R28" s="2">
        <v>88</v>
      </c>
      <c r="S28" s="2">
        <v>266</v>
      </c>
      <c r="T28" t="s">
        <v>6678</v>
      </c>
      <c r="U28" s="6">
        <v>24447</v>
      </c>
      <c r="V28" s="2">
        <v>47037018902</v>
      </c>
      <c r="W28" s="2" t="s">
        <v>68</v>
      </c>
      <c r="X28" s="1">
        <v>45658</v>
      </c>
      <c r="Y28" s="2">
        <v>247500</v>
      </c>
      <c r="Z28" s="2">
        <v>0</v>
      </c>
      <c r="AA28" s="2">
        <v>247500</v>
      </c>
    </row>
    <row r="29" spans="1:27" x14ac:dyDescent="0.3">
      <c r="A29" s="3">
        <v>26</v>
      </c>
      <c r="B29" s="2" t="str">
        <f>"16008006300"</f>
        <v>16008006300</v>
      </c>
      <c r="C29" s="2" t="s">
        <v>6679</v>
      </c>
      <c r="D29" t="s">
        <v>29</v>
      </c>
      <c r="E29" s="2" t="s">
        <v>30</v>
      </c>
      <c r="F29" s="2">
        <v>37220</v>
      </c>
      <c r="G29" s="2" t="s">
        <v>64</v>
      </c>
      <c r="H29" t="s">
        <v>280</v>
      </c>
      <c r="I29" s="6">
        <v>39906</v>
      </c>
      <c r="J29" s="2" t="s">
        <v>6680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6681</v>
      </c>
      <c r="Q29" s="2">
        <v>0.56999999999999995</v>
      </c>
      <c r="R29" s="2">
        <v>75</v>
      </c>
      <c r="S29" s="2">
        <v>253</v>
      </c>
      <c r="T29" t="s">
        <v>6682</v>
      </c>
      <c r="U29" s="6">
        <v>24764</v>
      </c>
      <c r="V29" s="2">
        <v>47037018801</v>
      </c>
      <c r="W29" s="2" t="s">
        <v>68</v>
      </c>
      <c r="X29" s="1">
        <v>45658</v>
      </c>
      <c r="Y29" s="2">
        <v>175000</v>
      </c>
      <c r="Z29" s="2">
        <v>0</v>
      </c>
      <c r="AA29" s="2">
        <v>175000</v>
      </c>
    </row>
    <row r="30" spans="1:27" x14ac:dyDescent="0.3">
      <c r="A30" s="3">
        <v>26</v>
      </c>
      <c r="B30" s="2" t="str">
        <f>"16008006400"</f>
        <v>16008006400</v>
      </c>
      <c r="C30" s="2" t="s">
        <v>6683</v>
      </c>
      <c r="D30" t="s">
        <v>29</v>
      </c>
      <c r="E30" s="2" t="s">
        <v>30</v>
      </c>
      <c r="F30" s="2">
        <v>37220</v>
      </c>
      <c r="G30" s="2" t="s">
        <v>64</v>
      </c>
      <c r="H30" t="s">
        <v>280</v>
      </c>
      <c r="I30" s="6">
        <v>39911</v>
      </c>
      <c r="J30" s="2" t="s">
        <v>6684</v>
      </c>
      <c r="K30" s="2">
        <v>0</v>
      </c>
      <c r="L30" t="s">
        <v>35</v>
      </c>
      <c r="M30" t="s">
        <v>29</v>
      </c>
      <c r="N30" t="s">
        <v>30</v>
      </c>
      <c r="O30">
        <v>37219</v>
      </c>
      <c r="P30" t="s">
        <v>6685</v>
      </c>
      <c r="Q30" s="2">
        <v>0.89</v>
      </c>
      <c r="R30" s="2">
        <v>136</v>
      </c>
      <c r="S30" s="2">
        <v>253</v>
      </c>
      <c r="T30" t="s">
        <v>6686</v>
      </c>
      <c r="U30" s="6">
        <v>24917</v>
      </c>
      <c r="V30" s="2">
        <v>47037018801</v>
      </c>
      <c r="W30" s="2" t="s">
        <v>68</v>
      </c>
      <c r="X30" s="1">
        <v>45658</v>
      </c>
      <c r="Y30" s="2">
        <v>350000</v>
      </c>
      <c r="Z30" s="2">
        <v>0</v>
      </c>
      <c r="AA30" s="2">
        <v>350000</v>
      </c>
    </row>
    <row r="31" spans="1:27" x14ac:dyDescent="0.3">
      <c r="A31" s="3">
        <v>26</v>
      </c>
      <c r="B31" s="2" t="str">
        <f>"14706011200"</f>
        <v>14706011200</v>
      </c>
      <c r="C31" s="2" t="s">
        <v>6687</v>
      </c>
      <c r="D31" t="s">
        <v>29</v>
      </c>
      <c r="E31" s="2" t="s">
        <v>30</v>
      </c>
      <c r="F31" s="2">
        <v>37211</v>
      </c>
      <c r="G31" s="2" t="s">
        <v>64</v>
      </c>
      <c r="H31" t="s">
        <v>280</v>
      </c>
      <c r="I31" s="6">
        <v>39597</v>
      </c>
      <c r="J31" s="2" t="s">
        <v>6688</v>
      </c>
      <c r="K31" s="2">
        <v>0</v>
      </c>
      <c r="L31" t="s">
        <v>35</v>
      </c>
      <c r="M31" t="s">
        <v>29</v>
      </c>
      <c r="N31" t="s">
        <v>30</v>
      </c>
      <c r="O31">
        <v>37219</v>
      </c>
      <c r="P31" t="s">
        <v>6689</v>
      </c>
      <c r="Q31" s="2">
        <v>0.59</v>
      </c>
      <c r="R31" s="2">
        <v>121</v>
      </c>
      <c r="S31" s="2">
        <v>252</v>
      </c>
      <c r="T31" t="s">
        <v>6690</v>
      </c>
      <c r="U31" s="6">
        <v>22592</v>
      </c>
      <c r="V31" s="2">
        <v>47037018902</v>
      </c>
      <c r="W31" s="2" t="s">
        <v>68</v>
      </c>
      <c r="X31" s="1">
        <v>45658</v>
      </c>
      <c r="Y31" s="2">
        <v>247500</v>
      </c>
      <c r="Z31" s="2">
        <v>0</v>
      </c>
      <c r="AA31" s="2">
        <v>247500</v>
      </c>
    </row>
    <row r="32" spans="1:27" x14ac:dyDescent="0.3">
      <c r="A32" s="3">
        <v>26</v>
      </c>
      <c r="B32" s="2" t="str">
        <f>"14706010900"</f>
        <v>14706010900</v>
      </c>
      <c r="C32" s="2" t="s">
        <v>6691</v>
      </c>
      <c r="D32" t="s">
        <v>29</v>
      </c>
      <c r="E32" s="2" t="s">
        <v>30</v>
      </c>
      <c r="F32" s="2">
        <v>37211</v>
      </c>
      <c r="G32" s="2" t="s">
        <v>64</v>
      </c>
      <c r="H32" t="s">
        <v>280</v>
      </c>
      <c r="I32" s="6">
        <v>38847</v>
      </c>
      <c r="J32" s="2" t="s">
        <v>6692</v>
      </c>
      <c r="K32" s="2">
        <v>170000</v>
      </c>
      <c r="L32" t="s">
        <v>35</v>
      </c>
      <c r="M32" t="s">
        <v>29</v>
      </c>
      <c r="N32" t="s">
        <v>30</v>
      </c>
      <c r="O32">
        <v>37219</v>
      </c>
      <c r="P32" t="s">
        <v>6693</v>
      </c>
      <c r="Q32" s="2">
        <v>0.36</v>
      </c>
      <c r="R32" s="2">
        <v>78</v>
      </c>
      <c r="S32" s="2">
        <v>254</v>
      </c>
      <c r="T32" t="s">
        <v>6694</v>
      </c>
      <c r="U32" s="6">
        <v>24478</v>
      </c>
      <c r="V32" s="2">
        <v>47037018902</v>
      </c>
      <c r="W32" s="2" t="s">
        <v>68</v>
      </c>
      <c r="X32" s="1">
        <v>45658</v>
      </c>
      <c r="Y32" s="2">
        <v>225000</v>
      </c>
      <c r="Z32" s="2">
        <v>0</v>
      </c>
      <c r="AA32" s="2">
        <v>225000</v>
      </c>
    </row>
    <row r="33" spans="1:27" x14ac:dyDescent="0.3">
      <c r="A33" s="3">
        <v>26</v>
      </c>
      <c r="B33" s="2" t="str">
        <f>"14706011000"</f>
        <v>14706011000</v>
      </c>
      <c r="C33" s="2" t="s">
        <v>6695</v>
      </c>
      <c r="D33" t="s">
        <v>29</v>
      </c>
      <c r="E33" s="2" t="s">
        <v>30</v>
      </c>
      <c r="F33" s="2">
        <v>37211</v>
      </c>
      <c r="G33" s="2" t="s">
        <v>64</v>
      </c>
      <c r="H33" t="s">
        <v>280</v>
      </c>
      <c r="I33" s="6">
        <v>39598</v>
      </c>
      <c r="J33" s="2" t="s">
        <v>6696</v>
      </c>
      <c r="K33" s="2">
        <v>0</v>
      </c>
      <c r="L33" t="s">
        <v>35</v>
      </c>
      <c r="M33" t="s">
        <v>29</v>
      </c>
      <c r="N33" t="s">
        <v>30</v>
      </c>
      <c r="O33">
        <v>37219</v>
      </c>
      <c r="P33" t="s">
        <v>6697</v>
      </c>
      <c r="Q33" s="2">
        <v>0.4</v>
      </c>
      <c r="R33" s="2">
        <v>87</v>
      </c>
      <c r="S33" s="2">
        <v>245</v>
      </c>
      <c r="T33" t="s">
        <v>6698</v>
      </c>
      <c r="U33" s="6">
        <v>24324</v>
      </c>
      <c r="V33" s="2">
        <v>47037018902</v>
      </c>
      <c r="W33" s="2" t="s">
        <v>68</v>
      </c>
      <c r="X33" s="1">
        <v>45658</v>
      </c>
      <c r="Y33" s="2">
        <v>225000</v>
      </c>
      <c r="Z33" s="2">
        <v>0</v>
      </c>
      <c r="AA33" s="2">
        <v>225000</v>
      </c>
    </row>
    <row r="34" spans="1:27" x14ac:dyDescent="0.3">
      <c r="A34" s="3">
        <v>26</v>
      </c>
      <c r="B34" s="2" t="str">
        <f>"14706011100"</f>
        <v>14706011100</v>
      </c>
      <c r="C34" s="2" t="s">
        <v>6699</v>
      </c>
      <c r="D34" t="s">
        <v>29</v>
      </c>
      <c r="E34" s="2" t="s">
        <v>30</v>
      </c>
      <c r="F34" s="2">
        <v>37211</v>
      </c>
      <c r="G34" s="2" t="s">
        <v>64</v>
      </c>
      <c r="H34" t="s">
        <v>280</v>
      </c>
      <c r="I34" s="6">
        <v>39505</v>
      </c>
      <c r="J34" s="2" t="s">
        <v>6700</v>
      </c>
      <c r="K34" s="2">
        <v>0</v>
      </c>
      <c r="L34" t="s">
        <v>35</v>
      </c>
      <c r="M34" t="s">
        <v>29</v>
      </c>
      <c r="N34" t="s">
        <v>30</v>
      </c>
      <c r="O34">
        <v>37219</v>
      </c>
      <c r="P34" t="s">
        <v>6701</v>
      </c>
      <c r="Q34" s="2">
        <v>0.38</v>
      </c>
      <c r="R34" s="2">
        <v>91</v>
      </c>
      <c r="S34" s="2">
        <v>252</v>
      </c>
      <c r="T34" t="s">
        <v>6702</v>
      </c>
      <c r="U34" s="6">
        <v>22654</v>
      </c>
      <c r="V34" s="2">
        <v>47037018902</v>
      </c>
      <c r="W34" s="2" t="s">
        <v>68</v>
      </c>
      <c r="X34" s="1">
        <v>45658</v>
      </c>
      <c r="Y34" s="2">
        <v>225000</v>
      </c>
      <c r="Z34" s="2">
        <v>0</v>
      </c>
      <c r="AA34" s="2">
        <v>225000</v>
      </c>
    </row>
    <row r="35" spans="1:27" x14ac:dyDescent="0.3">
      <c r="A35" s="3">
        <v>26</v>
      </c>
      <c r="B35" s="2" t="str">
        <f>"14706019600"</f>
        <v>14706019600</v>
      </c>
      <c r="C35" s="2" t="s">
        <v>6703</v>
      </c>
      <c r="D35" t="s">
        <v>29</v>
      </c>
      <c r="E35" s="2" t="s">
        <v>30</v>
      </c>
      <c r="F35" s="2">
        <v>37211</v>
      </c>
      <c r="G35" s="2" t="s">
        <v>64</v>
      </c>
      <c r="H35" t="s">
        <v>280</v>
      </c>
      <c r="I35" s="6">
        <v>37795</v>
      </c>
      <c r="J35" s="2" t="s">
        <v>6704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6705</v>
      </c>
      <c r="Q35" s="2">
        <v>0.66</v>
      </c>
      <c r="R35" s="2">
        <v>85</v>
      </c>
      <c r="S35" s="2">
        <v>379</v>
      </c>
      <c r="T35" t="s">
        <v>6706</v>
      </c>
      <c r="U35" s="6">
        <v>25345</v>
      </c>
      <c r="V35" s="2">
        <v>47037018902</v>
      </c>
      <c r="W35" s="2" t="s">
        <v>68</v>
      </c>
      <c r="X35" s="1">
        <v>45658</v>
      </c>
      <c r="Y35" s="2">
        <v>235100</v>
      </c>
      <c r="Z35" s="2">
        <v>0</v>
      </c>
      <c r="AA35" s="2">
        <v>235100</v>
      </c>
    </row>
    <row r="36" spans="1:27" x14ac:dyDescent="0.3">
      <c r="A36" s="3">
        <v>26</v>
      </c>
      <c r="B36" s="2" t="str">
        <f>"14706012900"</f>
        <v>14706012900</v>
      </c>
      <c r="C36" s="2" t="s">
        <v>6707</v>
      </c>
      <c r="D36" t="s">
        <v>29</v>
      </c>
      <c r="E36" s="2" t="s">
        <v>30</v>
      </c>
      <c r="F36" s="2">
        <v>37211</v>
      </c>
      <c r="G36" s="2" t="s">
        <v>64</v>
      </c>
      <c r="H36" t="s">
        <v>280</v>
      </c>
      <c r="I36" s="6">
        <v>38800</v>
      </c>
      <c r="J36" s="2" t="s">
        <v>6708</v>
      </c>
      <c r="K36" s="2">
        <v>208000</v>
      </c>
      <c r="L36" t="s">
        <v>35</v>
      </c>
      <c r="M36" t="s">
        <v>29</v>
      </c>
      <c r="N36" t="s">
        <v>30</v>
      </c>
      <c r="O36">
        <v>37219</v>
      </c>
      <c r="P36" t="s">
        <v>6709</v>
      </c>
      <c r="Q36" s="2">
        <v>0.33</v>
      </c>
      <c r="R36" s="2">
        <v>50</v>
      </c>
      <c r="S36" s="2">
        <v>214</v>
      </c>
      <c r="T36" t="s">
        <v>6710</v>
      </c>
      <c r="U36" s="6">
        <v>26144</v>
      </c>
      <c r="V36" s="2">
        <v>47037018902</v>
      </c>
      <c r="W36" s="2" t="s">
        <v>68</v>
      </c>
      <c r="X36" s="1">
        <v>45658</v>
      </c>
      <c r="Y36" s="2">
        <v>213800</v>
      </c>
      <c r="Z36" s="2">
        <v>0</v>
      </c>
      <c r="AA36" s="2">
        <v>213800</v>
      </c>
    </row>
    <row r="37" spans="1:27" x14ac:dyDescent="0.3">
      <c r="A37" s="3">
        <v>26</v>
      </c>
      <c r="B37" s="2" t="str">
        <f>"14706019700"</f>
        <v>14706019700</v>
      </c>
      <c r="C37" s="2" t="s">
        <v>6711</v>
      </c>
      <c r="D37" t="s">
        <v>29</v>
      </c>
      <c r="E37" s="2" t="s">
        <v>30</v>
      </c>
      <c r="F37" s="2">
        <v>37211</v>
      </c>
      <c r="G37" s="2" t="s">
        <v>64</v>
      </c>
      <c r="H37" t="s">
        <v>280</v>
      </c>
      <c r="I37" s="6">
        <v>37805</v>
      </c>
      <c r="J37" s="2" t="s">
        <v>6712</v>
      </c>
      <c r="K37" s="2" t="s">
        <v>34</v>
      </c>
      <c r="L37" t="s">
        <v>35</v>
      </c>
      <c r="M37" t="s">
        <v>29</v>
      </c>
      <c r="N37" t="s">
        <v>30</v>
      </c>
      <c r="O37">
        <v>37219</v>
      </c>
      <c r="P37" t="s">
        <v>6713</v>
      </c>
      <c r="Q37" s="2">
        <v>0.82</v>
      </c>
      <c r="R37" s="2">
        <v>85</v>
      </c>
      <c r="S37" s="2">
        <v>440</v>
      </c>
      <c r="T37" t="s">
        <v>6714</v>
      </c>
      <c r="U37" s="6">
        <v>27045</v>
      </c>
      <c r="V37" s="2">
        <v>47037018902</v>
      </c>
      <c r="W37" s="2" t="s">
        <v>68</v>
      </c>
      <c r="X37" s="1">
        <v>45658</v>
      </c>
      <c r="Y37" s="2">
        <v>256500</v>
      </c>
      <c r="Z37" s="2">
        <v>0</v>
      </c>
      <c r="AA37" s="2">
        <v>256500</v>
      </c>
    </row>
    <row r="38" spans="1:27" x14ac:dyDescent="0.3">
      <c r="A38" s="3">
        <v>26</v>
      </c>
      <c r="B38" s="2" t="str">
        <f>"14706019900"</f>
        <v>14706019900</v>
      </c>
      <c r="C38" s="2" t="s">
        <v>6715</v>
      </c>
      <c r="D38" t="s">
        <v>29</v>
      </c>
      <c r="E38" s="2" t="s">
        <v>30</v>
      </c>
      <c r="F38" s="2">
        <v>37211</v>
      </c>
      <c r="G38" s="2" t="s">
        <v>64</v>
      </c>
      <c r="H38" t="s">
        <v>280</v>
      </c>
      <c r="I38" s="6">
        <v>37789</v>
      </c>
      <c r="J38" s="2" t="s">
        <v>6716</v>
      </c>
      <c r="K38" s="2">
        <v>0</v>
      </c>
      <c r="L38" t="s">
        <v>35</v>
      </c>
      <c r="M38" t="s">
        <v>29</v>
      </c>
      <c r="N38" t="s">
        <v>30</v>
      </c>
      <c r="O38">
        <v>37219</v>
      </c>
      <c r="P38" t="s">
        <v>6717</v>
      </c>
      <c r="Q38" s="2">
        <v>0.73</v>
      </c>
      <c r="R38" s="2">
        <v>85</v>
      </c>
      <c r="S38" s="2">
        <v>394</v>
      </c>
      <c r="T38" t="s">
        <v>6718</v>
      </c>
      <c r="U38" s="6">
        <v>25290</v>
      </c>
      <c r="V38" s="2">
        <v>47037018902</v>
      </c>
      <c r="W38" s="2" t="s">
        <v>68</v>
      </c>
      <c r="X38" s="1">
        <v>45658</v>
      </c>
      <c r="Y38" s="2">
        <v>256500</v>
      </c>
      <c r="Z38" s="2">
        <v>0</v>
      </c>
      <c r="AA38" s="2">
        <v>256500</v>
      </c>
    </row>
    <row r="39" spans="1:27" x14ac:dyDescent="0.3">
      <c r="A39" s="3">
        <v>26</v>
      </c>
      <c r="B39" s="2" t="str">
        <f>"14706020000"</f>
        <v>14706020000</v>
      </c>
      <c r="C39" s="2" t="s">
        <v>6719</v>
      </c>
      <c r="D39" t="s">
        <v>29</v>
      </c>
      <c r="E39" s="2" t="s">
        <v>30</v>
      </c>
      <c r="F39" s="2">
        <v>37211</v>
      </c>
      <c r="G39" s="2" t="s">
        <v>64</v>
      </c>
      <c r="H39" t="s">
        <v>280</v>
      </c>
      <c r="I39" s="6">
        <v>37789</v>
      </c>
      <c r="J39" s="2" t="s">
        <v>6720</v>
      </c>
      <c r="K39" s="2">
        <v>0</v>
      </c>
      <c r="L39" t="s">
        <v>35</v>
      </c>
      <c r="M39" t="s">
        <v>29</v>
      </c>
      <c r="N39" t="s">
        <v>30</v>
      </c>
      <c r="O39">
        <v>37219</v>
      </c>
      <c r="P39" t="s">
        <v>6721</v>
      </c>
      <c r="Q39" s="2">
        <v>0.83</v>
      </c>
      <c r="R39" s="2">
        <v>211</v>
      </c>
      <c r="S39" s="2">
        <v>231</v>
      </c>
      <c r="T39" t="s">
        <v>6722</v>
      </c>
      <c r="U39" s="6">
        <v>25896</v>
      </c>
      <c r="V39" s="2">
        <v>47037018902</v>
      </c>
      <c r="W39" s="2" t="s">
        <v>68</v>
      </c>
      <c r="X39" s="1">
        <v>45658</v>
      </c>
      <c r="Y39" s="2">
        <v>256500</v>
      </c>
      <c r="Z39" s="2">
        <v>0</v>
      </c>
      <c r="AA39" s="2">
        <v>256500</v>
      </c>
    </row>
    <row r="40" spans="1:27" x14ac:dyDescent="0.3">
      <c r="A40" s="3">
        <v>26</v>
      </c>
      <c r="B40" s="2" t="str">
        <f>"14703001200"</f>
        <v>14703001200</v>
      </c>
      <c r="C40" s="2" t="s">
        <v>6723</v>
      </c>
      <c r="D40" t="s">
        <v>29</v>
      </c>
      <c r="E40" s="2" t="s">
        <v>30</v>
      </c>
      <c r="F40" s="2">
        <v>37211</v>
      </c>
      <c r="G40" s="2" t="s">
        <v>64</v>
      </c>
      <c r="H40" t="s">
        <v>280</v>
      </c>
      <c r="I40" s="6">
        <v>37845</v>
      </c>
      <c r="J40" s="2" t="s">
        <v>6724</v>
      </c>
      <c r="K40" s="2" t="s">
        <v>34</v>
      </c>
      <c r="L40" t="s">
        <v>35</v>
      </c>
      <c r="M40" t="s">
        <v>29</v>
      </c>
      <c r="N40" t="s">
        <v>30</v>
      </c>
      <c r="O40">
        <v>37219</v>
      </c>
      <c r="P40" t="s">
        <v>6725</v>
      </c>
      <c r="Q40" s="2">
        <v>0.36</v>
      </c>
      <c r="R40" s="2">
        <v>44</v>
      </c>
      <c r="S40" s="2">
        <v>202</v>
      </c>
      <c r="T40" t="s">
        <v>6726</v>
      </c>
      <c r="U40" s="6">
        <v>27001</v>
      </c>
      <c r="V40" s="2">
        <v>47037018902</v>
      </c>
      <c r="W40" s="2" t="s">
        <v>68</v>
      </c>
      <c r="X40" s="1">
        <v>45658</v>
      </c>
      <c r="Y40" s="2">
        <v>225000</v>
      </c>
      <c r="Z40" s="2">
        <v>0</v>
      </c>
      <c r="AA40" s="2">
        <v>225000</v>
      </c>
    </row>
    <row r="41" spans="1:27" x14ac:dyDescent="0.3">
      <c r="A41" s="3">
        <v>26</v>
      </c>
      <c r="B41" s="2" t="str">
        <f>"14702019200"</f>
        <v>14702019200</v>
      </c>
      <c r="C41" s="2" t="s">
        <v>6727</v>
      </c>
      <c r="D41" t="s">
        <v>29</v>
      </c>
      <c r="E41" s="2" t="s">
        <v>30</v>
      </c>
      <c r="F41" s="2">
        <v>37211</v>
      </c>
      <c r="G41" s="2" t="s">
        <v>64</v>
      </c>
      <c r="H41" t="s">
        <v>280</v>
      </c>
      <c r="I41" s="6">
        <v>37860</v>
      </c>
      <c r="J41" s="2" t="s">
        <v>6728</v>
      </c>
      <c r="K41" s="2" t="s">
        <v>34</v>
      </c>
      <c r="L41" t="s">
        <v>35</v>
      </c>
      <c r="M41" t="s">
        <v>29</v>
      </c>
      <c r="N41" t="s">
        <v>30</v>
      </c>
      <c r="O41">
        <v>37219</v>
      </c>
      <c r="P41" t="s">
        <v>6729</v>
      </c>
      <c r="Q41" s="2">
        <v>0.41</v>
      </c>
      <c r="R41" s="2">
        <v>78</v>
      </c>
      <c r="S41" s="2">
        <v>158</v>
      </c>
      <c r="T41" t="s">
        <v>6730</v>
      </c>
      <c r="U41" s="6">
        <v>26937</v>
      </c>
      <c r="V41" s="2">
        <v>47037018902</v>
      </c>
      <c r="W41" s="2" t="s">
        <v>68</v>
      </c>
      <c r="X41" s="1">
        <v>45658</v>
      </c>
      <c r="Y41" s="2">
        <v>225000</v>
      </c>
      <c r="Z41" s="2">
        <v>0</v>
      </c>
      <c r="AA41" s="2">
        <v>225000</v>
      </c>
    </row>
    <row r="42" spans="1:27" x14ac:dyDescent="0.3">
      <c r="A42" s="3">
        <v>26</v>
      </c>
      <c r="B42" s="2" t="str">
        <f>"14707000300"</f>
        <v>14707000300</v>
      </c>
      <c r="C42" s="2" t="s">
        <v>6731</v>
      </c>
      <c r="D42" t="s">
        <v>29</v>
      </c>
      <c r="E42" s="2" t="s">
        <v>30</v>
      </c>
      <c r="F42" s="2">
        <v>37211</v>
      </c>
      <c r="G42" s="2" t="s">
        <v>64</v>
      </c>
      <c r="H42" t="s">
        <v>280</v>
      </c>
      <c r="I42" s="6">
        <v>37876</v>
      </c>
      <c r="J42" s="2" t="s">
        <v>6732</v>
      </c>
      <c r="K42" s="2" t="s">
        <v>34</v>
      </c>
      <c r="L42" t="s">
        <v>35</v>
      </c>
      <c r="M42" t="s">
        <v>29</v>
      </c>
      <c r="N42" t="s">
        <v>30</v>
      </c>
      <c r="O42">
        <v>37219</v>
      </c>
      <c r="P42" t="s">
        <v>6733</v>
      </c>
      <c r="Q42" s="2">
        <v>0.64</v>
      </c>
      <c r="R42" s="2">
        <v>46</v>
      </c>
      <c r="S42" s="2">
        <v>202</v>
      </c>
      <c r="T42" t="s">
        <v>6734</v>
      </c>
      <c r="U42" s="6">
        <v>24294</v>
      </c>
      <c r="V42" s="2">
        <v>47037018902</v>
      </c>
      <c r="W42" s="2" t="s">
        <v>68</v>
      </c>
      <c r="X42" s="1">
        <v>45658</v>
      </c>
      <c r="Y42" s="2">
        <v>247500</v>
      </c>
      <c r="Z42" s="2">
        <v>0</v>
      </c>
      <c r="AA42" s="2">
        <v>247500</v>
      </c>
    </row>
    <row r="43" spans="1:27" x14ac:dyDescent="0.3">
      <c r="A43" s="3">
        <v>26</v>
      </c>
      <c r="B43" s="2" t="str">
        <f>"14707000100"</f>
        <v>14707000100</v>
      </c>
      <c r="C43" s="2" t="s">
        <v>6735</v>
      </c>
      <c r="D43" t="s">
        <v>29</v>
      </c>
      <c r="E43" s="2" t="s">
        <v>30</v>
      </c>
      <c r="F43" s="2">
        <v>37211</v>
      </c>
      <c r="G43" s="2" t="s">
        <v>64</v>
      </c>
      <c r="H43" t="s">
        <v>280</v>
      </c>
      <c r="I43" s="6">
        <v>38365</v>
      </c>
      <c r="J43" s="2" t="s">
        <v>6736</v>
      </c>
      <c r="K43" s="2">
        <v>130000</v>
      </c>
      <c r="L43" t="s">
        <v>35</v>
      </c>
      <c r="M43" t="s">
        <v>29</v>
      </c>
      <c r="N43" t="s">
        <v>30</v>
      </c>
      <c r="O43">
        <v>37219</v>
      </c>
      <c r="P43" t="s">
        <v>6737</v>
      </c>
      <c r="Q43" s="2">
        <v>0.55000000000000004</v>
      </c>
      <c r="R43" s="2">
        <v>80</v>
      </c>
      <c r="S43" s="2">
        <v>266</v>
      </c>
      <c r="T43" t="s">
        <v>6738</v>
      </c>
      <c r="U43" s="6">
        <v>27381</v>
      </c>
      <c r="V43" s="2">
        <v>47037018902</v>
      </c>
      <c r="W43" s="2" t="s">
        <v>68</v>
      </c>
      <c r="X43" s="1">
        <v>45658</v>
      </c>
      <c r="Y43" s="2">
        <v>247500</v>
      </c>
      <c r="Z43" s="2">
        <v>0</v>
      </c>
      <c r="AA43" s="2">
        <v>247500</v>
      </c>
    </row>
    <row r="44" spans="1:27" x14ac:dyDescent="0.3">
      <c r="A44" s="3">
        <v>26</v>
      </c>
      <c r="B44" s="2" t="str">
        <f>"14706010700"</f>
        <v>14706010700</v>
      </c>
      <c r="C44" s="2" t="s">
        <v>6739</v>
      </c>
      <c r="D44" t="s">
        <v>29</v>
      </c>
      <c r="E44" s="2" t="s">
        <v>30</v>
      </c>
      <c r="F44" s="2">
        <v>37211</v>
      </c>
      <c r="G44" s="2" t="s">
        <v>64</v>
      </c>
      <c r="H44" t="s">
        <v>280</v>
      </c>
      <c r="I44" s="6">
        <v>37768</v>
      </c>
      <c r="J44" s="2" t="s">
        <v>6740</v>
      </c>
      <c r="K44" s="2" t="s">
        <v>34</v>
      </c>
      <c r="L44" t="s">
        <v>35</v>
      </c>
      <c r="M44" t="s">
        <v>29</v>
      </c>
      <c r="N44" t="s">
        <v>30</v>
      </c>
      <c r="O44">
        <v>37219</v>
      </c>
      <c r="P44" t="s">
        <v>6741</v>
      </c>
      <c r="Q44" s="2">
        <v>0.48</v>
      </c>
      <c r="R44" s="2">
        <v>78</v>
      </c>
      <c r="S44" s="2">
        <v>274</v>
      </c>
      <c r="T44" t="s">
        <v>6742</v>
      </c>
      <c r="U44" s="6">
        <v>24811</v>
      </c>
      <c r="V44" s="2">
        <v>47037018902</v>
      </c>
      <c r="W44" s="2" t="s">
        <v>68</v>
      </c>
      <c r="X44" s="1">
        <v>45658</v>
      </c>
      <c r="Y44" s="2">
        <v>247500</v>
      </c>
      <c r="Z44" s="2">
        <v>0</v>
      </c>
      <c r="AA44" s="2">
        <v>247500</v>
      </c>
    </row>
    <row r="45" spans="1:27" x14ac:dyDescent="0.3">
      <c r="A45" s="3">
        <v>26</v>
      </c>
      <c r="B45" s="2" t="str">
        <f>"14707000200"</f>
        <v>14707000200</v>
      </c>
      <c r="C45" s="2" t="s">
        <v>6743</v>
      </c>
      <c r="D45" t="s">
        <v>29</v>
      </c>
      <c r="E45" s="2" t="s">
        <v>30</v>
      </c>
      <c r="F45" s="2">
        <v>37211</v>
      </c>
      <c r="G45" s="2" t="s">
        <v>64</v>
      </c>
      <c r="H45" t="s">
        <v>280</v>
      </c>
      <c r="I45" s="6">
        <v>38835</v>
      </c>
      <c r="J45" s="2" t="s">
        <v>6744</v>
      </c>
      <c r="K45" s="2">
        <v>154000</v>
      </c>
      <c r="L45" t="s">
        <v>35</v>
      </c>
      <c r="M45" t="s">
        <v>29</v>
      </c>
      <c r="N45" t="s">
        <v>30</v>
      </c>
      <c r="O45">
        <v>37219</v>
      </c>
      <c r="P45" t="s">
        <v>6745</v>
      </c>
      <c r="Q45" s="2">
        <v>0.43</v>
      </c>
      <c r="R45" s="2">
        <v>46</v>
      </c>
      <c r="S45" s="2">
        <v>235</v>
      </c>
      <c r="T45" t="s">
        <v>6746</v>
      </c>
      <c r="U45" s="6">
        <v>24911</v>
      </c>
      <c r="V45" s="2">
        <v>47037018902</v>
      </c>
      <c r="W45" s="2" t="s">
        <v>68</v>
      </c>
      <c r="X45" s="1">
        <v>45658</v>
      </c>
      <c r="Y45" s="2">
        <v>225000</v>
      </c>
      <c r="Z45" s="2">
        <v>0</v>
      </c>
      <c r="AA45" s="2">
        <v>225000</v>
      </c>
    </row>
    <row r="46" spans="1:27" x14ac:dyDescent="0.3">
      <c r="A46" s="3">
        <v>26</v>
      </c>
      <c r="B46" s="2" t="str">
        <f>"14706010800"</f>
        <v>14706010800</v>
      </c>
      <c r="C46" s="2" t="s">
        <v>6747</v>
      </c>
      <c r="D46" t="s">
        <v>29</v>
      </c>
      <c r="E46" s="2" t="s">
        <v>30</v>
      </c>
      <c r="F46" s="2">
        <v>37211</v>
      </c>
      <c r="G46" s="2" t="s">
        <v>64</v>
      </c>
      <c r="H46" t="s">
        <v>280</v>
      </c>
      <c r="I46" s="6">
        <v>39601</v>
      </c>
      <c r="J46" s="2" t="s">
        <v>6748</v>
      </c>
      <c r="K46" s="2">
        <v>0</v>
      </c>
      <c r="L46" t="s">
        <v>35</v>
      </c>
      <c r="M46" t="s">
        <v>29</v>
      </c>
      <c r="N46" t="s">
        <v>30</v>
      </c>
      <c r="O46">
        <v>37219</v>
      </c>
      <c r="P46" t="s">
        <v>6749</v>
      </c>
      <c r="Q46" s="2">
        <v>0.68</v>
      </c>
      <c r="R46" s="2">
        <v>93</v>
      </c>
      <c r="S46" s="2">
        <v>274</v>
      </c>
      <c r="T46" t="s">
        <v>6750</v>
      </c>
      <c r="U46" s="6">
        <v>22773</v>
      </c>
      <c r="V46" s="2">
        <v>47037018902</v>
      </c>
      <c r="W46" s="2" t="s">
        <v>68</v>
      </c>
      <c r="X46" s="1">
        <v>45658</v>
      </c>
      <c r="Y46" s="2">
        <v>247500</v>
      </c>
      <c r="Z46" s="2">
        <v>0</v>
      </c>
      <c r="AA46" s="2">
        <v>247500</v>
      </c>
    </row>
    <row r="47" spans="1:27" x14ac:dyDescent="0.3">
      <c r="A47" s="3">
        <v>26</v>
      </c>
      <c r="B47" s="2" t="str">
        <f>"14703001100"</f>
        <v>14703001100</v>
      </c>
      <c r="C47" s="2" t="s">
        <v>6751</v>
      </c>
      <c r="D47" t="s">
        <v>29</v>
      </c>
      <c r="E47" s="2" t="s">
        <v>30</v>
      </c>
      <c r="F47" s="2">
        <v>37211</v>
      </c>
      <c r="G47" s="2" t="s">
        <v>194</v>
      </c>
      <c r="H47" t="s">
        <v>280</v>
      </c>
      <c r="I47" s="6">
        <v>45079</v>
      </c>
      <c r="J47" s="2" t="s">
        <v>6752</v>
      </c>
      <c r="K47" s="2" t="s">
        <v>34</v>
      </c>
      <c r="L47" t="s">
        <v>1104</v>
      </c>
      <c r="M47" t="s">
        <v>29</v>
      </c>
      <c r="N47" t="s">
        <v>30</v>
      </c>
      <c r="O47">
        <v>37208</v>
      </c>
      <c r="P47" t="s">
        <v>6753</v>
      </c>
      <c r="Q47" s="2">
        <v>0.3</v>
      </c>
      <c r="R47" s="2">
        <v>86</v>
      </c>
      <c r="S47" s="2">
        <v>173</v>
      </c>
      <c r="T47" t="s">
        <v>6754</v>
      </c>
      <c r="U47" s="6">
        <v>25647</v>
      </c>
      <c r="V47" s="2">
        <v>47037018902</v>
      </c>
      <c r="W47" s="2" t="s">
        <v>68</v>
      </c>
      <c r="X47" s="1">
        <v>45658</v>
      </c>
      <c r="Y47" s="2">
        <v>225000</v>
      </c>
      <c r="Z47" s="2">
        <v>0</v>
      </c>
      <c r="AA47" s="2">
        <v>225000</v>
      </c>
    </row>
    <row r="48" spans="1:27" x14ac:dyDescent="0.3">
      <c r="A48" s="3">
        <v>26</v>
      </c>
      <c r="B48" s="2" t="str">
        <f>"14706021600"</f>
        <v>14706021600</v>
      </c>
      <c r="C48" s="2" t="s">
        <v>6755</v>
      </c>
      <c r="D48" t="s">
        <v>29</v>
      </c>
      <c r="E48" s="2" t="s">
        <v>30</v>
      </c>
      <c r="F48" s="2">
        <v>37211</v>
      </c>
      <c r="G48" s="2" t="s">
        <v>64</v>
      </c>
      <c r="H48" t="s">
        <v>280</v>
      </c>
      <c r="I48" s="6">
        <v>38799</v>
      </c>
      <c r="J48" s="2" t="s">
        <v>6756</v>
      </c>
      <c r="K48" s="2">
        <v>170000</v>
      </c>
      <c r="L48" t="s">
        <v>35</v>
      </c>
      <c r="M48" t="s">
        <v>29</v>
      </c>
      <c r="N48" t="s">
        <v>30</v>
      </c>
      <c r="O48">
        <v>37219</v>
      </c>
      <c r="P48" t="s">
        <v>6757</v>
      </c>
      <c r="Q48" s="2">
        <v>0.32</v>
      </c>
      <c r="R48" s="2">
        <v>110</v>
      </c>
      <c r="S48" s="2">
        <v>166</v>
      </c>
      <c r="T48" t="s">
        <v>6758</v>
      </c>
      <c r="U48" s="6">
        <v>26842</v>
      </c>
      <c r="V48" s="2">
        <v>47037018902</v>
      </c>
      <c r="W48" s="2" t="s">
        <v>68</v>
      </c>
      <c r="X48" s="1">
        <v>45658</v>
      </c>
      <c r="Y48" s="2">
        <v>270000</v>
      </c>
      <c r="Z48" s="2">
        <v>0</v>
      </c>
      <c r="AA48" s="2">
        <v>270000</v>
      </c>
    </row>
    <row r="49" spans="1:27" x14ac:dyDescent="0.3">
      <c r="A49" s="3">
        <v>26</v>
      </c>
      <c r="B49" s="2" t="str">
        <f>"14710002600"</f>
        <v>14710002600</v>
      </c>
      <c r="C49" s="2" t="s">
        <v>6759</v>
      </c>
      <c r="D49" t="s">
        <v>29</v>
      </c>
      <c r="E49" s="2" t="s">
        <v>30</v>
      </c>
      <c r="F49" s="2">
        <v>37211</v>
      </c>
      <c r="G49" s="2" t="s">
        <v>64</v>
      </c>
      <c r="H49" t="s">
        <v>280</v>
      </c>
      <c r="I49" s="6">
        <v>38799</v>
      </c>
      <c r="J49" s="2" t="s">
        <v>6760</v>
      </c>
      <c r="K49" s="2">
        <v>148000</v>
      </c>
      <c r="L49" t="s">
        <v>35</v>
      </c>
      <c r="M49" t="s">
        <v>29</v>
      </c>
      <c r="N49" t="s">
        <v>30</v>
      </c>
      <c r="O49">
        <v>37219</v>
      </c>
      <c r="P49" t="s">
        <v>6761</v>
      </c>
      <c r="Q49" s="2">
        <v>0.47</v>
      </c>
      <c r="R49" s="2">
        <v>52</v>
      </c>
      <c r="S49" s="2">
        <v>135</v>
      </c>
      <c r="T49" t="s">
        <v>6762</v>
      </c>
      <c r="U49" s="6">
        <v>26612</v>
      </c>
      <c r="V49" s="2">
        <v>47037018902</v>
      </c>
      <c r="W49" s="2" t="s">
        <v>68</v>
      </c>
      <c r="X49" s="1">
        <v>45658</v>
      </c>
      <c r="Y49" s="2">
        <v>270000</v>
      </c>
      <c r="Z49" s="2">
        <v>0</v>
      </c>
      <c r="AA49" s="2">
        <v>270000</v>
      </c>
    </row>
    <row r="50" spans="1:27" x14ac:dyDescent="0.3">
      <c r="A50" s="3">
        <v>26</v>
      </c>
      <c r="B50" s="2" t="str">
        <f>"14710006200"</f>
        <v>14710006200</v>
      </c>
      <c r="C50" s="2" t="s">
        <v>6763</v>
      </c>
      <c r="D50" t="s">
        <v>29</v>
      </c>
      <c r="E50" s="2" t="s">
        <v>30</v>
      </c>
      <c r="F50" s="2">
        <v>37211</v>
      </c>
      <c r="G50" s="2" t="s">
        <v>64</v>
      </c>
      <c r="H50" t="s">
        <v>280</v>
      </c>
      <c r="I50" s="6">
        <v>38898</v>
      </c>
      <c r="J50" s="2" t="s">
        <v>6764</v>
      </c>
      <c r="K50" s="2">
        <v>168000</v>
      </c>
      <c r="L50" t="s">
        <v>35</v>
      </c>
      <c r="M50" t="s">
        <v>29</v>
      </c>
      <c r="N50" t="s">
        <v>30</v>
      </c>
      <c r="O50">
        <v>37219</v>
      </c>
      <c r="P50" t="s">
        <v>6765</v>
      </c>
      <c r="Q50" s="2">
        <v>0.32</v>
      </c>
      <c r="R50" s="2">
        <v>139</v>
      </c>
      <c r="S50" s="2">
        <v>140</v>
      </c>
      <c r="T50" t="s">
        <v>6766</v>
      </c>
      <c r="U50" s="6">
        <v>27232</v>
      </c>
      <c r="V50" s="2">
        <v>47037018902</v>
      </c>
      <c r="W50" s="2" t="s">
        <v>68</v>
      </c>
      <c r="X50" s="1">
        <v>45658</v>
      </c>
      <c r="Y50" s="2">
        <v>270000</v>
      </c>
      <c r="Z50" s="2">
        <v>0</v>
      </c>
      <c r="AA50" s="2">
        <v>270000</v>
      </c>
    </row>
    <row r="51" spans="1:27" x14ac:dyDescent="0.3">
      <c r="A51" s="3">
        <v>26</v>
      </c>
      <c r="B51" s="2" t="str">
        <f>"14710007900"</f>
        <v>14710007900</v>
      </c>
      <c r="C51" s="2" t="s">
        <v>6767</v>
      </c>
      <c r="D51" t="s">
        <v>29</v>
      </c>
      <c r="E51" s="2" t="s">
        <v>30</v>
      </c>
      <c r="F51" s="2">
        <v>37211</v>
      </c>
      <c r="G51" s="2" t="s">
        <v>64</v>
      </c>
      <c r="H51" t="s">
        <v>280</v>
      </c>
      <c r="I51" s="6">
        <v>38834</v>
      </c>
      <c r="J51" s="2" t="s">
        <v>6768</v>
      </c>
      <c r="K51" s="2">
        <v>168000</v>
      </c>
      <c r="L51" t="s">
        <v>35</v>
      </c>
      <c r="M51" t="s">
        <v>29</v>
      </c>
      <c r="N51" t="s">
        <v>30</v>
      </c>
      <c r="O51">
        <v>37219</v>
      </c>
      <c r="P51" t="s">
        <v>6769</v>
      </c>
      <c r="Q51" s="2">
        <v>0.53</v>
      </c>
      <c r="R51" s="2">
        <v>100</v>
      </c>
      <c r="S51" s="2">
        <v>302</v>
      </c>
      <c r="T51" t="s">
        <v>6770</v>
      </c>
      <c r="U51" s="6">
        <v>26633</v>
      </c>
      <c r="V51" s="2">
        <v>47037018905</v>
      </c>
      <c r="W51" s="2" t="s">
        <v>68</v>
      </c>
      <c r="X51" s="1">
        <v>45658</v>
      </c>
      <c r="Y51" s="2">
        <v>281300</v>
      </c>
      <c r="Z51" s="2">
        <v>0</v>
      </c>
      <c r="AA51" s="2">
        <v>281300</v>
      </c>
    </row>
    <row r="52" spans="1:27" x14ac:dyDescent="0.3">
      <c r="A52" s="3">
        <v>26</v>
      </c>
      <c r="B52" s="2" t="str">
        <f>"11811016201"</f>
        <v>11811016201</v>
      </c>
      <c r="C52" s="2" t="s">
        <v>4378</v>
      </c>
      <c r="D52" t="s">
        <v>29</v>
      </c>
      <c r="E52" s="2" t="s">
        <v>30</v>
      </c>
      <c r="F52" s="2">
        <v>37204</v>
      </c>
      <c r="G52" s="2" t="s">
        <v>1485</v>
      </c>
      <c r="H52" t="s">
        <v>280</v>
      </c>
      <c r="I52" s="6">
        <v>23545</v>
      </c>
      <c r="J52" s="2" t="s">
        <v>6771</v>
      </c>
      <c r="K52" s="2" t="s">
        <v>34</v>
      </c>
      <c r="L52" t="s">
        <v>35</v>
      </c>
      <c r="M52" t="s">
        <v>29</v>
      </c>
      <c r="N52" t="s">
        <v>30</v>
      </c>
      <c r="O52">
        <v>37219</v>
      </c>
      <c r="P52" t="s">
        <v>6772</v>
      </c>
      <c r="Q52" s="2">
        <v>0.36</v>
      </c>
      <c r="R52" s="2">
        <v>121</v>
      </c>
      <c r="S52" s="2">
        <v>150</v>
      </c>
      <c r="T52" t="s">
        <v>6771</v>
      </c>
      <c r="U52" s="6">
        <v>23545</v>
      </c>
      <c r="V52" s="2">
        <v>47037017200</v>
      </c>
      <c r="W52" s="2" t="s">
        <v>68</v>
      </c>
      <c r="X52" s="1">
        <v>45658</v>
      </c>
      <c r="Y52" s="2">
        <v>94100</v>
      </c>
      <c r="Z52" s="2">
        <v>0</v>
      </c>
      <c r="AA52" s="2">
        <v>94100</v>
      </c>
    </row>
    <row r="53" spans="1:27" x14ac:dyDescent="0.3">
      <c r="A53" s="3">
        <v>26</v>
      </c>
      <c r="B53" s="2" t="str">
        <f>"14706012800"</f>
        <v>14706012800</v>
      </c>
      <c r="C53" s="2" t="s">
        <v>6773</v>
      </c>
      <c r="D53" t="s">
        <v>29</v>
      </c>
      <c r="E53" s="2" t="s">
        <v>30</v>
      </c>
      <c r="F53" s="2">
        <v>37211</v>
      </c>
      <c r="G53" s="2" t="s">
        <v>194</v>
      </c>
      <c r="H53" t="s">
        <v>1084</v>
      </c>
      <c r="I53" s="6">
        <v>45420</v>
      </c>
      <c r="J53" s="2" t="s">
        <v>6774</v>
      </c>
      <c r="K53" s="2">
        <v>0</v>
      </c>
      <c r="L53" t="s">
        <v>85</v>
      </c>
      <c r="M53" t="s">
        <v>29</v>
      </c>
      <c r="N53" t="s">
        <v>30</v>
      </c>
      <c r="O53">
        <v>37219</v>
      </c>
      <c r="P53" t="s">
        <v>6775</v>
      </c>
      <c r="Q53" s="2">
        <v>0.43</v>
      </c>
      <c r="R53" s="2">
        <v>42</v>
      </c>
      <c r="S53" s="2">
        <v>214</v>
      </c>
      <c r="T53" t="s">
        <v>6776</v>
      </c>
      <c r="U53" s="6">
        <v>26859</v>
      </c>
      <c r="V53" s="2">
        <v>47037018902</v>
      </c>
      <c r="W53" s="2" t="s">
        <v>68</v>
      </c>
      <c r="X53" s="1">
        <v>45658</v>
      </c>
      <c r="Y53" s="2">
        <v>213800</v>
      </c>
      <c r="Z53" s="2">
        <v>0</v>
      </c>
      <c r="AA53" s="2">
        <v>213800</v>
      </c>
    </row>
    <row r="54" spans="1:27" x14ac:dyDescent="0.3">
      <c r="A54" s="3">
        <v>26</v>
      </c>
      <c r="B54" s="2" t="str">
        <f>"14710005100"</f>
        <v>14710005100</v>
      </c>
      <c r="C54" s="2" t="s">
        <v>6777</v>
      </c>
      <c r="D54" t="s">
        <v>29</v>
      </c>
      <c r="E54" s="2" t="s">
        <v>30</v>
      </c>
      <c r="F54" s="2">
        <v>37211</v>
      </c>
      <c r="G54" s="2" t="s">
        <v>64</v>
      </c>
      <c r="H54" t="s">
        <v>1084</v>
      </c>
      <c r="I54" s="6">
        <v>44447</v>
      </c>
      <c r="J54" s="2" t="s">
        <v>6778</v>
      </c>
      <c r="K54" s="2">
        <v>0</v>
      </c>
      <c r="L54" t="s">
        <v>315</v>
      </c>
      <c r="M54" t="s">
        <v>29</v>
      </c>
      <c r="N54" t="s">
        <v>30</v>
      </c>
      <c r="O54">
        <v>37208</v>
      </c>
      <c r="P54" t="s">
        <v>6779</v>
      </c>
      <c r="Q54" s="2">
        <v>0.34</v>
      </c>
      <c r="R54" s="2">
        <v>81</v>
      </c>
      <c r="S54" s="2">
        <v>151</v>
      </c>
      <c r="T54" t="s">
        <v>6780</v>
      </c>
      <c r="U54" s="6">
        <v>26806</v>
      </c>
      <c r="V54" s="2">
        <v>47037018902</v>
      </c>
      <c r="W54" s="2" t="s">
        <v>68</v>
      </c>
      <c r="X54" s="1">
        <v>45658</v>
      </c>
      <c r="Y54" s="2">
        <v>225000</v>
      </c>
      <c r="Z54" s="2">
        <v>0</v>
      </c>
      <c r="AA54" s="2">
        <v>225000</v>
      </c>
    </row>
    <row r="55" spans="1:27" x14ac:dyDescent="0.3">
      <c r="A55" s="3">
        <v>26</v>
      </c>
      <c r="B55" s="2" t="str">
        <f>"14707000600"</f>
        <v>14707000600</v>
      </c>
      <c r="C55" s="2" t="s">
        <v>6781</v>
      </c>
      <c r="D55" t="s">
        <v>29</v>
      </c>
      <c r="E55" s="2" t="s">
        <v>30</v>
      </c>
      <c r="F55" s="2">
        <v>37211</v>
      </c>
      <c r="G55" s="2" t="s">
        <v>64</v>
      </c>
      <c r="H55" t="s">
        <v>379</v>
      </c>
      <c r="I55" s="6">
        <v>44076</v>
      </c>
      <c r="J55" s="2" t="s">
        <v>6782</v>
      </c>
      <c r="K55" s="2" t="s">
        <v>34</v>
      </c>
      <c r="L55" t="s">
        <v>315</v>
      </c>
      <c r="M55" t="s">
        <v>29</v>
      </c>
      <c r="N55" t="s">
        <v>30</v>
      </c>
      <c r="O55">
        <v>37208</v>
      </c>
      <c r="P55" t="s">
        <v>6783</v>
      </c>
      <c r="Q55" s="2">
        <v>0.65</v>
      </c>
      <c r="R55" s="2">
        <v>85</v>
      </c>
      <c r="S55" s="2">
        <v>311</v>
      </c>
      <c r="T55" t="s">
        <v>6784</v>
      </c>
      <c r="U55" s="6">
        <v>33036</v>
      </c>
      <c r="V55" s="2">
        <v>47037018902</v>
      </c>
      <c r="W55" s="2" t="s">
        <v>68</v>
      </c>
      <c r="X55" s="1">
        <v>45658</v>
      </c>
      <c r="Y55" s="2">
        <v>225000</v>
      </c>
      <c r="Z55" s="2">
        <v>0</v>
      </c>
      <c r="AA55" s="2">
        <v>225000</v>
      </c>
    </row>
    <row r="56" spans="1:27" x14ac:dyDescent="0.3">
      <c r="A56" s="3">
        <v>26</v>
      </c>
      <c r="B56" s="2" t="str">
        <f>"14707000700"</f>
        <v>14707000700</v>
      </c>
      <c r="C56" s="2" t="s">
        <v>6785</v>
      </c>
      <c r="D56" t="s">
        <v>29</v>
      </c>
      <c r="E56" s="2" t="s">
        <v>30</v>
      </c>
      <c r="F56" s="2">
        <v>37211</v>
      </c>
      <c r="G56" s="2" t="s">
        <v>64</v>
      </c>
      <c r="H56" t="s">
        <v>379</v>
      </c>
      <c r="I56" s="6">
        <v>44077</v>
      </c>
      <c r="J56" s="2" t="s">
        <v>6786</v>
      </c>
      <c r="K56" s="2" t="s">
        <v>34</v>
      </c>
      <c r="L56" t="s">
        <v>315</v>
      </c>
      <c r="M56" t="s">
        <v>29</v>
      </c>
      <c r="N56" t="s">
        <v>30</v>
      </c>
      <c r="O56">
        <v>37208</v>
      </c>
      <c r="P56" t="s">
        <v>6787</v>
      </c>
      <c r="Q56" s="2">
        <v>0.67</v>
      </c>
      <c r="R56" s="2">
        <v>85</v>
      </c>
      <c r="S56" s="2">
        <v>332</v>
      </c>
      <c r="T56" t="s">
        <v>6788</v>
      </c>
      <c r="U56" s="6">
        <v>33267</v>
      </c>
      <c r="V56" s="2">
        <v>47037018902</v>
      </c>
      <c r="W56" s="2" t="s">
        <v>68</v>
      </c>
      <c r="X56" s="1">
        <v>45658</v>
      </c>
      <c r="Y56" s="2">
        <v>225000</v>
      </c>
      <c r="Z56" s="2">
        <v>0</v>
      </c>
      <c r="AA56" s="2">
        <v>225000</v>
      </c>
    </row>
    <row r="57" spans="1:27" x14ac:dyDescent="0.3">
      <c r="A57" s="3">
        <v>26</v>
      </c>
      <c r="B57" s="2" t="str">
        <f>"14707000900"</f>
        <v>14707000900</v>
      </c>
      <c r="C57" s="2" t="s">
        <v>6789</v>
      </c>
      <c r="D57" t="s">
        <v>29</v>
      </c>
      <c r="E57" s="2" t="s">
        <v>30</v>
      </c>
      <c r="F57" s="2">
        <v>37211</v>
      </c>
      <c r="G57" s="2" t="s">
        <v>64</v>
      </c>
      <c r="H57" t="s">
        <v>379</v>
      </c>
      <c r="I57" s="6">
        <v>44118</v>
      </c>
      <c r="J57" s="2" t="s">
        <v>6790</v>
      </c>
      <c r="K57" s="2" t="s">
        <v>34</v>
      </c>
      <c r="L57" t="s">
        <v>1104</v>
      </c>
      <c r="M57" t="s">
        <v>29</v>
      </c>
      <c r="N57" t="s">
        <v>30</v>
      </c>
      <c r="O57">
        <v>37208</v>
      </c>
      <c r="P57" t="s">
        <v>6791</v>
      </c>
      <c r="Q57" s="2">
        <v>0.65</v>
      </c>
      <c r="R57" s="2">
        <v>85</v>
      </c>
      <c r="S57" s="2">
        <v>313</v>
      </c>
      <c r="T57" t="s">
        <v>6792</v>
      </c>
      <c r="U57" s="6">
        <v>33025</v>
      </c>
      <c r="V57" s="2">
        <v>47037018902</v>
      </c>
      <c r="W57" s="2" t="s">
        <v>68</v>
      </c>
      <c r="X57" s="1">
        <v>45658</v>
      </c>
      <c r="Y57" s="2">
        <v>225000</v>
      </c>
      <c r="Z57" s="2">
        <v>0</v>
      </c>
      <c r="AA57" s="2">
        <v>225000</v>
      </c>
    </row>
    <row r="58" spans="1:27" x14ac:dyDescent="0.3">
      <c r="A58" s="3">
        <v>26</v>
      </c>
      <c r="B58" s="2" t="str">
        <f>"14707001100"</f>
        <v>14707001100</v>
      </c>
      <c r="C58" s="2" t="s">
        <v>6793</v>
      </c>
      <c r="D58" t="s">
        <v>29</v>
      </c>
      <c r="E58" s="2" t="s">
        <v>30</v>
      </c>
      <c r="F58" s="2">
        <v>37211</v>
      </c>
      <c r="G58" s="2" t="s">
        <v>194</v>
      </c>
      <c r="H58" t="s">
        <v>379</v>
      </c>
      <c r="I58" s="6">
        <v>44797</v>
      </c>
      <c r="J58" s="2" t="s">
        <v>6794</v>
      </c>
      <c r="K58" s="2" t="s">
        <v>34</v>
      </c>
      <c r="L58" t="s">
        <v>1104</v>
      </c>
      <c r="M58" t="s">
        <v>29</v>
      </c>
      <c r="N58" t="s">
        <v>30</v>
      </c>
      <c r="O58">
        <v>37208</v>
      </c>
      <c r="P58" t="s">
        <v>6795</v>
      </c>
      <c r="Q58" s="2">
        <v>0.63</v>
      </c>
      <c r="R58" s="2">
        <v>85</v>
      </c>
      <c r="S58" s="2">
        <v>347</v>
      </c>
      <c r="T58" t="s">
        <v>6796</v>
      </c>
      <c r="U58" s="6">
        <v>33156</v>
      </c>
      <c r="V58" s="2">
        <v>47037018902</v>
      </c>
      <c r="W58" s="2" t="s">
        <v>68</v>
      </c>
      <c r="X58" s="1">
        <v>45658</v>
      </c>
      <c r="Y58" s="2">
        <v>225000</v>
      </c>
      <c r="Z58" s="2">
        <v>0</v>
      </c>
      <c r="AA58" s="2">
        <v>225000</v>
      </c>
    </row>
    <row r="59" spans="1:27" x14ac:dyDescent="0.3">
      <c r="A59" s="3">
        <v>26</v>
      </c>
      <c r="B59" s="2" t="str">
        <f>"14710004900"</f>
        <v>14710004900</v>
      </c>
      <c r="C59" s="2" t="s">
        <v>6797</v>
      </c>
      <c r="D59" t="s">
        <v>29</v>
      </c>
      <c r="E59" s="2" t="s">
        <v>30</v>
      </c>
      <c r="F59" s="2">
        <v>37211</v>
      </c>
      <c r="G59" s="2" t="s">
        <v>64</v>
      </c>
      <c r="H59" t="s">
        <v>379</v>
      </c>
      <c r="I59" s="6">
        <v>44396</v>
      </c>
      <c r="J59" s="2" t="s">
        <v>6798</v>
      </c>
      <c r="K59" s="2" t="s">
        <v>34</v>
      </c>
      <c r="L59" t="s">
        <v>315</v>
      </c>
      <c r="M59" t="s">
        <v>29</v>
      </c>
      <c r="N59" t="s">
        <v>30</v>
      </c>
      <c r="O59">
        <v>37208</v>
      </c>
      <c r="P59" t="s">
        <v>6799</v>
      </c>
      <c r="Q59" s="2">
        <v>0.27</v>
      </c>
      <c r="R59" s="2">
        <v>90</v>
      </c>
      <c r="S59" s="2">
        <v>139</v>
      </c>
      <c r="T59" t="s">
        <v>6800</v>
      </c>
      <c r="U59" s="6">
        <v>23617</v>
      </c>
      <c r="V59" s="2">
        <v>47037018902</v>
      </c>
      <c r="W59" s="2" t="s">
        <v>68</v>
      </c>
      <c r="X59" s="1">
        <v>45658</v>
      </c>
      <c r="Y59" s="2">
        <v>225000</v>
      </c>
      <c r="Z59" s="2">
        <v>0</v>
      </c>
      <c r="AA59" s="2">
        <v>225000</v>
      </c>
    </row>
    <row r="60" spans="1:27" x14ac:dyDescent="0.3">
      <c r="A60" s="3">
        <v>26</v>
      </c>
      <c r="B60" s="2" t="str">
        <f>"14710004800"</f>
        <v>14710004800</v>
      </c>
      <c r="C60" s="2" t="s">
        <v>6801</v>
      </c>
      <c r="D60" t="s">
        <v>29</v>
      </c>
      <c r="E60" s="2" t="s">
        <v>30</v>
      </c>
      <c r="F60" s="2">
        <v>37211</v>
      </c>
      <c r="G60" s="2" t="s">
        <v>64</v>
      </c>
      <c r="H60" t="s">
        <v>379</v>
      </c>
      <c r="I60" s="6">
        <v>44515</v>
      </c>
      <c r="J60" s="2" t="s">
        <v>6802</v>
      </c>
      <c r="K60" s="2" t="s">
        <v>34</v>
      </c>
      <c r="L60" t="s">
        <v>315</v>
      </c>
      <c r="M60" t="s">
        <v>29</v>
      </c>
      <c r="N60" t="s">
        <v>30</v>
      </c>
      <c r="O60">
        <v>37208</v>
      </c>
      <c r="P60" t="s">
        <v>6803</v>
      </c>
      <c r="Q60" s="2">
        <v>0.28999999999999998</v>
      </c>
      <c r="R60" s="2">
        <v>89</v>
      </c>
      <c r="S60" s="2">
        <v>139</v>
      </c>
      <c r="T60" t="s">
        <v>6804</v>
      </c>
      <c r="U60" s="6">
        <v>25008</v>
      </c>
      <c r="V60" s="2">
        <v>47037018902</v>
      </c>
      <c r="W60" s="2" t="s">
        <v>68</v>
      </c>
      <c r="X60" s="1">
        <v>45658</v>
      </c>
      <c r="Y60" s="2">
        <v>225000</v>
      </c>
      <c r="Z60" s="2">
        <v>0</v>
      </c>
      <c r="AA60" s="2">
        <v>225000</v>
      </c>
    </row>
    <row r="61" spans="1:27" x14ac:dyDescent="0.3">
      <c r="A61" s="3">
        <v>26</v>
      </c>
      <c r="B61" s="2" t="str">
        <f>"14710007500"</f>
        <v>14710007500</v>
      </c>
      <c r="C61" s="2" t="s">
        <v>6805</v>
      </c>
      <c r="D61" t="s">
        <v>29</v>
      </c>
      <c r="E61" s="2" t="s">
        <v>30</v>
      </c>
      <c r="F61" s="2">
        <v>37211</v>
      </c>
      <c r="G61" s="2" t="s">
        <v>194</v>
      </c>
      <c r="H61" t="s">
        <v>379</v>
      </c>
      <c r="I61" s="6">
        <v>45412</v>
      </c>
      <c r="J61" s="2" t="s">
        <v>6806</v>
      </c>
      <c r="K61" s="2" t="s">
        <v>34</v>
      </c>
      <c r="L61" t="s">
        <v>315</v>
      </c>
      <c r="M61" t="s">
        <v>29</v>
      </c>
      <c r="N61" t="s">
        <v>30</v>
      </c>
      <c r="O61">
        <v>37208</v>
      </c>
      <c r="P61" t="s">
        <v>6807</v>
      </c>
      <c r="Q61" s="2">
        <v>0.32</v>
      </c>
      <c r="R61" s="2">
        <v>105</v>
      </c>
      <c r="S61" s="2">
        <v>133</v>
      </c>
      <c r="T61" t="s">
        <v>6808</v>
      </c>
      <c r="U61" s="6">
        <v>31785</v>
      </c>
      <c r="V61" s="2">
        <v>47037018902</v>
      </c>
      <c r="W61" s="2" t="s">
        <v>68</v>
      </c>
      <c r="X61" s="1">
        <v>45658</v>
      </c>
      <c r="Y61" s="2">
        <v>270000</v>
      </c>
      <c r="Z61" s="2">
        <v>0</v>
      </c>
      <c r="AA61" s="2">
        <v>270000</v>
      </c>
    </row>
    <row r="62" spans="1:27" x14ac:dyDescent="0.3">
      <c r="A62" s="3">
        <v>26</v>
      </c>
      <c r="B62" s="2" t="str">
        <f>"14706012500"</f>
        <v>14706012500</v>
      </c>
      <c r="C62" s="2" t="s">
        <v>6809</v>
      </c>
      <c r="D62" t="s">
        <v>29</v>
      </c>
      <c r="E62" s="2" t="s">
        <v>30</v>
      </c>
      <c r="F62" s="2">
        <v>37211</v>
      </c>
      <c r="G62" s="2" t="s">
        <v>194</v>
      </c>
      <c r="H62" t="s">
        <v>379</v>
      </c>
      <c r="I62" s="6">
        <v>45555</v>
      </c>
      <c r="J62" s="2" t="s">
        <v>6810</v>
      </c>
      <c r="K62" s="2" t="s">
        <v>34</v>
      </c>
      <c r="L62" t="s">
        <v>315</v>
      </c>
      <c r="M62" t="s">
        <v>29</v>
      </c>
      <c r="N62" t="s">
        <v>30</v>
      </c>
      <c r="O62">
        <v>37208</v>
      </c>
      <c r="P62" t="s">
        <v>6811</v>
      </c>
      <c r="Q62" s="2">
        <v>0.3</v>
      </c>
      <c r="R62" s="2">
        <v>54</v>
      </c>
      <c r="S62" s="2">
        <v>130</v>
      </c>
      <c r="T62" t="s">
        <v>6812</v>
      </c>
      <c r="U62" s="6">
        <v>26800</v>
      </c>
      <c r="V62" s="2">
        <v>47037018902</v>
      </c>
      <c r="W62" s="2" t="s">
        <v>68</v>
      </c>
      <c r="X62" s="1">
        <v>45658</v>
      </c>
      <c r="Y62" s="2">
        <v>571400</v>
      </c>
      <c r="Z62" s="2">
        <v>357600</v>
      </c>
      <c r="AA62" s="2">
        <v>213800</v>
      </c>
    </row>
    <row r="63" spans="1:27" x14ac:dyDescent="0.3">
      <c r="A63" s="3">
        <v>26</v>
      </c>
      <c r="B63" s="2" t="str">
        <f>"14706012600"</f>
        <v>14706012600</v>
      </c>
      <c r="C63" s="2" t="s">
        <v>6813</v>
      </c>
      <c r="D63" t="s">
        <v>29</v>
      </c>
      <c r="E63" s="2" t="s">
        <v>30</v>
      </c>
      <c r="F63" s="2">
        <v>37211</v>
      </c>
      <c r="G63" s="2" t="s">
        <v>194</v>
      </c>
      <c r="H63" t="s">
        <v>379</v>
      </c>
      <c r="I63" s="6">
        <v>45345</v>
      </c>
      <c r="J63" s="2" t="s">
        <v>6814</v>
      </c>
      <c r="K63" s="2">
        <v>0</v>
      </c>
      <c r="L63" t="s">
        <v>1104</v>
      </c>
      <c r="M63" t="s">
        <v>29</v>
      </c>
      <c r="N63" t="s">
        <v>30</v>
      </c>
      <c r="O63">
        <v>37208</v>
      </c>
      <c r="P63" t="s">
        <v>6815</v>
      </c>
      <c r="Q63" s="2">
        <v>0.3</v>
      </c>
      <c r="R63" s="2">
        <v>44</v>
      </c>
      <c r="S63" s="2">
        <v>158</v>
      </c>
      <c r="T63" t="s">
        <v>6816</v>
      </c>
      <c r="U63" s="6">
        <v>27239</v>
      </c>
      <c r="V63" s="2">
        <v>47037018902</v>
      </c>
      <c r="W63" s="2" t="s">
        <v>68</v>
      </c>
      <c r="X63" s="1">
        <v>45658</v>
      </c>
      <c r="Y63" s="2">
        <v>139000</v>
      </c>
      <c r="Z63" s="2">
        <v>0</v>
      </c>
      <c r="AA63" s="2">
        <v>139000</v>
      </c>
    </row>
    <row r="64" spans="1:27" x14ac:dyDescent="0.3">
      <c r="A64" s="3">
        <v>26</v>
      </c>
      <c r="B64" s="2" t="str">
        <f>"14710005000"</f>
        <v>14710005000</v>
      </c>
      <c r="C64" s="2" t="s">
        <v>6817</v>
      </c>
      <c r="D64" t="s">
        <v>29</v>
      </c>
      <c r="E64" s="2" t="s">
        <v>30</v>
      </c>
      <c r="F64" s="2">
        <v>37211</v>
      </c>
      <c r="G64" s="2" t="s">
        <v>64</v>
      </c>
      <c r="H64" t="s">
        <v>379</v>
      </c>
      <c r="I64" s="6">
        <v>44463</v>
      </c>
      <c r="J64" s="2" t="s">
        <v>6818</v>
      </c>
      <c r="K64" s="2" t="s">
        <v>34</v>
      </c>
      <c r="L64" t="s">
        <v>315</v>
      </c>
      <c r="M64" t="s">
        <v>29</v>
      </c>
      <c r="N64" t="s">
        <v>30</v>
      </c>
      <c r="O64">
        <v>37208</v>
      </c>
      <c r="P64" t="s">
        <v>6819</v>
      </c>
      <c r="Q64" s="2">
        <v>0.28999999999999998</v>
      </c>
      <c r="R64" s="2">
        <v>90</v>
      </c>
      <c r="S64" s="2">
        <v>137</v>
      </c>
      <c r="T64" t="s">
        <v>6820</v>
      </c>
      <c r="U64" s="6">
        <v>24684</v>
      </c>
      <c r="V64" s="2">
        <v>47037018902</v>
      </c>
      <c r="W64" s="2" t="s">
        <v>68</v>
      </c>
      <c r="X64" s="1">
        <v>45658</v>
      </c>
      <c r="Y64" s="2">
        <v>225000</v>
      </c>
      <c r="Z64" s="2">
        <v>0</v>
      </c>
      <c r="AA64" s="2">
        <v>225000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5336-4884-4B39-A81C-3D45D6ECA3F5}">
  <sheetPr>
    <tabColor rgb="FF002060"/>
  </sheetPr>
  <dimension ref="A1:AA18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27</v>
      </c>
      <c r="B2" s="2" t="str">
        <f>"14714019300"</f>
        <v>14714019300</v>
      </c>
      <c r="C2" s="2" t="s">
        <v>6821</v>
      </c>
      <c r="D2" t="s">
        <v>29</v>
      </c>
      <c r="E2" s="2" t="s">
        <v>30</v>
      </c>
      <c r="F2" s="2">
        <v>37211</v>
      </c>
      <c r="G2" s="2" t="s">
        <v>64</v>
      </c>
      <c r="H2" t="s">
        <v>99</v>
      </c>
      <c r="I2" s="6">
        <v>29300</v>
      </c>
      <c r="J2" s="2" t="s">
        <v>6822</v>
      </c>
      <c r="K2" s="2" t="s">
        <v>34</v>
      </c>
      <c r="L2" t="s">
        <v>35</v>
      </c>
      <c r="M2" t="s">
        <v>29</v>
      </c>
      <c r="N2" t="s">
        <v>30</v>
      </c>
      <c r="O2">
        <v>37219</v>
      </c>
      <c r="P2" t="s">
        <v>6823</v>
      </c>
      <c r="Q2" s="2">
        <v>0.02</v>
      </c>
      <c r="R2" s="2">
        <v>60</v>
      </c>
      <c r="S2" s="2">
        <v>50</v>
      </c>
      <c r="T2" t="s">
        <v>6824</v>
      </c>
      <c r="U2" s="6">
        <v>26367</v>
      </c>
      <c r="V2" s="2">
        <v>47037018905</v>
      </c>
      <c r="W2" s="2" t="s">
        <v>68</v>
      </c>
      <c r="X2" s="1">
        <v>45658</v>
      </c>
      <c r="Y2" s="2">
        <v>500</v>
      </c>
      <c r="Z2" s="2">
        <v>0</v>
      </c>
      <c r="AA2" s="2">
        <v>500</v>
      </c>
    </row>
    <row r="3" spans="1:27" x14ac:dyDescent="0.3">
      <c r="A3" s="3">
        <v>27</v>
      </c>
      <c r="B3" s="2" t="str">
        <f>"16102010000"</f>
        <v>16102010000</v>
      </c>
      <c r="C3" s="2" t="s">
        <v>6821</v>
      </c>
      <c r="D3" t="s">
        <v>29</v>
      </c>
      <c r="E3" s="2" t="s">
        <v>30</v>
      </c>
      <c r="F3" s="2">
        <v>37211</v>
      </c>
      <c r="G3" s="2" t="s">
        <v>64</v>
      </c>
      <c r="H3" t="s">
        <v>99</v>
      </c>
      <c r="I3" s="6">
        <v>29300</v>
      </c>
      <c r="J3" s="2" t="s">
        <v>6825</v>
      </c>
      <c r="K3" s="2" t="s">
        <v>34</v>
      </c>
      <c r="L3" t="s">
        <v>35</v>
      </c>
      <c r="M3" t="s">
        <v>29</v>
      </c>
      <c r="N3" t="s">
        <v>30</v>
      </c>
      <c r="O3">
        <v>37219</v>
      </c>
      <c r="P3" t="s">
        <v>6826</v>
      </c>
      <c r="Q3" s="2">
        <v>0.05</v>
      </c>
      <c r="R3" s="2">
        <v>60</v>
      </c>
      <c r="S3" s="2">
        <v>50</v>
      </c>
      <c r="T3" t="s">
        <v>6827</v>
      </c>
      <c r="U3" s="6">
        <v>25847</v>
      </c>
      <c r="V3" s="2">
        <v>47037018905</v>
      </c>
      <c r="W3" s="2" t="s">
        <v>68</v>
      </c>
      <c r="X3" s="1">
        <v>45658</v>
      </c>
      <c r="Y3" s="2">
        <v>500</v>
      </c>
      <c r="Z3" s="2">
        <v>0</v>
      </c>
      <c r="AA3" s="2">
        <v>500</v>
      </c>
    </row>
    <row r="4" spans="1:27" x14ac:dyDescent="0.3">
      <c r="A4" s="3">
        <v>27</v>
      </c>
      <c r="B4" s="2" t="str">
        <f>"16205028400"</f>
        <v>16205028400</v>
      </c>
      <c r="C4" s="2" t="s">
        <v>6828</v>
      </c>
      <c r="D4" t="s">
        <v>1945</v>
      </c>
      <c r="E4" s="2" t="s">
        <v>30</v>
      </c>
      <c r="F4" s="2">
        <v>37013</v>
      </c>
      <c r="G4" s="2" t="s">
        <v>64</v>
      </c>
      <c r="H4" t="s">
        <v>99</v>
      </c>
      <c r="I4" s="6">
        <v>41198</v>
      </c>
      <c r="J4" s="2" t="s">
        <v>6829</v>
      </c>
      <c r="K4" s="2">
        <v>701</v>
      </c>
      <c r="L4" t="s">
        <v>35</v>
      </c>
      <c r="M4" t="s">
        <v>29</v>
      </c>
      <c r="N4" t="s">
        <v>30</v>
      </c>
      <c r="O4">
        <v>37219</v>
      </c>
      <c r="P4" t="s">
        <v>6830</v>
      </c>
      <c r="Q4" s="2">
        <v>0.02</v>
      </c>
      <c r="R4" s="2">
        <v>53</v>
      </c>
      <c r="S4" s="2">
        <v>185</v>
      </c>
      <c r="T4" t="s">
        <v>6831</v>
      </c>
      <c r="U4" s="6">
        <v>26831</v>
      </c>
      <c r="V4" s="2">
        <v>47037019110</v>
      </c>
      <c r="W4" s="2" t="s">
        <v>68</v>
      </c>
      <c r="X4" s="1">
        <v>45658</v>
      </c>
      <c r="Y4" s="2">
        <v>500</v>
      </c>
      <c r="Z4" s="2">
        <v>0</v>
      </c>
      <c r="AA4" s="2">
        <v>500</v>
      </c>
    </row>
    <row r="5" spans="1:27" x14ac:dyDescent="0.3">
      <c r="A5" s="3">
        <v>27</v>
      </c>
      <c r="B5" s="2" t="str">
        <f>"14809013200"</f>
        <v>14809013200</v>
      </c>
      <c r="C5" s="2" t="s">
        <v>6832</v>
      </c>
      <c r="D5" t="s">
        <v>29</v>
      </c>
      <c r="E5" s="2" t="s">
        <v>30</v>
      </c>
      <c r="F5" s="2">
        <v>37211</v>
      </c>
      <c r="G5" s="2" t="s">
        <v>64</v>
      </c>
      <c r="H5" t="s">
        <v>99</v>
      </c>
      <c r="I5" s="6">
        <v>40863</v>
      </c>
      <c r="J5" s="2" t="s">
        <v>6833</v>
      </c>
      <c r="K5" s="2">
        <v>2412</v>
      </c>
      <c r="L5" t="s">
        <v>35</v>
      </c>
      <c r="M5" t="s">
        <v>29</v>
      </c>
      <c r="N5" t="s">
        <v>30</v>
      </c>
      <c r="O5">
        <v>37219</v>
      </c>
      <c r="P5" t="s">
        <v>6834</v>
      </c>
      <c r="Q5" s="2">
        <v>0.21</v>
      </c>
      <c r="R5" s="2">
        <v>191</v>
      </c>
      <c r="S5" s="2">
        <v>119</v>
      </c>
      <c r="T5" t="s">
        <v>6835</v>
      </c>
      <c r="U5" s="6">
        <v>16009</v>
      </c>
      <c r="V5" s="2">
        <v>47037019004</v>
      </c>
      <c r="W5" s="2" t="s">
        <v>68</v>
      </c>
      <c r="X5" s="1">
        <v>45658</v>
      </c>
      <c r="Y5" s="2">
        <v>900</v>
      </c>
      <c r="Z5" s="2">
        <v>0</v>
      </c>
      <c r="AA5" s="2">
        <v>900</v>
      </c>
    </row>
    <row r="6" spans="1:27" x14ac:dyDescent="0.3">
      <c r="A6" s="3">
        <v>27</v>
      </c>
      <c r="B6" s="2" t="str">
        <f>"14708017400"</f>
        <v>14708017400</v>
      </c>
      <c r="C6" s="2" t="s">
        <v>6836</v>
      </c>
      <c r="D6" t="s">
        <v>29</v>
      </c>
      <c r="E6" s="2" t="s">
        <v>30</v>
      </c>
      <c r="F6" s="2">
        <v>37211</v>
      </c>
      <c r="G6" s="2" t="s">
        <v>64</v>
      </c>
      <c r="H6" t="s">
        <v>99</v>
      </c>
      <c r="I6" s="6">
        <v>41444</v>
      </c>
      <c r="J6" s="2" t="s">
        <v>6837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6838</v>
      </c>
      <c r="Q6" s="2">
        <v>0.13</v>
      </c>
      <c r="R6" s="2">
        <v>0</v>
      </c>
      <c r="S6" s="2">
        <v>145</v>
      </c>
      <c r="T6" t="s">
        <v>6839</v>
      </c>
      <c r="U6" s="6">
        <v>29308</v>
      </c>
      <c r="V6" s="2">
        <v>47037019004</v>
      </c>
      <c r="W6" s="2" t="s">
        <v>68</v>
      </c>
      <c r="X6" s="1">
        <v>45658</v>
      </c>
      <c r="Y6" s="2">
        <v>45000</v>
      </c>
      <c r="Z6" s="2">
        <v>0</v>
      </c>
      <c r="AA6" s="2">
        <v>45000</v>
      </c>
    </row>
    <row r="7" spans="1:27" x14ac:dyDescent="0.3">
      <c r="A7" s="3">
        <v>27</v>
      </c>
      <c r="B7" s="2" t="str">
        <f>"14712006600"</f>
        <v>14712006600</v>
      </c>
      <c r="C7" s="2" t="s">
        <v>6840</v>
      </c>
      <c r="D7" t="s">
        <v>29</v>
      </c>
      <c r="E7" s="2" t="s">
        <v>30</v>
      </c>
      <c r="F7" s="2">
        <v>37211</v>
      </c>
      <c r="G7" s="2" t="s">
        <v>147</v>
      </c>
      <c r="H7" t="s">
        <v>6841</v>
      </c>
      <c r="I7" s="6">
        <v>24022</v>
      </c>
      <c r="J7" s="2" t="s">
        <v>6842</v>
      </c>
      <c r="K7" s="2" t="s">
        <v>34</v>
      </c>
      <c r="L7" t="s">
        <v>35</v>
      </c>
      <c r="M7" t="s">
        <v>29</v>
      </c>
      <c r="N7" t="s">
        <v>30</v>
      </c>
      <c r="O7">
        <v>37219</v>
      </c>
      <c r="P7" t="s">
        <v>6843</v>
      </c>
      <c r="Q7" s="2">
        <v>1.03</v>
      </c>
      <c r="R7" s="2">
        <v>0</v>
      </c>
      <c r="S7" s="2">
        <v>0</v>
      </c>
      <c r="T7" t="s">
        <v>6842</v>
      </c>
      <c r="U7" s="6">
        <v>24022</v>
      </c>
      <c r="V7" s="2">
        <v>47037019004</v>
      </c>
      <c r="W7" s="2" t="s">
        <v>68</v>
      </c>
      <c r="X7" s="1">
        <v>45658</v>
      </c>
      <c r="Y7" s="2">
        <v>628100</v>
      </c>
      <c r="Z7" s="2">
        <v>0</v>
      </c>
      <c r="AA7" s="2">
        <v>628100</v>
      </c>
    </row>
    <row r="8" spans="1:27" x14ac:dyDescent="0.3">
      <c r="A8" s="3">
        <v>27</v>
      </c>
      <c r="B8" s="2" t="str">
        <f>"16104006800"</f>
        <v>16104006800</v>
      </c>
      <c r="C8" s="2" t="s">
        <v>6844</v>
      </c>
      <c r="D8" t="s">
        <v>29</v>
      </c>
      <c r="E8" s="2" t="s">
        <v>30</v>
      </c>
      <c r="F8" s="2">
        <v>37211</v>
      </c>
      <c r="G8" s="2" t="s">
        <v>152</v>
      </c>
      <c r="H8" t="s">
        <v>176</v>
      </c>
      <c r="I8" s="6">
        <v>20747</v>
      </c>
      <c r="J8" s="2" t="s">
        <v>6845</v>
      </c>
      <c r="K8" s="2" t="s">
        <v>34</v>
      </c>
      <c r="L8" t="s">
        <v>178</v>
      </c>
      <c r="M8" t="s">
        <v>29</v>
      </c>
      <c r="N8" t="s">
        <v>30</v>
      </c>
      <c r="O8">
        <v>37246</v>
      </c>
      <c r="P8" t="s">
        <v>6846</v>
      </c>
      <c r="Q8" s="2">
        <v>0.09</v>
      </c>
      <c r="R8" s="2">
        <v>65</v>
      </c>
      <c r="S8" s="2">
        <v>65</v>
      </c>
      <c r="T8" t="s">
        <v>6845</v>
      </c>
      <c r="U8" s="6">
        <v>20747</v>
      </c>
      <c r="V8" s="2">
        <v>47037019110</v>
      </c>
      <c r="W8" s="2" t="s">
        <v>68</v>
      </c>
      <c r="X8" s="1">
        <v>45658</v>
      </c>
      <c r="Y8" s="2">
        <v>900</v>
      </c>
      <c r="Z8" s="2">
        <v>0</v>
      </c>
      <c r="AA8" s="2">
        <v>900</v>
      </c>
    </row>
    <row r="9" spans="1:27" x14ac:dyDescent="0.3">
      <c r="A9" s="3">
        <v>27</v>
      </c>
      <c r="B9" s="2" t="str">
        <f>"14810006800"</f>
        <v>14810006800</v>
      </c>
      <c r="C9" s="2" t="s">
        <v>6847</v>
      </c>
      <c r="D9" t="s">
        <v>29</v>
      </c>
      <c r="E9" s="2" t="s">
        <v>30</v>
      </c>
      <c r="F9" s="2">
        <v>37211</v>
      </c>
      <c r="G9" s="2" t="s">
        <v>152</v>
      </c>
      <c r="H9" t="s">
        <v>176</v>
      </c>
      <c r="I9" s="6">
        <v>20779</v>
      </c>
      <c r="J9" s="2" t="s">
        <v>6848</v>
      </c>
      <c r="K9" s="2" t="s">
        <v>34</v>
      </c>
      <c r="L9" t="s">
        <v>178</v>
      </c>
      <c r="M9" t="s">
        <v>29</v>
      </c>
      <c r="N9" t="s">
        <v>30</v>
      </c>
      <c r="O9">
        <v>37246</v>
      </c>
      <c r="P9" t="s">
        <v>6849</v>
      </c>
      <c r="Q9" s="2">
        <v>0.67</v>
      </c>
      <c r="R9" s="2">
        <v>100</v>
      </c>
      <c r="S9" s="2">
        <v>275</v>
      </c>
      <c r="T9" t="s">
        <v>6848</v>
      </c>
      <c r="U9" s="6">
        <v>20779</v>
      </c>
      <c r="V9" s="2">
        <v>47037019108</v>
      </c>
      <c r="W9" s="2" t="s">
        <v>68</v>
      </c>
      <c r="X9" s="1">
        <v>45658</v>
      </c>
      <c r="Y9" s="2">
        <v>74800</v>
      </c>
      <c r="Z9" s="2">
        <v>0</v>
      </c>
      <c r="AA9" s="2">
        <v>74800</v>
      </c>
    </row>
    <row r="10" spans="1:27" x14ac:dyDescent="0.3">
      <c r="A10" s="3">
        <v>27</v>
      </c>
      <c r="B10" s="2" t="str">
        <f>"16106003200"</f>
        <v>16106003200</v>
      </c>
      <c r="C10" s="2" t="s">
        <v>6850</v>
      </c>
      <c r="D10" t="s">
        <v>29</v>
      </c>
      <c r="E10" s="2" t="s">
        <v>30</v>
      </c>
      <c r="F10" s="2">
        <v>37211</v>
      </c>
      <c r="G10" s="2" t="s">
        <v>152</v>
      </c>
      <c r="H10" t="s">
        <v>176</v>
      </c>
      <c r="I10" s="6">
        <v>23586</v>
      </c>
      <c r="J10" s="2" t="s">
        <v>6851</v>
      </c>
      <c r="K10" s="2" t="s">
        <v>34</v>
      </c>
      <c r="L10" t="s">
        <v>178</v>
      </c>
      <c r="M10" t="s">
        <v>29</v>
      </c>
      <c r="N10" t="s">
        <v>30</v>
      </c>
      <c r="O10">
        <v>37246</v>
      </c>
      <c r="P10" t="s">
        <v>6852</v>
      </c>
      <c r="Q10" s="2">
        <v>0.5</v>
      </c>
      <c r="R10" s="2">
        <v>90</v>
      </c>
      <c r="S10" s="2">
        <v>240</v>
      </c>
      <c r="T10" t="s">
        <v>6851</v>
      </c>
      <c r="U10" s="6">
        <v>23586</v>
      </c>
      <c r="V10" s="2">
        <v>47037019105</v>
      </c>
      <c r="W10" s="2" t="s">
        <v>68</v>
      </c>
      <c r="X10" s="1">
        <v>45658</v>
      </c>
      <c r="Y10" s="2">
        <v>200000</v>
      </c>
      <c r="Z10" s="2">
        <v>0</v>
      </c>
      <c r="AA10" s="2">
        <v>200000</v>
      </c>
    </row>
    <row r="11" spans="1:27" x14ac:dyDescent="0.3">
      <c r="A11" s="3">
        <v>27</v>
      </c>
      <c r="B11" s="2" t="str">
        <f>"14714004300"</f>
        <v>14714004300</v>
      </c>
      <c r="C11" s="2" t="s">
        <v>6853</v>
      </c>
      <c r="D11" t="s">
        <v>29</v>
      </c>
      <c r="E11" s="2" t="s">
        <v>30</v>
      </c>
      <c r="F11" s="2">
        <v>37211</v>
      </c>
      <c r="G11" s="2" t="s">
        <v>152</v>
      </c>
      <c r="H11" t="s">
        <v>176</v>
      </c>
      <c r="I11" s="6">
        <v>20467</v>
      </c>
      <c r="J11" s="2" t="s">
        <v>6854</v>
      </c>
      <c r="K11" s="2" t="s">
        <v>34</v>
      </c>
      <c r="L11" t="s">
        <v>178</v>
      </c>
      <c r="M11" t="s">
        <v>29</v>
      </c>
      <c r="N11" t="s">
        <v>30</v>
      </c>
      <c r="O11">
        <v>37246</v>
      </c>
      <c r="P11" t="s">
        <v>6855</v>
      </c>
      <c r="Q11" s="2">
        <v>0.51</v>
      </c>
      <c r="R11" s="2">
        <v>86</v>
      </c>
      <c r="S11" s="2">
        <v>258</v>
      </c>
      <c r="T11" t="s">
        <v>6854</v>
      </c>
      <c r="U11" s="6">
        <v>20467</v>
      </c>
      <c r="V11" s="2">
        <v>47037018904</v>
      </c>
      <c r="W11" s="2" t="s">
        <v>68</v>
      </c>
      <c r="X11" s="1">
        <v>45658</v>
      </c>
      <c r="Y11" s="2">
        <v>200000</v>
      </c>
      <c r="Z11" s="2">
        <v>0</v>
      </c>
      <c r="AA11" s="2">
        <v>200000</v>
      </c>
    </row>
    <row r="12" spans="1:27" x14ac:dyDescent="0.3">
      <c r="A12" s="3">
        <v>27</v>
      </c>
      <c r="B12" s="2" t="str">
        <f>"16202016500"</f>
        <v>16202016500</v>
      </c>
      <c r="C12" s="2" t="s">
        <v>6828</v>
      </c>
      <c r="D12" t="s">
        <v>1945</v>
      </c>
      <c r="E12" s="2" t="s">
        <v>30</v>
      </c>
      <c r="F12" s="2">
        <v>37013</v>
      </c>
      <c r="G12" s="2" t="s">
        <v>64</v>
      </c>
      <c r="H12" t="s">
        <v>211</v>
      </c>
      <c r="I12" s="6">
        <v>29230</v>
      </c>
      <c r="J12" s="2" t="s">
        <v>6856</v>
      </c>
      <c r="K12" s="2">
        <v>132</v>
      </c>
      <c r="L12" t="s">
        <v>35</v>
      </c>
      <c r="M12" t="s">
        <v>29</v>
      </c>
      <c r="N12" t="s">
        <v>30</v>
      </c>
      <c r="O12">
        <v>37219</v>
      </c>
      <c r="P12" t="s">
        <v>6857</v>
      </c>
      <c r="Q12" s="2">
        <v>0.55000000000000004</v>
      </c>
      <c r="R12" s="2">
        <v>330</v>
      </c>
      <c r="S12" s="2">
        <v>134</v>
      </c>
      <c r="T12" t="s">
        <v>6858</v>
      </c>
      <c r="U12" s="6">
        <v>24772</v>
      </c>
      <c r="V12" s="2">
        <v>47037019110</v>
      </c>
      <c r="W12" s="2" t="s">
        <v>68</v>
      </c>
      <c r="X12" s="1">
        <v>45658</v>
      </c>
      <c r="Y12" s="2">
        <v>1100</v>
      </c>
      <c r="Z12" s="2">
        <v>0</v>
      </c>
      <c r="AA12" s="2">
        <v>1100</v>
      </c>
    </row>
    <row r="13" spans="1:27" x14ac:dyDescent="0.3">
      <c r="A13" s="3">
        <v>27</v>
      </c>
      <c r="B13" s="2" t="str">
        <f>"16201003700"</f>
        <v>16201003700</v>
      </c>
      <c r="C13" s="2" t="s">
        <v>6859</v>
      </c>
      <c r="D13" t="s">
        <v>1945</v>
      </c>
      <c r="E13" s="2" t="s">
        <v>30</v>
      </c>
      <c r="F13" s="2">
        <v>37013</v>
      </c>
      <c r="G13" s="2" t="s">
        <v>200</v>
      </c>
      <c r="H13" t="s">
        <v>6860</v>
      </c>
      <c r="I13" s="6">
        <v>27443</v>
      </c>
      <c r="J13" s="2" t="s">
        <v>6861</v>
      </c>
      <c r="K13" s="2">
        <v>125000</v>
      </c>
      <c r="L13" t="s">
        <v>35</v>
      </c>
      <c r="M13" t="s">
        <v>29</v>
      </c>
      <c r="N13" t="s">
        <v>30</v>
      </c>
      <c r="O13">
        <v>37219</v>
      </c>
      <c r="P13" t="s">
        <v>6862</v>
      </c>
      <c r="Q13" s="2">
        <v>27.38</v>
      </c>
      <c r="R13" s="2">
        <v>0</v>
      </c>
      <c r="S13" s="2">
        <v>0</v>
      </c>
      <c r="T13" t="s">
        <v>6863</v>
      </c>
      <c r="U13" s="6">
        <v>25451</v>
      </c>
      <c r="V13" s="2">
        <v>47037019110</v>
      </c>
      <c r="W13" s="2" t="s">
        <v>68</v>
      </c>
      <c r="X13" s="1">
        <v>45658</v>
      </c>
      <c r="Y13" s="2">
        <v>1993300</v>
      </c>
      <c r="Z13" s="2">
        <v>0</v>
      </c>
      <c r="AA13" s="2">
        <v>1993300</v>
      </c>
    </row>
    <row r="14" spans="1:27" x14ac:dyDescent="0.3">
      <c r="A14" s="3">
        <v>27</v>
      </c>
      <c r="B14" s="2" t="str">
        <f>"16202024900"</f>
        <v>16202024900</v>
      </c>
      <c r="C14" s="2" t="s">
        <v>6864</v>
      </c>
      <c r="D14" t="s">
        <v>1945</v>
      </c>
      <c r="E14" s="2" t="s">
        <v>30</v>
      </c>
      <c r="F14" s="2">
        <v>37013</v>
      </c>
      <c r="G14" s="2" t="s">
        <v>253</v>
      </c>
      <c r="H14" t="s">
        <v>6865</v>
      </c>
      <c r="I14" s="6">
        <v>22537</v>
      </c>
      <c r="J14" s="2" t="s">
        <v>6866</v>
      </c>
      <c r="K14" s="2" t="s">
        <v>34</v>
      </c>
      <c r="L14" t="s">
        <v>35</v>
      </c>
      <c r="M14" t="s">
        <v>29</v>
      </c>
      <c r="N14" t="s">
        <v>30</v>
      </c>
      <c r="O14">
        <v>37219</v>
      </c>
      <c r="P14" t="s">
        <v>6867</v>
      </c>
      <c r="Q14" s="2">
        <v>12.03</v>
      </c>
      <c r="R14" s="2">
        <v>0</v>
      </c>
      <c r="S14" s="2">
        <v>0</v>
      </c>
      <c r="T14" t="s">
        <v>6866</v>
      </c>
      <c r="U14" s="6">
        <v>22537</v>
      </c>
      <c r="V14" s="2">
        <v>47037019109</v>
      </c>
      <c r="W14" s="2" t="s">
        <v>68</v>
      </c>
      <c r="X14" s="1">
        <v>45658</v>
      </c>
      <c r="Y14" s="2">
        <v>926300</v>
      </c>
      <c r="Z14" s="2">
        <v>0</v>
      </c>
      <c r="AA14" s="2">
        <v>926300</v>
      </c>
    </row>
    <row r="15" spans="1:27" x14ac:dyDescent="0.3">
      <c r="A15" s="3">
        <v>27</v>
      </c>
      <c r="B15" s="2" t="str">
        <f>"16103003200"</f>
        <v>16103003200</v>
      </c>
      <c r="C15" s="2" t="s">
        <v>6868</v>
      </c>
      <c r="D15" t="s">
        <v>29</v>
      </c>
      <c r="E15" s="2" t="s">
        <v>30</v>
      </c>
      <c r="F15" s="2">
        <v>37211</v>
      </c>
      <c r="G15" s="2" t="s">
        <v>253</v>
      </c>
      <c r="H15" t="s">
        <v>6869</v>
      </c>
      <c r="I15" s="6">
        <v>21513</v>
      </c>
      <c r="J15" s="2" t="s">
        <v>6870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6871</v>
      </c>
      <c r="Q15" s="2">
        <v>28.66</v>
      </c>
      <c r="R15" s="2">
        <v>1088</v>
      </c>
      <c r="S15" s="2">
        <v>0</v>
      </c>
      <c r="T15" t="s">
        <v>6872</v>
      </c>
      <c r="U15" s="6">
        <v>41610</v>
      </c>
      <c r="V15" s="2">
        <v>47037018904</v>
      </c>
      <c r="W15" s="2" t="s">
        <v>68</v>
      </c>
      <c r="X15" s="1">
        <v>45658</v>
      </c>
      <c r="Y15" s="2">
        <v>2294500</v>
      </c>
      <c r="Z15" s="2">
        <v>0</v>
      </c>
      <c r="AA15" s="2">
        <v>2294500</v>
      </c>
    </row>
    <row r="16" spans="1:27" x14ac:dyDescent="0.3">
      <c r="A16" s="3">
        <v>27</v>
      </c>
      <c r="B16" s="2" t="str">
        <f>"14716002500"</f>
        <v>14716002500</v>
      </c>
      <c r="C16" s="2" t="s">
        <v>6873</v>
      </c>
      <c r="D16" t="s">
        <v>29</v>
      </c>
      <c r="E16" s="2" t="s">
        <v>30</v>
      </c>
      <c r="F16" s="2">
        <v>37211</v>
      </c>
      <c r="G16" s="2" t="s">
        <v>253</v>
      </c>
      <c r="H16" t="s">
        <v>6874</v>
      </c>
      <c r="I16" s="6">
        <v>21187</v>
      </c>
      <c r="J16" s="2" t="s">
        <v>6875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6876</v>
      </c>
      <c r="Q16" s="2">
        <v>17.79</v>
      </c>
      <c r="R16" s="2">
        <v>0</v>
      </c>
      <c r="S16" s="2">
        <v>0</v>
      </c>
      <c r="T16" t="s">
        <v>278</v>
      </c>
      <c r="U16" s="6">
        <v>36588</v>
      </c>
      <c r="V16" s="2">
        <v>47037018904</v>
      </c>
      <c r="W16" s="2" t="s">
        <v>68</v>
      </c>
      <c r="X16" s="1">
        <v>45658</v>
      </c>
      <c r="Y16" s="2">
        <v>7749300</v>
      </c>
      <c r="Z16" s="2">
        <v>0</v>
      </c>
      <c r="AA16" s="2">
        <v>7749300</v>
      </c>
    </row>
    <row r="17" spans="1:27" x14ac:dyDescent="0.3">
      <c r="A17" s="3">
        <v>27</v>
      </c>
      <c r="B17" s="2" t="str">
        <f>"16100028000"</f>
        <v>16100028000</v>
      </c>
      <c r="C17" s="2" t="s">
        <v>6877</v>
      </c>
      <c r="D17" t="s">
        <v>29</v>
      </c>
      <c r="E17" s="2" t="s">
        <v>30</v>
      </c>
      <c r="F17" s="2">
        <v>37211</v>
      </c>
      <c r="G17" s="2" t="s">
        <v>152</v>
      </c>
      <c r="H17" t="s">
        <v>280</v>
      </c>
      <c r="I17" s="6">
        <v>36439</v>
      </c>
      <c r="J17" s="2" t="s">
        <v>6878</v>
      </c>
      <c r="K17" s="2" t="s">
        <v>34</v>
      </c>
      <c r="L17" t="s">
        <v>35</v>
      </c>
      <c r="M17" t="s">
        <v>29</v>
      </c>
      <c r="N17" t="s">
        <v>30</v>
      </c>
      <c r="O17">
        <v>37219</v>
      </c>
      <c r="P17" t="s">
        <v>6879</v>
      </c>
      <c r="Q17" s="2">
        <v>2.66</v>
      </c>
      <c r="R17" s="2">
        <v>345</v>
      </c>
      <c r="S17" s="2">
        <v>286</v>
      </c>
      <c r="T17" t="s">
        <v>6880</v>
      </c>
      <c r="U17" s="6">
        <v>36378</v>
      </c>
      <c r="V17" s="2">
        <v>47037019105</v>
      </c>
      <c r="W17" s="2" t="s">
        <v>68</v>
      </c>
      <c r="X17" s="1">
        <v>45658</v>
      </c>
      <c r="Y17" s="2">
        <v>2317400</v>
      </c>
      <c r="Z17" s="2">
        <v>0</v>
      </c>
      <c r="AA17" s="2">
        <v>2317400</v>
      </c>
    </row>
    <row r="18" spans="1:27" x14ac:dyDescent="0.3">
      <c r="A18" s="3">
        <v>27</v>
      </c>
      <c r="B18" s="2" t="str">
        <f>"14711004200"</f>
        <v>14711004200</v>
      </c>
      <c r="C18" s="2" t="s">
        <v>6881</v>
      </c>
      <c r="D18" t="s">
        <v>29</v>
      </c>
      <c r="E18" s="2" t="s">
        <v>30</v>
      </c>
      <c r="F18" s="2">
        <v>37211</v>
      </c>
      <c r="G18" s="2" t="s">
        <v>64</v>
      </c>
      <c r="H18" t="s">
        <v>5270</v>
      </c>
      <c r="I18" s="6">
        <v>38313</v>
      </c>
      <c r="J18" s="2" t="s">
        <v>6882</v>
      </c>
      <c r="K18" s="2">
        <v>207500</v>
      </c>
      <c r="L18" t="s">
        <v>35</v>
      </c>
      <c r="M18" t="s">
        <v>29</v>
      </c>
      <c r="N18" t="s">
        <v>30</v>
      </c>
      <c r="O18">
        <v>37219</v>
      </c>
      <c r="P18" t="s">
        <v>6883</v>
      </c>
      <c r="Q18" s="2">
        <v>5.46</v>
      </c>
      <c r="R18" s="2">
        <v>0</v>
      </c>
      <c r="S18" s="2">
        <v>0</v>
      </c>
      <c r="T18" t="s">
        <v>6884</v>
      </c>
      <c r="U18" s="6">
        <v>13897</v>
      </c>
      <c r="V18" s="2">
        <v>47037018904</v>
      </c>
      <c r="W18" s="2" t="s">
        <v>68</v>
      </c>
      <c r="X18" s="1">
        <v>45658</v>
      </c>
      <c r="Y18" s="2">
        <v>554500</v>
      </c>
      <c r="Z18" s="2">
        <v>0</v>
      </c>
      <c r="AA18" s="2">
        <v>554500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F79C-2723-431A-9F75-0D0BDEB24C4D}">
  <sheetPr>
    <tabColor rgb="FF002060"/>
  </sheetPr>
  <dimension ref="A1:AA151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28</v>
      </c>
      <c r="B2" s="2" t="str">
        <f>"13400001200"</f>
        <v>13400001200</v>
      </c>
      <c r="C2" s="2" t="s">
        <v>6885</v>
      </c>
      <c r="D2" t="s">
        <v>29</v>
      </c>
      <c r="E2" s="2" t="s">
        <v>30</v>
      </c>
      <c r="F2" s="2">
        <v>37217</v>
      </c>
      <c r="G2" s="2" t="s">
        <v>31</v>
      </c>
      <c r="H2" t="s">
        <v>32</v>
      </c>
      <c r="I2" s="6">
        <v>41976</v>
      </c>
      <c r="J2" s="2" t="s">
        <v>6886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6887</v>
      </c>
      <c r="Q2" s="2">
        <v>2.57</v>
      </c>
      <c r="R2" s="2">
        <v>0</v>
      </c>
      <c r="S2" s="2">
        <v>0</v>
      </c>
      <c r="T2" t="s">
        <v>6888</v>
      </c>
      <c r="U2" s="6">
        <v>27960</v>
      </c>
      <c r="V2" s="2">
        <v>47037015613</v>
      </c>
      <c r="W2" s="2" t="s">
        <v>68</v>
      </c>
      <c r="X2" s="1">
        <v>45658</v>
      </c>
      <c r="Y2" s="2">
        <v>118200</v>
      </c>
      <c r="Z2" s="2">
        <v>0</v>
      </c>
      <c r="AA2" s="2">
        <v>118200</v>
      </c>
    </row>
    <row r="3" spans="1:27" x14ac:dyDescent="0.3">
      <c r="A3" s="3">
        <v>28</v>
      </c>
      <c r="B3" s="2" t="str">
        <f>"13400014500"</f>
        <v>13400014500</v>
      </c>
      <c r="C3" s="2" t="s">
        <v>6889</v>
      </c>
      <c r="D3" t="s">
        <v>29</v>
      </c>
      <c r="E3" s="2" t="s">
        <v>30</v>
      </c>
      <c r="F3" s="2">
        <v>37211</v>
      </c>
      <c r="G3" s="2" t="s">
        <v>6890</v>
      </c>
      <c r="H3" t="s">
        <v>32</v>
      </c>
      <c r="I3" s="6">
        <v>32531</v>
      </c>
      <c r="J3" s="2" t="s">
        <v>6891</v>
      </c>
      <c r="K3" s="2" t="s">
        <v>34</v>
      </c>
      <c r="L3" t="s">
        <v>35</v>
      </c>
      <c r="M3" t="s">
        <v>29</v>
      </c>
      <c r="N3" t="s">
        <v>30</v>
      </c>
      <c r="O3">
        <v>37219</v>
      </c>
      <c r="P3" t="s">
        <v>6892</v>
      </c>
      <c r="Q3" s="2">
        <v>163.13</v>
      </c>
      <c r="R3" s="2">
        <v>0</v>
      </c>
      <c r="S3" s="2">
        <v>0</v>
      </c>
      <c r="T3" t="s">
        <v>278</v>
      </c>
      <c r="U3" s="6">
        <v>34732</v>
      </c>
      <c r="V3" s="2">
        <v>47037015613</v>
      </c>
      <c r="W3" s="2" t="s">
        <v>68</v>
      </c>
      <c r="X3" s="1">
        <v>45658</v>
      </c>
      <c r="Y3" s="2">
        <v>4718600</v>
      </c>
      <c r="Z3" s="2">
        <v>0</v>
      </c>
      <c r="AA3" s="2">
        <v>4718600</v>
      </c>
    </row>
    <row r="4" spans="1:27" x14ac:dyDescent="0.3">
      <c r="A4" s="3">
        <v>28</v>
      </c>
      <c r="B4" s="2" t="str">
        <f>"14900032100"</f>
        <v>14900032100</v>
      </c>
      <c r="C4" s="2" t="s">
        <v>6893</v>
      </c>
      <c r="D4" t="s">
        <v>29</v>
      </c>
      <c r="E4" s="2" t="s">
        <v>30</v>
      </c>
      <c r="F4" s="2">
        <v>37217</v>
      </c>
      <c r="G4" s="2" t="s">
        <v>6894</v>
      </c>
      <c r="H4" t="s">
        <v>32</v>
      </c>
      <c r="I4" s="6">
        <v>43021</v>
      </c>
      <c r="J4" s="2" t="s">
        <v>6895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6896</v>
      </c>
      <c r="Q4" s="2">
        <v>1.55</v>
      </c>
      <c r="R4" s="2">
        <v>356</v>
      </c>
      <c r="S4" s="2">
        <v>245</v>
      </c>
      <c r="T4" t="s">
        <v>6897</v>
      </c>
      <c r="U4" s="6">
        <v>37026</v>
      </c>
      <c r="V4" s="2">
        <v>47037015626</v>
      </c>
      <c r="W4" s="2" t="s">
        <v>68</v>
      </c>
      <c r="X4" s="1">
        <v>45658</v>
      </c>
      <c r="Y4" s="2">
        <v>1146600</v>
      </c>
      <c r="Z4" s="2">
        <v>336400</v>
      </c>
      <c r="AA4" s="2">
        <v>810200</v>
      </c>
    </row>
    <row r="5" spans="1:27" x14ac:dyDescent="0.3">
      <c r="A5" s="3">
        <v>28</v>
      </c>
      <c r="B5" s="2" t="str">
        <f>"14900032300"</f>
        <v>14900032300</v>
      </c>
      <c r="C5" s="2" t="s">
        <v>6898</v>
      </c>
      <c r="D5" t="s">
        <v>29</v>
      </c>
      <c r="E5" s="2" t="s">
        <v>30</v>
      </c>
      <c r="F5" s="2">
        <v>37217</v>
      </c>
      <c r="G5" s="2" t="s">
        <v>41</v>
      </c>
      <c r="H5" t="s">
        <v>32</v>
      </c>
      <c r="I5" s="6">
        <v>43021</v>
      </c>
      <c r="J5" s="2" t="s">
        <v>6895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6899</v>
      </c>
      <c r="Q5" s="2">
        <v>0.9</v>
      </c>
      <c r="R5" s="2">
        <v>160</v>
      </c>
      <c r="S5" s="2">
        <v>215</v>
      </c>
      <c r="T5" t="s">
        <v>6900</v>
      </c>
      <c r="U5" s="6">
        <v>33402</v>
      </c>
      <c r="V5" s="2">
        <v>47037015626</v>
      </c>
      <c r="W5" s="2" t="s">
        <v>68</v>
      </c>
      <c r="X5" s="1">
        <v>45658</v>
      </c>
      <c r="Y5" s="2">
        <v>588100</v>
      </c>
      <c r="Z5" s="2">
        <v>0</v>
      </c>
      <c r="AA5" s="2">
        <v>588100</v>
      </c>
    </row>
    <row r="6" spans="1:27" x14ac:dyDescent="0.3">
      <c r="A6" s="3">
        <v>28</v>
      </c>
      <c r="B6" s="2" t="str">
        <f>"14900032400"</f>
        <v>14900032400</v>
      </c>
      <c r="C6" s="2" t="s">
        <v>6901</v>
      </c>
      <c r="D6" t="s">
        <v>29</v>
      </c>
      <c r="E6" s="2" t="s">
        <v>30</v>
      </c>
      <c r="F6" s="2">
        <v>37217</v>
      </c>
      <c r="G6" s="2" t="s">
        <v>41</v>
      </c>
      <c r="H6" t="s">
        <v>32</v>
      </c>
      <c r="I6" s="6">
        <v>43021</v>
      </c>
      <c r="J6" s="2" t="s">
        <v>6895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6902</v>
      </c>
      <c r="Q6" s="2">
        <v>0.82</v>
      </c>
      <c r="R6" s="2">
        <v>147</v>
      </c>
      <c r="S6" s="2">
        <v>220</v>
      </c>
      <c r="T6" t="s">
        <v>6900</v>
      </c>
      <c r="U6" s="6">
        <v>33402</v>
      </c>
      <c r="V6" s="2">
        <v>47037015626</v>
      </c>
      <c r="W6" s="2" t="s">
        <v>68</v>
      </c>
      <c r="X6" s="1">
        <v>45658</v>
      </c>
      <c r="Y6" s="2">
        <v>535800</v>
      </c>
      <c r="Z6" s="2">
        <v>0</v>
      </c>
      <c r="AA6" s="2">
        <v>535800</v>
      </c>
    </row>
    <row r="7" spans="1:27" x14ac:dyDescent="0.3">
      <c r="A7" s="3">
        <v>28</v>
      </c>
      <c r="B7" s="2" t="str">
        <f>"14900032600"</f>
        <v>14900032600</v>
      </c>
      <c r="C7" s="2" t="s">
        <v>6903</v>
      </c>
      <c r="D7" t="s">
        <v>29</v>
      </c>
      <c r="E7" s="2" t="s">
        <v>30</v>
      </c>
      <c r="F7" s="2">
        <v>37217</v>
      </c>
      <c r="G7" s="2" t="s">
        <v>41</v>
      </c>
      <c r="H7" t="s">
        <v>32</v>
      </c>
      <c r="I7" s="6">
        <v>43021</v>
      </c>
      <c r="J7" s="2" t="s">
        <v>6895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6904</v>
      </c>
      <c r="Q7" s="2">
        <v>1.55</v>
      </c>
      <c r="R7" s="2">
        <v>402</v>
      </c>
      <c r="S7" s="2">
        <v>365</v>
      </c>
      <c r="T7" t="s">
        <v>6900</v>
      </c>
      <c r="U7" s="6">
        <v>33402</v>
      </c>
      <c r="V7" s="2">
        <v>47037015626</v>
      </c>
      <c r="W7" s="2" t="s">
        <v>68</v>
      </c>
      <c r="X7" s="1">
        <v>45658</v>
      </c>
      <c r="Y7" s="2">
        <v>405100</v>
      </c>
      <c r="Z7" s="2">
        <v>0</v>
      </c>
      <c r="AA7" s="2">
        <v>405100</v>
      </c>
    </row>
    <row r="8" spans="1:27" x14ac:dyDescent="0.3">
      <c r="A8" s="3">
        <v>28</v>
      </c>
      <c r="B8" s="2" t="str">
        <f>"14816007500"</f>
        <v>14816007500</v>
      </c>
      <c r="C8" s="2" t="s">
        <v>6905</v>
      </c>
      <c r="D8" t="s">
        <v>1945</v>
      </c>
      <c r="E8" s="2" t="s">
        <v>30</v>
      </c>
      <c r="F8" s="2">
        <v>37013</v>
      </c>
      <c r="G8" s="2" t="s">
        <v>41</v>
      </c>
      <c r="H8" t="s">
        <v>32</v>
      </c>
      <c r="I8" s="6">
        <v>43263</v>
      </c>
      <c r="J8" s="2" t="s">
        <v>6906</v>
      </c>
      <c r="K8" s="2" t="s">
        <v>34</v>
      </c>
      <c r="L8" t="s">
        <v>35</v>
      </c>
      <c r="M8" t="s">
        <v>29</v>
      </c>
      <c r="N8" t="s">
        <v>30</v>
      </c>
      <c r="O8">
        <v>37219</v>
      </c>
      <c r="P8" t="s">
        <v>6907</v>
      </c>
      <c r="Q8" s="2">
        <v>0.66</v>
      </c>
      <c r="R8" s="2">
        <v>175</v>
      </c>
      <c r="S8" s="2">
        <v>195</v>
      </c>
      <c r="T8" t="s">
        <v>6908</v>
      </c>
      <c r="U8" s="6">
        <v>22160</v>
      </c>
      <c r="V8" s="2">
        <v>47037015627</v>
      </c>
      <c r="W8" s="2" t="s">
        <v>68</v>
      </c>
      <c r="X8" s="1">
        <v>45658</v>
      </c>
      <c r="Y8" s="2">
        <v>12900</v>
      </c>
      <c r="Z8" s="2">
        <v>0</v>
      </c>
      <c r="AA8" s="2">
        <v>12900</v>
      </c>
    </row>
    <row r="9" spans="1:27" x14ac:dyDescent="0.3">
      <c r="A9" s="3">
        <v>28</v>
      </c>
      <c r="B9" s="2" t="str">
        <f>"14816007700"</f>
        <v>14816007700</v>
      </c>
      <c r="C9" s="2" t="s">
        <v>6909</v>
      </c>
      <c r="D9" t="s">
        <v>1945</v>
      </c>
      <c r="E9" s="2" t="s">
        <v>30</v>
      </c>
      <c r="F9" s="2">
        <v>37013</v>
      </c>
      <c r="G9" s="2" t="s">
        <v>2490</v>
      </c>
      <c r="H9" t="s">
        <v>32</v>
      </c>
      <c r="I9" s="6">
        <v>42241</v>
      </c>
      <c r="J9" s="2" t="s">
        <v>6910</v>
      </c>
      <c r="K9" s="2">
        <v>0</v>
      </c>
      <c r="L9" t="s">
        <v>35</v>
      </c>
      <c r="M9" t="s">
        <v>29</v>
      </c>
      <c r="N9" t="s">
        <v>30</v>
      </c>
      <c r="O9">
        <v>37219</v>
      </c>
      <c r="P9" t="s">
        <v>6911</v>
      </c>
      <c r="Q9" s="2">
        <v>0.21</v>
      </c>
      <c r="R9" s="2">
        <v>70</v>
      </c>
      <c r="S9" s="2">
        <v>135</v>
      </c>
      <c r="T9" t="s">
        <v>6912</v>
      </c>
      <c r="U9" s="6">
        <v>24282</v>
      </c>
      <c r="V9" s="2">
        <v>47037015627</v>
      </c>
      <c r="W9" s="2" t="s">
        <v>68</v>
      </c>
      <c r="X9" s="1">
        <v>45658</v>
      </c>
      <c r="Y9" s="2">
        <v>8100</v>
      </c>
      <c r="Z9" s="2">
        <v>4000</v>
      </c>
      <c r="AA9" s="2">
        <v>4100</v>
      </c>
    </row>
    <row r="10" spans="1:27" x14ac:dyDescent="0.3">
      <c r="A10" s="3">
        <v>28</v>
      </c>
      <c r="B10" s="2" t="str">
        <f>"16204000100"</f>
        <v>16204000100</v>
      </c>
      <c r="C10" s="2" t="s">
        <v>6913</v>
      </c>
      <c r="D10" t="s">
        <v>1945</v>
      </c>
      <c r="E10" s="2" t="s">
        <v>30</v>
      </c>
      <c r="F10" s="2">
        <v>37013</v>
      </c>
      <c r="G10" s="2" t="s">
        <v>41</v>
      </c>
      <c r="H10" t="s">
        <v>32</v>
      </c>
      <c r="I10" s="6">
        <v>42241</v>
      </c>
      <c r="J10" s="2" t="s">
        <v>6914</v>
      </c>
      <c r="K10" s="2">
        <v>0</v>
      </c>
      <c r="L10" t="s">
        <v>35</v>
      </c>
      <c r="M10" t="s">
        <v>29</v>
      </c>
      <c r="N10" t="s">
        <v>30</v>
      </c>
      <c r="O10">
        <v>37219</v>
      </c>
      <c r="P10" t="s">
        <v>6915</v>
      </c>
      <c r="Q10" s="2">
        <v>0.18</v>
      </c>
      <c r="R10" s="2">
        <v>69</v>
      </c>
      <c r="S10" s="2">
        <v>130</v>
      </c>
      <c r="T10" t="s">
        <v>6916</v>
      </c>
      <c r="U10" s="6">
        <v>27135</v>
      </c>
      <c r="V10" s="2">
        <v>47037015627</v>
      </c>
      <c r="W10" s="2" t="s">
        <v>68</v>
      </c>
      <c r="X10" s="1">
        <v>45658</v>
      </c>
      <c r="Y10" s="2">
        <v>3500</v>
      </c>
      <c r="Z10" s="2">
        <v>0</v>
      </c>
      <c r="AA10" s="2">
        <v>3500</v>
      </c>
    </row>
    <row r="11" spans="1:27" x14ac:dyDescent="0.3">
      <c r="A11" s="3">
        <v>28</v>
      </c>
      <c r="B11" s="2" t="str">
        <f>"14800029000"</f>
        <v>14800029000</v>
      </c>
      <c r="C11" s="2" t="s">
        <v>6917</v>
      </c>
      <c r="D11" t="s">
        <v>1945</v>
      </c>
      <c r="E11" s="2" t="s">
        <v>30</v>
      </c>
      <c r="F11" s="2">
        <v>37013</v>
      </c>
      <c r="G11" s="2" t="s">
        <v>200</v>
      </c>
      <c r="H11" t="s">
        <v>32</v>
      </c>
      <c r="I11" s="6">
        <v>38198</v>
      </c>
      <c r="J11" s="2" t="s">
        <v>6918</v>
      </c>
      <c r="K11" s="2">
        <v>0</v>
      </c>
      <c r="L11" t="s">
        <v>35</v>
      </c>
      <c r="M11" t="s">
        <v>29</v>
      </c>
      <c r="N11" t="s">
        <v>30</v>
      </c>
      <c r="O11">
        <v>37219</v>
      </c>
      <c r="P11" t="s">
        <v>6919</v>
      </c>
      <c r="Q11" s="2">
        <v>4.47</v>
      </c>
      <c r="R11" s="2">
        <v>0</v>
      </c>
      <c r="S11" s="2">
        <v>750</v>
      </c>
      <c r="T11" t="s">
        <v>6918</v>
      </c>
      <c r="U11" s="6">
        <v>38198</v>
      </c>
      <c r="V11" s="2">
        <v>47037015615</v>
      </c>
      <c r="W11" s="2" t="s">
        <v>68</v>
      </c>
      <c r="X11" s="1">
        <v>45658</v>
      </c>
      <c r="Y11" s="2">
        <v>42500</v>
      </c>
      <c r="Z11" s="2">
        <v>0</v>
      </c>
      <c r="AA11" s="2">
        <v>42500</v>
      </c>
    </row>
    <row r="12" spans="1:27" x14ac:dyDescent="0.3">
      <c r="A12" s="3">
        <v>28</v>
      </c>
      <c r="B12" s="2" t="str">
        <f>"14900032700"</f>
        <v>14900032700</v>
      </c>
      <c r="C12" s="2" t="s">
        <v>6920</v>
      </c>
      <c r="D12" t="s">
        <v>29</v>
      </c>
      <c r="E12" s="2" t="s">
        <v>30</v>
      </c>
      <c r="F12" s="2">
        <v>37217</v>
      </c>
      <c r="G12" s="2" t="s">
        <v>6921</v>
      </c>
      <c r="H12" t="s">
        <v>32</v>
      </c>
      <c r="I12" s="6">
        <v>43021</v>
      </c>
      <c r="J12" s="2" t="s">
        <v>6895</v>
      </c>
      <c r="K12" s="2">
        <v>0</v>
      </c>
      <c r="L12" t="s">
        <v>35</v>
      </c>
      <c r="M12" t="s">
        <v>29</v>
      </c>
      <c r="N12" t="s">
        <v>30</v>
      </c>
      <c r="O12">
        <v>37219</v>
      </c>
      <c r="P12" t="s">
        <v>6922</v>
      </c>
      <c r="Q12" s="2">
        <v>20.6</v>
      </c>
      <c r="R12" s="2">
        <v>0</v>
      </c>
      <c r="S12" s="2">
        <v>0</v>
      </c>
      <c r="T12" t="s">
        <v>6900</v>
      </c>
      <c r="U12" s="6">
        <v>33402</v>
      </c>
      <c r="V12" s="2">
        <v>47037015626</v>
      </c>
      <c r="W12" s="2" t="s">
        <v>68</v>
      </c>
      <c r="X12" s="1">
        <v>45658</v>
      </c>
      <c r="Y12" s="2">
        <v>13522100</v>
      </c>
      <c r="Z12" s="2">
        <v>8138100</v>
      </c>
      <c r="AA12" s="2">
        <v>5384000</v>
      </c>
    </row>
    <row r="13" spans="1:27" x14ac:dyDescent="0.3">
      <c r="A13" s="3">
        <v>28</v>
      </c>
      <c r="B13" s="2" t="str">
        <f>"13400028800"</f>
        <v>13400028800</v>
      </c>
      <c r="C13" s="2" t="s">
        <v>6923</v>
      </c>
      <c r="D13" t="s">
        <v>29</v>
      </c>
      <c r="E13" s="2" t="s">
        <v>30</v>
      </c>
      <c r="F13" s="2">
        <v>37211</v>
      </c>
      <c r="G13" s="2" t="s">
        <v>41</v>
      </c>
      <c r="H13" t="s">
        <v>99</v>
      </c>
      <c r="I13" s="6">
        <v>40863</v>
      </c>
      <c r="J13" s="2" t="s">
        <v>6924</v>
      </c>
      <c r="K13" s="2">
        <v>1511</v>
      </c>
      <c r="L13" t="s">
        <v>35</v>
      </c>
      <c r="M13" t="s">
        <v>29</v>
      </c>
      <c r="N13" t="s">
        <v>30</v>
      </c>
      <c r="O13">
        <v>37219</v>
      </c>
      <c r="P13" t="s">
        <v>6925</v>
      </c>
      <c r="Q13" s="2">
        <v>1.34</v>
      </c>
      <c r="R13" s="2">
        <v>232</v>
      </c>
      <c r="S13" s="2">
        <v>400</v>
      </c>
      <c r="T13" t="s">
        <v>6926</v>
      </c>
      <c r="U13" s="6">
        <v>32169</v>
      </c>
      <c r="V13" s="2">
        <v>47037015613</v>
      </c>
      <c r="W13" s="2" t="s">
        <v>68</v>
      </c>
      <c r="X13" s="1">
        <v>45658</v>
      </c>
      <c r="Y13" s="2">
        <v>12800</v>
      </c>
      <c r="Z13" s="2">
        <v>0</v>
      </c>
      <c r="AA13" s="2">
        <v>12800</v>
      </c>
    </row>
    <row r="14" spans="1:27" x14ac:dyDescent="0.3">
      <c r="A14" s="3">
        <v>28</v>
      </c>
      <c r="B14" s="2" t="str">
        <f>"14816007000"</f>
        <v>14816007000</v>
      </c>
      <c r="C14" s="2" t="s">
        <v>6927</v>
      </c>
      <c r="D14" t="s">
        <v>1945</v>
      </c>
      <c r="E14" s="2" t="s">
        <v>30</v>
      </c>
      <c r="F14" s="2">
        <v>37013</v>
      </c>
      <c r="G14" s="2" t="s">
        <v>41</v>
      </c>
      <c r="H14" t="s">
        <v>99</v>
      </c>
      <c r="I14" s="6">
        <v>42139</v>
      </c>
      <c r="J14" s="2" t="s">
        <v>6928</v>
      </c>
      <c r="K14" s="2">
        <v>10456</v>
      </c>
      <c r="L14" t="s">
        <v>35</v>
      </c>
      <c r="M14" t="s">
        <v>29</v>
      </c>
      <c r="N14" t="s">
        <v>30</v>
      </c>
      <c r="O14">
        <v>37219</v>
      </c>
      <c r="P14" t="s">
        <v>6929</v>
      </c>
      <c r="Q14" s="2">
        <v>0.77</v>
      </c>
      <c r="R14" s="2">
        <v>144</v>
      </c>
      <c r="S14" s="2">
        <v>260</v>
      </c>
      <c r="T14" t="s">
        <v>6930</v>
      </c>
      <c r="U14" s="6">
        <v>24314</v>
      </c>
      <c r="V14" s="2">
        <v>47037015627</v>
      </c>
      <c r="W14" s="2" t="s">
        <v>68</v>
      </c>
      <c r="X14" s="1">
        <v>45658</v>
      </c>
      <c r="Y14" s="2">
        <v>55100</v>
      </c>
      <c r="Z14" s="2">
        <v>0</v>
      </c>
      <c r="AA14" s="2">
        <v>55100</v>
      </c>
    </row>
    <row r="15" spans="1:27" x14ac:dyDescent="0.3">
      <c r="A15" s="3">
        <v>28</v>
      </c>
      <c r="B15" s="2" t="str">
        <f>"13400029300"</f>
        <v>13400029300</v>
      </c>
      <c r="C15" s="2" t="s">
        <v>6931</v>
      </c>
      <c r="D15" t="s">
        <v>29</v>
      </c>
      <c r="E15" s="2" t="s">
        <v>30</v>
      </c>
      <c r="F15" s="2">
        <v>37211</v>
      </c>
      <c r="G15" s="2" t="s">
        <v>152</v>
      </c>
      <c r="H15" t="s">
        <v>1131</v>
      </c>
      <c r="I15" s="6">
        <v>33381</v>
      </c>
      <c r="J15" s="2" t="s">
        <v>6932</v>
      </c>
      <c r="K15" s="2" t="s">
        <v>34</v>
      </c>
      <c r="L15" t="s">
        <v>35</v>
      </c>
      <c r="M15" t="s">
        <v>29</v>
      </c>
      <c r="N15" t="s">
        <v>30</v>
      </c>
      <c r="O15">
        <v>37219</v>
      </c>
      <c r="P15" t="s">
        <v>6933</v>
      </c>
      <c r="Q15" s="2">
        <v>1.27</v>
      </c>
      <c r="R15" s="2">
        <v>200</v>
      </c>
      <c r="S15" s="2">
        <v>243</v>
      </c>
      <c r="T15" t="s">
        <v>6932</v>
      </c>
      <c r="U15" s="6">
        <v>33381</v>
      </c>
      <c r="V15" s="2">
        <v>47037015613</v>
      </c>
      <c r="W15" s="2" t="s">
        <v>68</v>
      </c>
      <c r="X15" s="1">
        <v>45658</v>
      </c>
      <c r="Y15" s="2">
        <v>115000</v>
      </c>
      <c r="Z15" s="2">
        <v>0</v>
      </c>
      <c r="AA15" s="2">
        <v>115000</v>
      </c>
    </row>
    <row r="16" spans="1:27" x14ac:dyDescent="0.3">
      <c r="A16" s="3">
        <v>28</v>
      </c>
      <c r="B16" s="2" t="str">
        <f>"14816006000"</f>
        <v>14816006000</v>
      </c>
      <c r="C16" s="2" t="s">
        <v>6934</v>
      </c>
      <c r="D16" t="s">
        <v>1945</v>
      </c>
      <c r="E16" s="2" t="s">
        <v>30</v>
      </c>
      <c r="F16" s="2">
        <v>37013</v>
      </c>
      <c r="G16" s="2" t="s">
        <v>901</v>
      </c>
      <c r="H16" t="s">
        <v>6935</v>
      </c>
      <c r="I16" s="6">
        <v>33949</v>
      </c>
      <c r="J16" s="2" t="s">
        <v>6936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6937</v>
      </c>
      <c r="Q16" s="2">
        <v>1.1000000000000001</v>
      </c>
      <c r="R16" s="2">
        <v>0</v>
      </c>
      <c r="S16" s="2">
        <v>0</v>
      </c>
      <c r="T16" t="s">
        <v>6938</v>
      </c>
      <c r="U16" s="6">
        <v>27261</v>
      </c>
      <c r="V16" s="2">
        <v>47037015627</v>
      </c>
      <c r="W16" s="2" t="s">
        <v>68</v>
      </c>
      <c r="X16" s="1">
        <v>45658</v>
      </c>
      <c r="Y16" s="2">
        <v>26900</v>
      </c>
      <c r="Z16" s="2">
        <v>0</v>
      </c>
      <c r="AA16" s="2">
        <v>26900</v>
      </c>
    </row>
    <row r="17" spans="1:27" x14ac:dyDescent="0.3">
      <c r="A17" s="3">
        <v>28</v>
      </c>
      <c r="B17" s="2" t="str">
        <f>"14802007900"</f>
        <v>14802007900</v>
      </c>
      <c r="C17" s="2" t="s">
        <v>6939</v>
      </c>
      <c r="D17" t="s">
        <v>29</v>
      </c>
      <c r="E17" s="2" t="s">
        <v>30</v>
      </c>
      <c r="F17" s="2">
        <v>37211</v>
      </c>
      <c r="G17" s="2" t="s">
        <v>152</v>
      </c>
      <c r="H17" t="s">
        <v>176</v>
      </c>
      <c r="I17" s="6">
        <v>22078</v>
      </c>
      <c r="J17" s="2" t="s">
        <v>6940</v>
      </c>
      <c r="K17" s="2" t="s">
        <v>34</v>
      </c>
      <c r="L17" t="s">
        <v>178</v>
      </c>
      <c r="M17" t="s">
        <v>29</v>
      </c>
      <c r="N17" t="s">
        <v>30</v>
      </c>
      <c r="O17">
        <v>37246</v>
      </c>
      <c r="P17" t="s">
        <v>6941</v>
      </c>
      <c r="Q17" s="2">
        <v>0.88</v>
      </c>
      <c r="R17" s="2">
        <v>174</v>
      </c>
      <c r="S17" s="2">
        <v>370</v>
      </c>
      <c r="T17" t="s">
        <v>6940</v>
      </c>
      <c r="U17" s="6">
        <v>22078</v>
      </c>
      <c r="V17" s="2">
        <v>47037015613</v>
      </c>
      <c r="W17" s="2" t="s">
        <v>68</v>
      </c>
      <c r="X17" s="1">
        <v>45658</v>
      </c>
      <c r="Y17" s="2">
        <v>600</v>
      </c>
      <c r="Z17" s="2">
        <v>0</v>
      </c>
      <c r="AA17" s="2">
        <v>600</v>
      </c>
    </row>
    <row r="18" spans="1:27" x14ac:dyDescent="0.3">
      <c r="A18" s="3">
        <v>28</v>
      </c>
      <c r="B18" s="2" t="str">
        <f>"14811000500"</f>
        <v>14811000500</v>
      </c>
      <c r="C18" s="2" t="s">
        <v>6942</v>
      </c>
      <c r="D18" t="s">
        <v>1945</v>
      </c>
      <c r="E18" s="2" t="s">
        <v>30</v>
      </c>
      <c r="F18" s="2">
        <v>37013</v>
      </c>
      <c r="G18" s="2" t="s">
        <v>152</v>
      </c>
      <c r="H18" t="s">
        <v>176</v>
      </c>
      <c r="I18" s="6">
        <v>22936</v>
      </c>
      <c r="J18" s="2" t="s">
        <v>6943</v>
      </c>
      <c r="K18" s="2" t="s">
        <v>34</v>
      </c>
      <c r="L18" t="s">
        <v>178</v>
      </c>
      <c r="M18" t="s">
        <v>29</v>
      </c>
      <c r="N18" t="s">
        <v>30</v>
      </c>
      <c r="O18">
        <v>37246</v>
      </c>
      <c r="P18" t="s">
        <v>6944</v>
      </c>
      <c r="Q18" s="2">
        <v>0.39</v>
      </c>
      <c r="R18" s="2">
        <v>68</v>
      </c>
      <c r="S18" s="2">
        <v>224</v>
      </c>
      <c r="T18" t="s">
        <v>6943</v>
      </c>
      <c r="U18" s="6">
        <v>22936</v>
      </c>
      <c r="V18" s="2">
        <v>47037015627</v>
      </c>
      <c r="W18" s="2" t="s">
        <v>68</v>
      </c>
      <c r="X18" s="1">
        <v>45658</v>
      </c>
      <c r="Y18" s="2">
        <v>97800</v>
      </c>
      <c r="Z18" s="2">
        <v>0</v>
      </c>
      <c r="AA18" s="2">
        <v>97800</v>
      </c>
    </row>
    <row r="19" spans="1:27" x14ac:dyDescent="0.3">
      <c r="A19" s="3">
        <v>28</v>
      </c>
      <c r="B19" s="2" t="str">
        <f>"14816006700"</f>
        <v>14816006700</v>
      </c>
      <c r="C19" s="2" t="s">
        <v>6945</v>
      </c>
      <c r="D19" t="s">
        <v>1945</v>
      </c>
      <c r="E19" s="2" t="s">
        <v>30</v>
      </c>
      <c r="F19" s="2">
        <v>37013</v>
      </c>
      <c r="G19" s="2" t="s">
        <v>41</v>
      </c>
      <c r="H19" t="s">
        <v>211</v>
      </c>
      <c r="I19" s="6">
        <v>41618</v>
      </c>
      <c r="J19" s="2" t="s">
        <v>6946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6937</v>
      </c>
      <c r="Q19" s="2">
        <v>3.35</v>
      </c>
      <c r="R19" s="2">
        <v>0</v>
      </c>
      <c r="S19" s="2">
        <v>0</v>
      </c>
      <c r="T19" t="s">
        <v>6947</v>
      </c>
      <c r="U19" s="6">
        <v>31670</v>
      </c>
      <c r="V19" s="2">
        <v>47037015627</v>
      </c>
      <c r="W19" s="2" t="s">
        <v>68</v>
      </c>
      <c r="X19" s="1">
        <v>45658</v>
      </c>
      <c r="Y19" s="2">
        <v>279100</v>
      </c>
      <c r="Z19" s="2">
        <v>0</v>
      </c>
      <c r="AA19" s="2">
        <v>279100</v>
      </c>
    </row>
    <row r="20" spans="1:27" x14ac:dyDescent="0.3">
      <c r="A20" s="3">
        <v>28</v>
      </c>
      <c r="B20" s="2" t="str">
        <f>"14816006900"</f>
        <v>14816006900</v>
      </c>
      <c r="C20" s="2" t="s">
        <v>6948</v>
      </c>
      <c r="D20" t="s">
        <v>1945</v>
      </c>
      <c r="E20" s="2" t="s">
        <v>30</v>
      </c>
      <c r="F20" s="2">
        <v>37013</v>
      </c>
      <c r="G20" s="2" t="s">
        <v>41</v>
      </c>
      <c r="H20" t="s">
        <v>211</v>
      </c>
      <c r="I20" s="6">
        <v>41621</v>
      </c>
      <c r="J20" s="2" t="s">
        <v>6949</v>
      </c>
      <c r="K20" s="2">
        <v>0</v>
      </c>
      <c r="L20" t="s">
        <v>35</v>
      </c>
      <c r="M20" t="s">
        <v>29</v>
      </c>
      <c r="N20" t="s">
        <v>30</v>
      </c>
      <c r="O20">
        <v>37219</v>
      </c>
      <c r="P20" t="s">
        <v>6950</v>
      </c>
      <c r="Q20" s="2">
        <v>1.86</v>
      </c>
      <c r="R20" s="2">
        <v>0</v>
      </c>
      <c r="S20" s="2">
        <v>0</v>
      </c>
      <c r="T20" t="s">
        <v>6951</v>
      </c>
      <c r="U20" s="6">
        <v>31212</v>
      </c>
      <c r="V20" s="2">
        <v>47037015627</v>
      </c>
      <c r="W20" s="2" t="s">
        <v>68</v>
      </c>
      <c r="X20" s="1">
        <v>45658</v>
      </c>
      <c r="Y20" s="2">
        <v>182300</v>
      </c>
      <c r="Z20" s="2">
        <v>0</v>
      </c>
      <c r="AA20" s="2">
        <v>182300</v>
      </c>
    </row>
    <row r="21" spans="1:27" x14ac:dyDescent="0.3">
      <c r="A21" s="3">
        <v>28</v>
      </c>
      <c r="B21" s="2" t="str">
        <f>"13500008300"</f>
        <v>13500008300</v>
      </c>
      <c r="C21" s="2" t="s">
        <v>6952</v>
      </c>
      <c r="D21" t="s">
        <v>29</v>
      </c>
      <c r="E21" s="2" t="s">
        <v>30</v>
      </c>
      <c r="F21" s="2">
        <v>37217</v>
      </c>
      <c r="G21" s="2" t="s">
        <v>41</v>
      </c>
      <c r="H21" t="s">
        <v>1332</v>
      </c>
      <c r="I21" s="6">
        <v>33193</v>
      </c>
      <c r="J21" s="2" t="s">
        <v>6953</v>
      </c>
      <c r="K21" s="2">
        <v>90000</v>
      </c>
      <c r="L21" t="s">
        <v>35</v>
      </c>
      <c r="M21" t="s">
        <v>29</v>
      </c>
      <c r="N21" t="s">
        <v>30</v>
      </c>
      <c r="O21">
        <v>37219</v>
      </c>
      <c r="P21" t="s">
        <v>6954</v>
      </c>
      <c r="Q21" s="2">
        <v>0.18</v>
      </c>
      <c r="R21" s="2">
        <v>90</v>
      </c>
      <c r="S21" s="2">
        <v>89</v>
      </c>
      <c r="T21" t="s">
        <v>6955</v>
      </c>
      <c r="U21" s="6">
        <v>10195</v>
      </c>
      <c r="V21" s="2">
        <v>47037015613</v>
      </c>
      <c r="W21" s="2" t="s">
        <v>68</v>
      </c>
      <c r="X21" s="1">
        <v>45658</v>
      </c>
      <c r="Y21" s="2">
        <v>72100</v>
      </c>
      <c r="Z21" s="2">
        <v>0</v>
      </c>
      <c r="AA21" s="2">
        <v>72100</v>
      </c>
    </row>
    <row r="22" spans="1:27" x14ac:dyDescent="0.3">
      <c r="A22" s="3">
        <v>28</v>
      </c>
      <c r="B22" s="2" t="str">
        <f>"16200001300"</f>
        <v>16200001300</v>
      </c>
      <c r="C22" s="2" t="s">
        <v>6956</v>
      </c>
      <c r="D22" t="s">
        <v>1945</v>
      </c>
      <c r="E22" s="2" t="s">
        <v>30</v>
      </c>
      <c r="F22" s="2">
        <v>37013</v>
      </c>
      <c r="G22" s="2" t="s">
        <v>253</v>
      </c>
      <c r="H22" t="s">
        <v>6957</v>
      </c>
      <c r="I22" s="6">
        <v>18499</v>
      </c>
      <c r="J22" s="2" t="s">
        <v>6958</v>
      </c>
      <c r="K22" s="2" t="s">
        <v>34</v>
      </c>
      <c r="L22" t="s">
        <v>35</v>
      </c>
      <c r="M22" t="s">
        <v>29</v>
      </c>
      <c r="N22" t="s">
        <v>30</v>
      </c>
      <c r="O22">
        <v>37219</v>
      </c>
      <c r="P22" t="s">
        <v>6959</v>
      </c>
      <c r="Q22" s="2">
        <v>7.71</v>
      </c>
      <c r="R22" s="2">
        <v>0</v>
      </c>
      <c r="S22" s="2">
        <v>0</v>
      </c>
      <c r="T22" t="s">
        <v>6958</v>
      </c>
      <c r="U22" s="6">
        <v>18499</v>
      </c>
      <c r="V22" s="2">
        <v>47037015627</v>
      </c>
      <c r="W22" s="2" t="s">
        <v>68</v>
      </c>
      <c r="X22" s="1">
        <v>45658</v>
      </c>
      <c r="Y22" s="2">
        <v>436500</v>
      </c>
      <c r="Z22" s="2">
        <v>0</v>
      </c>
      <c r="AA22" s="2">
        <v>436500</v>
      </c>
    </row>
    <row r="23" spans="1:27" x14ac:dyDescent="0.3">
      <c r="A23" s="3">
        <v>28</v>
      </c>
      <c r="B23" s="2" t="str">
        <f>"14900018700"</f>
        <v>14900018700</v>
      </c>
      <c r="C23" s="2" t="s">
        <v>6960</v>
      </c>
      <c r="D23" t="s">
        <v>1945</v>
      </c>
      <c r="E23" s="2" t="s">
        <v>30</v>
      </c>
      <c r="F23" s="2">
        <v>37013</v>
      </c>
      <c r="G23" s="2" t="s">
        <v>253</v>
      </c>
      <c r="H23" t="s">
        <v>6961</v>
      </c>
      <c r="I23" s="6">
        <v>24237</v>
      </c>
      <c r="J23" s="2" t="s">
        <v>6962</v>
      </c>
      <c r="K23" s="2" t="s">
        <v>34</v>
      </c>
      <c r="L23" t="s">
        <v>35</v>
      </c>
      <c r="M23" t="s">
        <v>29</v>
      </c>
      <c r="N23" t="s">
        <v>30</v>
      </c>
      <c r="O23">
        <v>37219</v>
      </c>
      <c r="P23" t="s">
        <v>6963</v>
      </c>
      <c r="Q23" s="2">
        <v>21.77</v>
      </c>
      <c r="R23" s="2">
        <v>0</v>
      </c>
      <c r="S23" s="2">
        <v>0</v>
      </c>
      <c r="T23" t="s">
        <v>6962</v>
      </c>
      <c r="U23" s="6">
        <v>24237</v>
      </c>
      <c r="V23" s="2">
        <v>47037015627</v>
      </c>
      <c r="W23" s="2" t="s">
        <v>68</v>
      </c>
      <c r="X23" s="1">
        <v>45658</v>
      </c>
      <c r="Y23" s="2">
        <v>1706700</v>
      </c>
      <c r="Z23" s="2">
        <v>0</v>
      </c>
      <c r="AA23" s="2">
        <v>1706700</v>
      </c>
    </row>
    <row r="24" spans="1:27" x14ac:dyDescent="0.3">
      <c r="A24" s="3">
        <v>28</v>
      </c>
      <c r="B24" s="2" t="str">
        <f>"14900001600"</f>
        <v>14900001600</v>
      </c>
      <c r="C24" s="2" t="s">
        <v>6964</v>
      </c>
      <c r="D24" t="s">
        <v>1945</v>
      </c>
      <c r="E24" s="2" t="s">
        <v>30</v>
      </c>
      <c r="F24" s="2">
        <v>37013</v>
      </c>
      <c r="G24" s="2" t="s">
        <v>64</v>
      </c>
      <c r="H24" t="s">
        <v>6965</v>
      </c>
      <c r="I24" s="6">
        <v>23103</v>
      </c>
      <c r="J24" s="2" t="s">
        <v>6966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6967</v>
      </c>
      <c r="Q24" s="2">
        <v>11.4</v>
      </c>
      <c r="R24" s="2">
        <v>0</v>
      </c>
      <c r="S24" s="2">
        <v>0</v>
      </c>
      <c r="T24" t="s">
        <v>6966</v>
      </c>
      <c r="U24" s="6">
        <v>23103</v>
      </c>
      <c r="V24" s="2">
        <v>47037015627</v>
      </c>
      <c r="W24" s="2" t="s">
        <v>68</v>
      </c>
      <c r="X24" s="1">
        <v>45658</v>
      </c>
      <c r="Y24" s="2">
        <v>893700</v>
      </c>
      <c r="Z24" s="2">
        <v>0</v>
      </c>
      <c r="AA24" s="2">
        <v>893700</v>
      </c>
    </row>
    <row r="25" spans="1:27" x14ac:dyDescent="0.3">
      <c r="A25" s="3">
        <v>28</v>
      </c>
      <c r="B25" s="2" t="str">
        <f>"13400029700"</f>
        <v>13400029700</v>
      </c>
      <c r="C25" s="2" t="s">
        <v>6885</v>
      </c>
      <c r="D25" t="s">
        <v>29</v>
      </c>
      <c r="E25" s="2" t="s">
        <v>30</v>
      </c>
      <c r="F25" s="2">
        <v>37217</v>
      </c>
      <c r="G25" s="2" t="s">
        <v>64</v>
      </c>
      <c r="H25" t="s">
        <v>2707</v>
      </c>
      <c r="I25" s="6">
        <v>33721</v>
      </c>
      <c r="J25" s="2" t="s">
        <v>6968</v>
      </c>
      <c r="K25" s="2" t="s">
        <v>34</v>
      </c>
      <c r="L25" t="s">
        <v>2689</v>
      </c>
      <c r="M25" t="s">
        <v>29</v>
      </c>
      <c r="N25" t="s">
        <v>30</v>
      </c>
      <c r="O25">
        <v>37214</v>
      </c>
      <c r="P25" t="s">
        <v>6969</v>
      </c>
      <c r="Q25" s="2">
        <v>8.0299999999999994</v>
      </c>
      <c r="R25" s="2">
        <v>0</v>
      </c>
      <c r="S25" s="2">
        <v>0</v>
      </c>
      <c r="T25" t="s">
        <v>3044</v>
      </c>
      <c r="U25" s="6">
        <v>33721</v>
      </c>
      <c r="V25" s="2">
        <v>47037015700</v>
      </c>
      <c r="W25" s="2" t="s">
        <v>68</v>
      </c>
      <c r="X25" s="1">
        <v>45658</v>
      </c>
      <c r="Y25" s="2">
        <v>317300</v>
      </c>
      <c r="Z25" s="2">
        <v>0</v>
      </c>
      <c r="AA25" s="2">
        <v>317300</v>
      </c>
    </row>
    <row r="26" spans="1:27" x14ac:dyDescent="0.3">
      <c r="A26" s="3">
        <v>28</v>
      </c>
      <c r="B26" s="2" t="str">
        <f>"13402001500"</f>
        <v>13402001500</v>
      </c>
      <c r="C26" s="2" t="s">
        <v>6970</v>
      </c>
      <c r="D26" t="s">
        <v>29</v>
      </c>
      <c r="E26" s="2" t="s">
        <v>30</v>
      </c>
      <c r="F26" s="2">
        <v>37217</v>
      </c>
      <c r="G26" s="2" t="s">
        <v>64</v>
      </c>
      <c r="H26" t="s">
        <v>2707</v>
      </c>
      <c r="I26" s="6">
        <v>33298</v>
      </c>
      <c r="J26" s="2" t="s">
        <v>6971</v>
      </c>
      <c r="K26" s="2">
        <v>87000</v>
      </c>
      <c r="L26" t="s">
        <v>2689</v>
      </c>
      <c r="M26" t="s">
        <v>29</v>
      </c>
      <c r="N26" t="s">
        <v>30</v>
      </c>
      <c r="O26">
        <v>37214</v>
      </c>
      <c r="P26" t="s">
        <v>6972</v>
      </c>
      <c r="Q26" s="2">
        <v>0.89</v>
      </c>
      <c r="R26" s="2">
        <v>113</v>
      </c>
      <c r="S26" s="2">
        <v>350</v>
      </c>
      <c r="T26" t="s">
        <v>6973</v>
      </c>
      <c r="U26" s="6">
        <v>19507</v>
      </c>
      <c r="V26" s="2">
        <v>47037015700</v>
      </c>
      <c r="W26" s="2" t="s">
        <v>68</v>
      </c>
      <c r="X26" s="1">
        <v>45658</v>
      </c>
      <c r="Y26" s="2">
        <v>63400</v>
      </c>
      <c r="Z26" s="2">
        <v>0</v>
      </c>
      <c r="AA26" s="2">
        <v>63400</v>
      </c>
    </row>
    <row r="27" spans="1:27" x14ac:dyDescent="0.3">
      <c r="A27" s="3">
        <v>28</v>
      </c>
      <c r="B27" s="2" t="str">
        <f>"13402001600"</f>
        <v>13402001600</v>
      </c>
      <c r="C27" s="2" t="s">
        <v>6974</v>
      </c>
      <c r="D27" t="s">
        <v>29</v>
      </c>
      <c r="E27" s="2" t="s">
        <v>30</v>
      </c>
      <c r="F27" s="2">
        <v>37217</v>
      </c>
      <c r="G27" s="2" t="s">
        <v>64</v>
      </c>
      <c r="H27" t="s">
        <v>2707</v>
      </c>
      <c r="I27" s="6">
        <v>33191</v>
      </c>
      <c r="J27" s="2" t="s">
        <v>6975</v>
      </c>
      <c r="K27" s="2">
        <v>60000</v>
      </c>
      <c r="L27" t="s">
        <v>2689</v>
      </c>
      <c r="M27" t="s">
        <v>29</v>
      </c>
      <c r="N27" t="s">
        <v>30</v>
      </c>
      <c r="O27">
        <v>37214</v>
      </c>
      <c r="P27" t="s">
        <v>6972</v>
      </c>
      <c r="Q27" s="2">
        <v>5.68</v>
      </c>
      <c r="R27" s="2">
        <v>0</v>
      </c>
      <c r="S27" s="2">
        <v>0</v>
      </c>
      <c r="T27" t="s">
        <v>6976</v>
      </c>
      <c r="U27" s="6">
        <v>18011</v>
      </c>
      <c r="V27" s="2">
        <v>47037015700</v>
      </c>
      <c r="W27" s="2" t="s">
        <v>68</v>
      </c>
      <c r="X27" s="1">
        <v>45658</v>
      </c>
      <c r="Y27" s="2">
        <v>202900</v>
      </c>
      <c r="Z27" s="2">
        <v>0</v>
      </c>
      <c r="AA27" s="2">
        <v>202900</v>
      </c>
    </row>
    <row r="28" spans="1:27" x14ac:dyDescent="0.3">
      <c r="A28" s="3">
        <v>28</v>
      </c>
      <c r="B28" s="2" t="str">
        <f>"13402001700"</f>
        <v>13402001700</v>
      </c>
      <c r="C28" s="2" t="s">
        <v>6977</v>
      </c>
      <c r="D28" t="s">
        <v>29</v>
      </c>
      <c r="E28" s="2" t="s">
        <v>30</v>
      </c>
      <c r="F28" s="2">
        <v>37217</v>
      </c>
      <c r="G28" s="2" t="s">
        <v>64</v>
      </c>
      <c r="H28" t="s">
        <v>2707</v>
      </c>
      <c r="I28" s="6">
        <v>33191</v>
      </c>
      <c r="J28" s="2" t="s">
        <v>6978</v>
      </c>
      <c r="K28" s="2">
        <v>20000</v>
      </c>
      <c r="L28" t="s">
        <v>2689</v>
      </c>
      <c r="M28" t="s">
        <v>29</v>
      </c>
      <c r="N28" t="s">
        <v>30</v>
      </c>
      <c r="O28">
        <v>37214</v>
      </c>
      <c r="P28" t="s">
        <v>6972</v>
      </c>
      <c r="Q28" s="2">
        <v>3.78</v>
      </c>
      <c r="R28" s="2">
        <v>0</v>
      </c>
      <c r="S28" s="2">
        <v>0</v>
      </c>
      <c r="T28" t="s">
        <v>6979</v>
      </c>
      <c r="U28" s="6">
        <v>17924</v>
      </c>
      <c r="V28" s="2">
        <v>47037015700</v>
      </c>
      <c r="W28" s="2" t="s">
        <v>68</v>
      </c>
      <c r="X28" s="1">
        <v>45658</v>
      </c>
      <c r="Y28" s="2">
        <v>146200</v>
      </c>
      <c r="Z28" s="2">
        <v>0</v>
      </c>
      <c r="AA28" s="2">
        <v>146200</v>
      </c>
    </row>
    <row r="29" spans="1:27" x14ac:dyDescent="0.3">
      <c r="A29" s="3">
        <v>28</v>
      </c>
      <c r="B29" s="2" t="str">
        <f>"13402001800"</f>
        <v>13402001800</v>
      </c>
      <c r="C29" s="2" t="s">
        <v>6980</v>
      </c>
      <c r="D29" t="s">
        <v>29</v>
      </c>
      <c r="E29" s="2" t="s">
        <v>30</v>
      </c>
      <c r="F29" s="2">
        <v>37217</v>
      </c>
      <c r="G29" s="2" t="s">
        <v>64</v>
      </c>
      <c r="H29" t="s">
        <v>2707</v>
      </c>
      <c r="I29" s="6">
        <v>33207</v>
      </c>
      <c r="J29" s="2" t="s">
        <v>6981</v>
      </c>
      <c r="K29" s="2">
        <v>56000</v>
      </c>
      <c r="L29" t="s">
        <v>2689</v>
      </c>
      <c r="M29" t="s">
        <v>29</v>
      </c>
      <c r="N29" t="s">
        <v>30</v>
      </c>
      <c r="O29">
        <v>37214</v>
      </c>
      <c r="P29" t="s">
        <v>6972</v>
      </c>
      <c r="Q29" s="2">
        <v>1.92</v>
      </c>
      <c r="R29" s="2">
        <v>0</v>
      </c>
      <c r="S29" s="2">
        <v>0</v>
      </c>
      <c r="T29" t="s">
        <v>6982</v>
      </c>
      <c r="U29" s="6">
        <v>23026</v>
      </c>
      <c r="V29" s="2">
        <v>47037015700</v>
      </c>
      <c r="W29" s="2" t="s">
        <v>68</v>
      </c>
      <c r="X29" s="1">
        <v>45658</v>
      </c>
      <c r="Y29" s="2">
        <v>90800</v>
      </c>
      <c r="Z29" s="2">
        <v>0</v>
      </c>
      <c r="AA29" s="2">
        <v>90800</v>
      </c>
    </row>
    <row r="30" spans="1:27" x14ac:dyDescent="0.3">
      <c r="A30" s="3">
        <v>28</v>
      </c>
      <c r="B30" s="2" t="str">
        <f>"13402001900"</f>
        <v>13402001900</v>
      </c>
      <c r="C30" s="2" t="s">
        <v>6983</v>
      </c>
      <c r="D30" t="s">
        <v>29</v>
      </c>
      <c r="E30" s="2" t="s">
        <v>30</v>
      </c>
      <c r="F30" s="2">
        <v>37217</v>
      </c>
      <c r="G30" s="2" t="s">
        <v>64</v>
      </c>
      <c r="H30" t="s">
        <v>2707</v>
      </c>
      <c r="I30" s="6">
        <v>33134</v>
      </c>
      <c r="J30" s="2" t="s">
        <v>6984</v>
      </c>
      <c r="K30" s="2">
        <v>63500</v>
      </c>
      <c r="L30" t="s">
        <v>2689</v>
      </c>
      <c r="M30" t="s">
        <v>29</v>
      </c>
      <c r="N30" t="s">
        <v>30</v>
      </c>
      <c r="O30">
        <v>37214</v>
      </c>
      <c r="P30" t="s">
        <v>6972</v>
      </c>
      <c r="Q30" s="2">
        <v>1.92</v>
      </c>
      <c r="R30" s="2">
        <v>0</v>
      </c>
      <c r="S30" s="2">
        <v>0</v>
      </c>
      <c r="T30" t="s">
        <v>6985</v>
      </c>
      <c r="U30" s="6">
        <v>11762</v>
      </c>
      <c r="V30" s="2">
        <v>47037015700</v>
      </c>
      <c r="W30" s="2" t="s">
        <v>68</v>
      </c>
      <c r="X30" s="1">
        <v>45658</v>
      </c>
      <c r="Y30" s="2">
        <v>90800</v>
      </c>
      <c r="Z30" s="2">
        <v>0</v>
      </c>
      <c r="AA30" s="2">
        <v>90800</v>
      </c>
    </row>
    <row r="31" spans="1:27" x14ac:dyDescent="0.3">
      <c r="A31" s="3">
        <v>28</v>
      </c>
      <c r="B31" s="2" t="str">
        <f>"13402002000"</f>
        <v>13402002000</v>
      </c>
      <c r="C31" s="2" t="s">
        <v>6986</v>
      </c>
      <c r="D31" t="s">
        <v>29</v>
      </c>
      <c r="E31" s="2" t="s">
        <v>30</v>
      </c>
      <c r="F31" s="2">
        <v>37217</v>
      </c>
      <c r="G31" s="2" t="s">
        <v>64</v>
      </c>
      <c r="H31" t="s">
        <v>2707</v>
      </c>
      <c r="I31" s="6">
        <v>33333</v>
      </c>
      <c r="J31" s="2" t="s">
        <v>6987</v>
      </c>
      <c r="K31" s="2">
        <v>34000</v>
      </c>
      <c r="L31" t="s">
        <v>2689</v>
      </c>
      <c r="M31" t="s">
        <v>29</v>
      </c>
      <c r="N31" t="s">
        <v>30</v>
      </c>
      <c r="O31">
        <v>37214</v>
      </c>
      <c r="P31" t="s">
        <v>6972</v>
      </c>
      <c r="Q31" s="2">
        <v>4.2300000000000004</v>
      </c>
      <c r="R31" s="2">
        <v>0</v>
      </c>
      <c r="S31" s="2">
        <v>0</v>
      </c>
      <c r="T31" t="s">
        <v>6988</v>
      </c>
      <c r="U31" s="6">
        <v>27599</v>
      </c>
      <c r="V31" s="2">
        <v>47037015700</v>
      </c>
      <c r="W31" s="2" t="s">
        <v>68</v>
      </c>
      <c r="X31" s="1">
        <v>45658</v>
      </c>
      <c r="Y31" s="2">
        <v>159700</v>
      </c>
      <c r="Z31" s="2">
        <v>0</v>
      </c>
      <c r="AA31" s="2">
        <v>159700</v>
      </c>
    </row>
    <row r="32" spans="1:27" x14ac:dyDescent="0.3">
      <c r="A32" s="3">
        <v>28</v>
      </c>
      <c r="B32" s="2" t="str">
        <f>"13404000100"</f>
        <v>13404000100</v>
      </c>
      <c r="C32" s="2" t="s">
        <v>6989</v>
      </c>
      <c r="D32" t="s">
        <v>29</v>
      </c>
      <c r="E32" s="2" t="s">
        <v>30</v>
      </c>
      <c r="F32" s="2">
        <v>37217</v>
      </c>
      <c r="G32" s="2" t="s">
        <v>64</v>
      </c>
      <c r="H32" t="s">
        <v>2707</v>
      </c>
      <c r="I32" s="6">
        <v>33332</v>
      </c>
      <c r="J32" s="2" t="s">
        <v>6990</v>
      </c>
      <c r="K32" s="2">
        <v>65000</v>
      </c>
      <c r="L32" t="s">
        <v>2689</v>
      </c>
      <c r="M32" t="s">
        <v>29</v>
      </c>
      <c r="N32" t="s">
        <v>30</v>
      </c>
      <c r="O32">
        <v>37214</v>
      </c>
      <c r="P32" t="s">
        <v>6991</v>
      </c>
      <c r="Q32" s="2">
        <v>0.5</v>
      </c>
      <c r="R32" s="2">
        <v>100</v>
      </c>
      <c r="S32" s="2">
        <v>210</v>
      </c>
      <c r="T32" t="s">
        <v>6992</v>
      </c>
      <c r="U32" s="6">
        <v>16740</v>
      </c>
      <c r="V32" s="2">
        <v>47037015613</v>
      </c>
      <c r="W32" s="2" t="s">
        <v>68</v>
      </c>
      <c r="X32" s="1">
        <v>45658</v>
      </c>
      <c r="Y32" s="2">
        <v>106300</v>
      </c>
      <c r="Z32" s="2">
        <v>0</v>
      </c>
      <c r="AA32" s="2">
        <v>106300</v>
      </c>
    </row>
    <row r="33" spans="1:27" x14ac:dyDescent="0.3">
      <c r="A33" s="3">
        <v>28</v>
      </c>
      <c r="B33" s="2" t="str">
        <f>"13402002100"</f>
        <v>13402002100</v>
      </c>
      <c r="C33" s="2" t="s">
        <v>6993</v>
      </c>
      <c r="D33" t="s">
        <v>29</v>
      </c>
      <c r="E33" s="2" t="s">
        <v>30</v>
      </c>
      <c r="F33" s="2">
        <v>37217</v>
      </c>
      <c r="G33" s="2" t="s">
        <v>64</v>
      </c>
      <c r="H33" t="s">
        <v>2707</v>
      </c>
      <c r="I33" s="6">
        <v>33296</v>
      </c>
      <c r="J33" s="2" t="s">
        <v>6994</v>
      </c>
      <c r="K33" s="2">
        <v>63000</v>
      </c>
      <c r="L33" t="s">
        <v>2689</v>
      </c>
      <c r="M33" t="s">
        <v>29</v>
      </c>
      <c r="N33" t="s">
        <v>30</v>
      </c>
      <c r="O33">
        <v>37214</v>
      </c>
      <c r="P33" t="s">
        <v>6972</v>
      </c>
      <c r="Q33" s="2">
        <v>2.14</v>
      </c>
      <c r="R33" s="2">
        <v>0</v>
      </c>
      <c r="S33" s="2">
        <v>0</v>
      </c>
      <c r="T33" t="s">
        <v>6988</v>
      </c>
      <c r="U33" s="6">
        <v>27599</v>
      </c>
      <c r="V33" s="2">
        <v>47037015700</v>
      </c>
      <c r="W33" s="2" t="s">
        <v>68</v>
      </c>
      <c r="X33" s="1">
        <v>45658</v>
      </c>
      <c r="Y33" s="2">
        <v>97400</v>
      </c>
      <c r="Z33" s="2">
        <v>0</v>
      </c>
      <c r="AA33" s="2">
        <v>97400</v>
      </c>
    </row>
    <row r="34" spans="1:27" x14ac:dyDescent="0.3">
      <c r="A34" s="3">
        <v>28</v>
      </c>
      <c r="B34" s="2" t="str">
        <f>"13402002200"</f>
        <v>13402002200</v>
      </c>
      <c r="C34" s="2" t="s">
        <v>6995</v>
      </c>
      <c r="D34" t="s">
        <v>29</v>
      </c>
      <c r="E34" s="2" t="s">
        <v>30</v>
      </c>
      <c r="F34" s="2">
        <v>37217</v>
      </c>
      <c r="G34" s="2" t="s">
        <v>64</v>
      </c>
      <c r="H34" t="s">
        <v>2707</v>
      </c>
      <c r="I34" s="6">
        <v>32647</v>
      </c>
      <c r="J34" s="2" t="s">
        <v>6996</v>
      </c>
      <c r="K34" s="2">
        <v>97500</v>
      </c>
      <c r="L34" t="s">
        <v>2689</v>
      </c>
      <c r="M34" t="s">
        <v>29</v>
      </c>
      <c r="N34" t="s">
        <v>30</v>
      </c>
      <c r="O34">
        <v>37214</v>
      </c>
      <c r="P34" t="s">
        <v>6972</v>
      </c>
      <c r="Q34" s="2">
        <v>3.83</v>
      </c>
      <c r="R34" s="2">
        <v>200</v>
      </c>
      <c r="S34" s="2">
        <v>810</v>
      </c>
      <c r="T34" t="s">
        <v>6997</v>
      </c>
      <c r="U34" s="6">
        <v>27164</v>
      </c>
      <c r="V34" s="2">
        <v>47037015700</v>
      </c>
      <c r="W34" s="2" t="s">
        <v>68</v>
      </c>
      <c r="X34" s="1">
        <v>45658</v>
      </c>
      <c r="Y34" s="2">
        <v>147700</v>
      </c>
      <c r="Z34" s="2">
        <v>0</v>
      </c>
      <c r="AA34" s="2">
        <v>147700</v>
      </c>
    </row>
    <row r="35" spans="1:27" x14ac:dyDescent="0.3">
      <c r="A35" s="3">
        <v>28</v>
      </c>
      <c r="B35" s="2" t="str">
        <f>"13402002300"</f>
        <v>13402002300</v>
      </c>
      <c r="C35" s="2" t="s">
        <v>6998</v>
      </c>
      <c r="D35" t="s">
        <v>29</v>
      </c>
      <c r="E35" s="2" t="s">
        <v>30</v>
      </c>
      <c r="F35" s="2">
        <v>37217</v>
      </c>
      <c r="G35" s="2" t="s">
        <v>64</v>
      </c>
      <c r="H35" t="s">
        <v>2707</v>
      </c>
      <c r="I35" s="6">
        <v>32626</v>
      </c>
      <c r="J35" s="2" t="s">
        <v>6999</v>
      </c>
      <c r="K35" s="2" t="s">
        <v>34</v>
      </c>
      <c r="L35" t="s">
        <v>2689</v>
      </c>
      <c r="M35" t="s">
        <v>29</v>
      </c>
      <c r="N35" t="s">
        <v>30</v>
      </c>
      <c r="O35">
        <v>37214</v>
      </c>
      <c r="P35" t="s">
        <v>6972</v>
      </c>
      <c r="Q35" s="2">
        <v>0.82</v>
      </c>
      <c r="R35" s="2">
        <v>100</v>
      </c>
      <c r="S35" s="2">
        <v>363</v>
      </c>
      <c r="T35" t="s">
        <v>7000</v>
      </c>
      <c r="U35" s="6">
        <v>18021</v>
      </c>
      <c r="V35" s="2">
        <v>47037015700</v>
      </c>
      <c r="W35" s="2" t="s">
        <v>68</v>
      </c>
      <c r="X35" s="1">
        <v>45658</v>
      </c>
      <c r="Y35" s="2">
        <v>63400</v>
      </c>
      <c r="Z35" s="2">
        <v>0</v>
      </c>
      <c r="AA35" s="2">
        <v>63400</v>
      </c>
    </row>
    <row r="36" spans="1:27" x14ac:dyDescent="0.3">
      <c r="A36" s="3">
        <v>28</v>
      </c>
      <c r="B36" s="2" t="str">
        <f>"13402002400"</f>
        <v>13402002400</v>
      </c>
      <c r="C36" s="2" t="s">
        <v>7001</v>
      </c>
      <c r="D36" t="s">
        <v>29</v>
      </c>
      <c r="E36" s="2" t="s">
        <v>30</v>
      </c>
      <c r="F36" s="2">
        <v>37217</v>
      </c>
      <c r="G36" s="2" t="s">
        <v>64</v>
      </c>
      <c r="H36" t="s">
        <v>2707</v>
      </c>
      <c r="I36" s="6">
        <v>32535</v>
      </c>
      <c r="J36" s="2" t="s">
        <v>7002</v>
      </c>
      <c r="K36" s="2">
        <v>57500</v>
      </c>
      <c r="L36" t="s">
        <v>2689</v>
      </c>
      <c r="M36" t="s">
        <v>29</v>
      </c>
      <c r="N36" t="s">
        <v>30</v>
      </c>
      <c r="O36">
        <v>37214</v>
      </c>
      <c r="P36" t="s">
        <v>6972</v>
      </c>
      <c r="Q36" s="2">
        <v>0.86</v>
      </c>
      <c r="R36" s="2">
        <v>75</v>
      </c>
      <c r="S36" s="2">
        <v>363</v>
      </c>
      <c r="T36" t="s">
        <v>3044</v>
      </c>
      <c r="U36" s="6">
        <v>33721</v>
      </c>
      <c r="V36" s="2">
        <v>47037015700</v>
      </c>
      <c r="W36" s="2" t="s">
        <v>68</v>
      </c>
      <c r="X36" s="1">
        <v>45658</v>
      </c>
      <c r="Y36" s="2">
        <v>63400</v>
      </c>
      <c r="Z36" s="2">
        <v>0</v>
      </c>
      <c r="AA36" s="2">
        <v>63400</v>
      </c>
    </row>
    <row r="37" spans="1:27" x14ac:dyDescent="0.3">
      <c r="A37" s="3">
        <v>28</v>
      </c>
      <c r="B37" s="2" t="str">
        <f>"13404000200"</f>
        <v>13404000200</v>
      </c>
      <c r="C37" s="2" t="s">
        <v>7003</v>
      </c>
      <c r="D37" t="s">
        <v>29</v>
      </c>
      <c r="E37" s="2" t="s">
        <v>30</v>
      </c>
      <c r="F37" s="2">
        <v>37217</v>
      </c>
      <c r="G37" s="2" t="s">
        <v>77</v>
      </c>
      <c r="H37" t="s">
        <v>2707</v>
      </c>
      <c r="I37" s="6">
        <v>33319</v>
      </c>
      <c r="J37" s="2" t="s">
        <v>7004</v>
      </c>
      <c r="K37" s="2">
        <v>77000</v>
      </c>
      <c r="L37" t="s">
        <v>2689</v>
      </c>
      <c r="M37" t="s">
        <v>29</v>
      </c>
      <c r="N37" t="s">
        <v>30</v>
      </c>
      <c r="O37">
        <v>37214</v>
      </c>
      <c r="P37" t="s">
        <v>7005</v>
      </c>
      <c r="Q37" s="2">
        <v>0.5</v>
      </c>
      <c r="R37" s="2">
        <v>100</v>
      </c>
      <c r="S37" s="2">
        <v>206</v>
      </c>
      <c r="T37" t="s">
        <v>7006</v>
      </c>
      <c r="U37" s="6">
        <v>16266</v>
      </c>
      <c r="V37" s="2">
        <v>47037015613</v>
      </c>
      <c r="W37" s="2" t="s">
        <v>68</v>
      </c>
      <c r="X37" s="1">
        <v>45658</v>
      </c>
      <c r="Y37" s="2">
        <v>129500</v>
      </c>
      <c r="Z37" s="2">
        <v>23200</v>
      </c>
      <c r="AA37" s="2">
        <v>106300</v>
      </c>
    </row>
    <row r="38" spans="1:27" x14ac:dyDescent="0.3">
      <c r="A38" s="3">
        <v>28</v>
      </c>
      <c r="B38" s="2" t="str">
        <f>"13404000300"</f>
        <v>13404000300</v>
      </c>
      <c r="C38" s="2" t="s">
        <v>7007</v>
      </c>
      <c r="D38" t="s">
        <v>29</v>
      </c>
      <c r="E38" s="2" t="s">
        <v>30</v>
      </c>
      <c r="F38" s="2">
        <v>37217</v>
      </c>
      <c r="G38" s="2" t="s">
        <v>64</v>
      </c>
      <c r="H38" t="s">
        <v>2707</v>
      </c>
      <c r="I38" s="6">
        <v>33312</v>
      </c>
      <c r="J38" s="2" t="s">
        <v>7008</v>
      </c>
      <c r="K38" s="2">
        <v>80500</v>
      </c>
      <c r="L38" t="s">
        <v>2689</v>
      </c>
      <c r="M38" t="s">
        <v>29</v>
      </c>
      <c r="N38" t="s">
        <v>30</v>
      </c>
      <c r="O38">
        <v>37214</v>
      </c>
      <c r="P38" t="s">
        <v>7009</v>
      </c>
      <c r="Q38" s="2">
        <v>0.5</v>
      </c>
      <c r="R38" s="2">
        <v>100</v>
      </c>
      <c r="S38" s="2">
        <v>204</v>
      </c>
      <c r="T38" t="s">
        <v>7010</v>
      </c>
      <c r="U38" s="6">
        <v>20454</v>
      </c>
      <c r="V38" s="2">
        <v>47037015613</v>
      </c>
      <c r="W38" s="2" t="s">
        <v>68</v>
      </c>
      <c r="X38" s="1">
        <v>45658</v>
      </c>
      <c r="Y38" s="2">
        <v>106300</v>
      </c>
      <c r="Z38" s="2">
        <v>0</v>
      </c>
      <c r="AA38" s="2">
        <v>106300</v>
      </c>
    </row>
    <row r="39" spans="1:27" x14ac:dyDescent="0.3">
      <c r="A39" s="3">
        <v>28</v>
      </c>
      <c r="B39" s="2" t="str">
        <f>"13404000400"</f>
        <v>13404000400</v>
      </c>
      <c r="C39" s="2" t="s">
        <v>7011</v>
      </c>
      <c r="D39" t="s">
        <v>29</v>
      </c>
      <c r="E39" s="2" t="s">
        <v>30</v>
      </c>
      <c r="F39" s="2">
        <v>37217</v>
      </c>
      <c r="G39" s="2" t="s">
        <v>64</v>
      </c>
      <c r="H39" t="s">
        <v>2707</v>
      </c>
      <c r="I39" s="6">
        <v>33501</v>
      </c>
      <c r="J39" s="2" t="s">
        <v>7012</v>
      </c>
      <c r="K39" s="2">
        <v>105000</v>
      </c>
      <c r="L39" t="s">
        <v>2689</v>
      </c>
      <c r="M39" t="s">
        <v>29</v>
      </c>
      <c r="N39" t="s">
        <v>30</v>
      </c>
      <c r="O39">
        <v>37214</v>
      </c>
      <c r="P39" t="s">
        <v>7013</v>
      </c>
      <c r="Q39" s="2">
        <v>0.43</v>
      </c>
      <c r="R39" s="2">
        <v>100</v>
      </c>
      <c r="S39" s="2">
        <v>204</v>
      </c>
      <c r="T39" t="s">
        <v>7014</v>
      </c>
      <c r="U39" s="6">
        <v>20454</v>
      </c>
      <c r="V39" s="2">
        <v>47037015613</v>
      </c>
      <c r="W39" s="2" t="s">
        <v>68</v>
      </c>
      <c r="X39" s="1">
        <v>45658</v>
      </c>
      <c r="Y39" s="2">
        <v>85000</v>
      </c>
      <c r="Z39" s="2">
        <v>0</v>
      </c>
      <c r="AA39" s="2">
        <v>85000</v>
      </c>
    </row>
    <row r="40" spans="1:27" x14ac:dyDescent="0.3">
      <c r="A40" s="3">
        <v>28</v>
      </c>
      <c r="B40" s="2" t="str">
        <f>"13404000500"</f>
        <v>13404000500</v>
      </c>
      <c r="C40" s="2" t="s">
        <v>7015</v>
      </c>
      <c r="D40" t="s">
        <v>29</v>
      </c>
      <c r="E40" s="2" t="s">
        <v>30</v>
      </c>
      <c r="F40" s="2">
        <v>37217</v>
      </c>
      <c r="G40" s="2" t="s">
        <v>64</v>
      </c>
      <c r="H40" t="s">
        <v>2707</v>
      </c>
      <c r="I40" s="6">
        <v>33431</v>
      </c>
      <c r="J40" s="2" t="s">
        <v>7016</v>
      </c>
      <c r="K40" s="2" t="s">
        <v>34</v>
      </c>
      <c r="L40" t="s">
        <v>2689</v>
      </c>
      <c r="M40" t="s">
        <v>29</v>
      </c>
      <c r="N40" t="s">
        <v>30</v>
      </c>
      <c r="O40">
        <v>37214</v>
      </c>
      <c r="P40" t="s">
        <v>7017</v>
      </c>
      <c r="Q40" s="2">
        <v>0.41</v>
      </c>
      <c r="R40" s="2">
        <v>100</v>
      </c>
      <c r="S40" s="2">
        <v>188</v>
      </c>
      <c r="T40" t="s">
        <v>7018</v>
      </c>
      <c r="U40" s="6">
        <v>24310</v>
      </c>
      <c r="V40" s="2">
        <v>47037015613</v>
      </c>
      <c r="W40" s="2" t="s">
        <v>68</v>
      </c>
      <c r="X40" s="1">
        <v>45658</v>
      </c>
      <c r="Y40" s="2">
        <v>85000</v>
      </c>
      <c r="Z40" s="2">
        <v>0</v>
      </c>
      <c r="AA40" s="2">
        <v>85000</v>
      </c>
    </row>
    <row r="41" spans="1:27" x14ac:dyDescent="0.3">
      <c r="A41" s="3">
        <v>28</v>
      </c>
      <c r="B41" s="2" t="str">
        <f>"13404000600"</f>
        <v>13404000600</v>
      </c>
      <c r="C41" s="2" t="s">
        <v>7019</v>
      </c>
      <c r="D41" t="s">
        <v>29</v>
      </c>
      <c r="E41" s="2" t="s">
        <v>30</v>
      </c>
      <c r="F41" s="2">
        <v>37217</v>
      </c>
      <c r="G41" s="2" t="s">
        <v>64</v>
      </c>
      <c r="H41" t="s">
        <v>2707</v>
      </c>
      <c r="I41" s="6">
        <v>33318</v>
      </c>
      <c r="J41" s="2" t="s">
        <v>7020</v>
      </c>
      <c r="K41" s="2">
        <v>56000</v>
      </c>
      <c r="L41" t="s">
        <v>2689</v>
      </c>
      <c r="M41" t="s">
        <v>29</v>
      </c>
      <c r="N41" t="s">
        <v>30</v>
      </c>
      <c r="O41">
        <v>37214</v>
      </c>
      <c r="P41" t="s">
        <v>7021</v>
      </c>
      <c r="Q41" s="2">
        <v>0.28000000000000003</v>
      </c>
      <c r="R41" s="2">
        <v>74</v>
      </c>
      <c r="S41" s="2">
        <v>187</v>
      </c>
      <c r="T41" t="s">
        <v>7022</v>
      </c>
      <c r="U41" s="6">
        <v>23470</v>
      </c>
      <c r="V41" s="2">
        <v>47037015613</v>
      </c>
      <c r="W41" s="2" t="s">
        <v>68</v>
      </c>
      <c r="X41" s="1">
        <v>45658</v>
      </c>
      <c r="Y41" s="2">
        <v>85000</v>
      </c>
      <c r="Z41" s="2">
        <v>0</v>
      </c>
      <c r="AA41" s="2">
        <v>85000</v>
      </c>
    </row>
    <row r="42" spans="1:27" x14ac:dyDescent="0.3">
      <c r="A42" s="3">
        <v>28</v>
      </c>
      <c r="B42" s="2" t="str">
        <f>"13404000700"</f>
        <v>13404000700</v>
      </c>
      <c r="C42" s="2" t="s">
        <v>7023</v>
      </c>
      <c r="D42" t="s">
        <v>29</v>
      </c>
      <c r="E42" s="2" t="s">
        <v>30</v>
      </c>
      <c r="F42" s="2">
        <v>37217</v>
      </c>
      <c r="G42" s="2" t="s">
        <v>64</v>
      </c>
      <c r="H42" t="s">
        <v>2707</v>
      </c>
      <c r="I42" s="6">
        <v>33451</v>
      </c>
      <c r="J42" s="2" t="s">
        <v>7024</v>
      </c>
      <c r="K42" s="2">
        <v>55000</v>
      </c>
      <c r="L42" t="s">
        <v>2689</v>
      </c>
      <c r="M42" t="s">
        <v>29</v>
      </c>
      <c r="N42" t="s">
        <v>30</v>
      </c>
      <c r="O42">
        <v>37214</v>
      </c>
      <c r="P42" t="s">
        <v>7025</v>
      </c>
      <c r="Q42" s="2">
        <v>0.28999999999999998</v>
      </c>
      <c r="R42" s="2">
        <v>69</v>
      </c>
      <c r="S42" s="2">
        <v>186</v>
      </c>
      <c r="T42" t="s">
        <v>7026</v>
      </c>
      <c r="U42" s="6">
        <v>24633</v>
      </c>
      <c r="V42" s="2">
        <v>47037015613</v>
      </c>
      <c r="W42" s="2" t="s">
        <v>68</v>
      </c>
      <c r="X42" s="1">
        <v>45658</v>
      </c>
      <c r="Y42" s="2">
        <v>85000</v>
      </c>
      <c r="Z42" s="2">
        <v>0</v>
      </c>
      <c r="AA42" s="2">
        <v>85000</v>
      </c>
    </row>
    <row r="43" spans="1:27" x14ac:dyDescent="0.3">
      <c r="A43" s="3">
        <v>28</v>
      </c>
      <c r="B43" s="2" t="str">
        <f>"13404000800"</f>
        <v>13404000800</v>
      </c>
      <c r="C43" s="2" t="s">
        <v>7027</v>
      </c>
      <c r="D43" t="s">
        <v>29</v>
      </c>
      <c r="E43" s="2" t="s">
        <v>30</v>
      </c>
      <c r="F43" s="2">
        <v>37217</v>
      </c>
      <c r="G43" s="2" t="s">
        <v>64</v>
      </c>
      <c r="H43" t="s">
        <v>2707</v>
      </c>
      <c r="I43" s="6">
        <v>33394</v>
      </c>
      <c r="J43" s="2" t="s">
        <v>7028</v>
      </c>
      <c r="K43" s="2">
        <v>60000</v>
      </c>
      <c r="L43" t="s">
        <v>2689</v>
      </c>
      <c r="M43" t="s">
        <v>29</v>
      </c>
      <c r="N43" t="s">
        <v>30</v>
      </c>
      <c r="O43">
        <v>37214</v>
      </c>
      <c r="P43" t="s">
        <v>7029</v>
      </c>
      <c r="Q43" s="2">
        <v>0.28999999999999998</v>
      </c>
      <c r="R43" s="2">
        <v>69</v>
      </c>
      <c r="S43" s="2">
        <v>184</v>
      </c>
      <c r="T43" t="s">
        <v>7030</v>
      </c>
      <c r="U43" s="6">
        <v>26609</v>
      </c>
      <c r="V43" s="2">
        <v>47037015613</v>
      </c>
      <c r="W43" s="2" t="s">
        <v>68</v>
      </c>
      <c r="X43" s="1">
        <v>45658</v>
      </c>
      <c r="Y43" s="2">
        <v>85000</v>
      </c>
      <c r="Z43" s="2">
        <v>0</v>
      </c>
      <c r="AA43" s="2">
        <v>85000</v>
      </c>
    </row>
    <row r="44" spans="1:27" x14ac:dyDescent="0.3">
      <c r="A44" s="3">
        <v>28</v>
      </c>
      <c r="B44" s="2" t="str">
        <f>"13404002600"</f>
        <v>13404002600</v>
      </c>
      <c r="C44" s="2" t="s">
        <v>7031</v>
      </c>
      <c r="D44" t="s">
        <v>29</v>
      </c>
      <c r="E44" s="2" t="s">
        <v>30</v>
      </c>
      <c r="F44" s="2">
        <v>37217</v>
      </c>
      <c r="G44" s="2" t="s">
        <v>64</v>
      </c>
      <c r="H44" t="s">
        <v>2707</v>
      </c>
      <c r="I44" s="6">
        <v>33393</v>
      </c>
      <c r="J44" s="2" t="s">
        <v>7032</v>
      </c>
      <c r="K44" s="2">
        <v>92000</v>
      </c>
      <c r="L44" t="s">
        <v>2689</v>
      </c>
      <c r="M44" t="s">
        <v>29</v>
      </c>
      <c r="N44" t="s">
        <v>30</v>
      </c>
      <c r="O44">
        <v>37214</v>
      </c>
      <c r="P44" t="s">
        <v>7033</v>
      </c>
      <c r="Q44" s="2">
        <v>0.84</v>
      </c>
      <c r="R44" s="2">
        <v>27</v>
      </c>
      <c r="S44" s="2">
        <v>243</v>
      </c>
      <c r="T44" t="s">
        <v>7034</v>
      </c>
      <c r="U44" s="6">
        <v>24378</v>
      </c>
      <c r="V44" s="2">
        <v>47037015613</v>
      </c>
      <c r="W44" s="2" t="s">
        <v>68</v>
      </c>
      <c r="X44" s="1">
        <v>45658</v>
      </c>
      <c r="Y44" s="2">
        <v>106300</v>
      </c>
      <c r="Z44" s="2">
        <v>0</v>
      </c>
      <c r="AA44" s="2">
        <v>106300</v>
      </c>
    </row>
    <row r="45" spans="1:27" x14ac:dyDescent="0.3">
      <c r="A45" s="3">
        <v>28</v>
      </c>
      <c r="B45" s="2" t="str">
        <f>"13404002700"</f>
        <v>13404002700</v>
      </c>
      <c r="C45" s="2" t="s">
        <v>7035</v>
      </c>
      <c r="D45" t="s">
        <v>29</v>
      </c>
      <c r="E45" s="2" t="s">
        <v>30</v>
      </c>
      <c r="F45" s="2">
        <v>37217</v>
      </c>
      <c r="G45" s="2" t="s">
        <v>64</v>
      </c>
      <c r="H45" t="s">
        <v>2707</v>
      </c>
      <c r="I45" s="6">
        <v>33731</v>
      </c>
      <c r="J45" s="2" t="s">
        <v>7036</v>
      </c>
      <c r="K45" s="2" t="s">
        <v>34</v>
      </c>
      <c r="L45" t="s">
        <v>2689</v>
      </c>
      <c r="M45" t="s">
        <v>29</v>
      </c>
      <c r="N45" t="s">
        <v>30</v>
      </c>
      <c r="O45">
        <v>37214</v>
      </c>
      <c r="P45" t="s">
        <v>7037</v>
      </c>
      <c r="Q45" s="2">
        <v>0.62</v>
      </c>
      <c r="R45" s="2">
        <v>23</v>
      </c>
      <c r="S45" s="2">
        <v>280</v>
      </c>
      <c r="T45" t="s">
        <v>7038</v>
      </c>
      <c r="U45" s="6">
        <v>23172</v>
      </c>
      <c r="V45" s="2">
        <v>47037015613</v>
      </c>
      <c r="W45" s="2" t="s">
        <v>68</v>
      </c>
      <c r="X45" s="1">
        <v>45658</v>
      </c>
      <c r="Y45" s="2">
        <v>106300</v>
      </c>
      <c r="Z45" s="2">
        <v>0</v>
      </c>
      <c r="AA45" s="2">
        <v>106300</v>
      </c>
    </row>
    <row r="46" spans="1:27" x14ac:dyDescent="0.3">
      <c r="A46" s="3">
        <v>28</v>
      </c>
      <c r="B46" s="2" t="str">
        <f>"13404000900"</f>
        <v>13404000900</v>
      </c>
      <c r="C46" s="2" t="s">
        <v>7039</v>
      </c>
      <c r="D46" t="s">
        <v>29</v>
      </c>
      <c r="E46" s="2" t="s">
        <v>30</v>
      </c>
      <c r="F46" s="2">
        <v>37217</v>
      </c>
      <c r="G46" s="2" t="s">
        <v>64</v>
      </c>
      <c r="H46" t="s">
        <v>2707</v>
      </c>
      <c r="I46" s="6">
        <v>33339</v>
      </c>
      <c r="J46" s="2" t="s">
        <v>7040</v>
      </c>
      <c r="K46" s="2">
        <v>61000</v>
      </c>
      <c r="L46" t="s">
        <v>2689</v>
      </c>
      <c r="M46" t="s">
        <v>29</v>
      </c>
      <c r="N46" t="s">
        <v>30</v>
      </c>
      <c r="O46">
        <v>37214</v>
      </c>
      <c r="P46" t="s">
        <v>7041</v>
      </c>
      <c r="Q46" s="2">
        <v>0.28999999999999998</v>
      </c>
      <c r="R46" s="2">
        <v>69</v>
      </c>
      <c r="S46" s="2">
        <v>183</v>
      </c>
      <c r="T46" t="s">
        <v>7042</v>
      </c>
      <c r="U46" s="6">
        <v>21565</v>
      </c>
      <c r="V46" s="2">
        <v>47037015613</v>
      </c>
      <c r="W46" s="2" t="s">
        <v>68</v>
      </c>
      <c r="X46" s="1">
        <v>45658</v>
      </c>
      <c r="Y46" s="2">
        <v>85000</v>
      </c>
      <c r="Z46" s="2">
        <v>0</v>
      </c>
      <c r="AA46" s="2">
        <v>85000</v>
      </c>
    </row>
    <row r="47" spans="1:27" x14ac:dyDescent="0.3">
      <c r="A47" s="3">
        <v>28</v>
      </c>
      <c r="B47" s="2" t="str">
        <f>"13501000300"</f>
        <v>13501000300</v>
      </c>
      <c r="C47" s="2" t="s">
        <v>7043</v>
      </c>
      <c r="D47" t="s">
        <v>29</v>
      </c>
      <c r="E47" s="2" t="s">
        <v>30</v>
      </c>
      <c r="F47" s="2">
        <v>37217</v>
      </c>
      <c r="G47" s="2" t="s">
        <v>64</v>
      </c>
      <c r="H47" t="s">
        <v>2707</v>
      </c>
      <c r="I47" s="6">
        <v>33331</v>
      </c>
      <c r="J47" s="2" t="s">
        <v>7044</v>
      </c>
      <c r="K47" s="2">
        <v>61000</v>
      </c>
      <c r="L47" t="s">
        <v>2689</v>
      </c>
      <c r="M47" t="s">
        <v>29</v>
      </c>
      <c r="N47" t="s">
        <v>30</v>
      </c>
      <c r="O47">
        <v>37214</v>
      </c>
      <c r="P47" t="s">
        <v>7045</v>
      </c>
      <c r="Q47" s="2">
        <v>0.28999999999999998</v>
      </c>
      <c r="R47" s="2">
        <v>69</v>
      </c>
      <c r="S47" s="2">
        <v>165</v>
      </c>
      <c r="T47" t="s">
        <v>7046</v>
      </c>
      <c r="U47" s="6">
        <v>27096</v>
      </c>
      <c r="V47" s="2">
        <v>47037015613</v>
      </c>
      <c r="W47" s="2" t="s">
        <v>68</v>
      </c>
      <c r="X47" s="1">
        <v>45658</v>
      </c>
      <c r="Y47" s="2">
        <v>85000</v>
      </c>
      <c r="Z47" s="2">
        <v>0</v>
      </c>
      <c r="AA47" s="2">
        <v>85000</v>
      </c>
    </row>
    <row r="48" spans="1:27" x14ac:dyDescent="0.3">
      <c r="A48" s="3">
        <v>28</v>
      </c>
      <c r="B48" s="2" t="str">
        <f>"13404001000"</f>
        <v>13404001000</v>
      </c>
      <c r="C48" s="2" t="s">
        <v>7047</v>
      </c>
      <c r="D48" t="s">
        <v>29</v>
      </c>
      <c r="E48" s="2" t="s">
        <v>30</v>
      </c>
      <c r="F48" s="2">
        <v>37217</v>
      </c>
      <c r="G48" s="2" t="s">
        <v>64</v>
      </c>
      <c r="H48" t="s">
        <v>2707</v>
      </c>
      <c r="I48" s="6">
        <v>33414</v>
      </c>
      <c r="J48" s="2" t="s">
        <v>7048</v>
      </c>
      <c r="K48" s="2">
        <v>66000</v>
      </c>
      <c r="L48" t="s">
        <v>2689</v>
      </c>
      <c r="M48" t="s">
        <v>29</v>
      </c>
      <c r="N48" t="s">
        <v>30</v>
      </c>
      <c r="O48">
        <v>37214</v>
      </c>
      <c r="P48" t="s">
        <v>7049</v>
      </c>
      <c r="Q48" s="2">
        <v>0.28999999999999998</v>
      </c>
      <c r="R48" s="2">
        <v>69</v>
      </c>
      <c r="S48" s="2">
        <v>182</v>
      </c>
      <c r="T48" t="s">
        <v>7050</v>
      </c>
      <c r="U48" s="6">
        <v>25394</v>
      </c>
      <c r="V48" s="2">
        <v>47037015613</v>
      </c>
      <c r="W48" s="2" t="s">
        <v>68</v>
      </c>
      <c r="X48" s="1">
        <v>45658</v>
      </c>
      <c r="Y48" s="2">
        <v>85000</v>
      </c>
      <c r="Z48" s="2">
        <v>0</v>
      </c>
      <c r="AA48" s="2">
        <v>85000</v>
      </c>
    </row>
    <row r="49" spans="1:27" x14ac:dyDescent="0.3">
      <c r="A49" s="3">
        <v>28</v>
      </c>
      <c r="B49" s="2" t="str">
        <f>"13402005100"</f>
        <v>13402005100</v>
      </c>
      <c r="C49" s="2" t="s">
        <v>7051</v>
      </c>
      <c r="D49" t="s">
        <v>29</v>
      </c>
      <c r="E49" s="2" t="s">
        <v>30</v>
      </c>
      <c r="F49" s="2">
        <v>37217</v>
      </c>
      <c r="G49" s="2" t="s">
        <v>2543</v>
      </c>
      <c r="H49" t="s">
        <v>2707</v>
      </c>
      <c r="I49" s="6">
        <v>33135</v>
      </c>
      <c r="J49" s="2" t="s">
        <v>7052</v>
      </c>
      <c r="K49" s="2">
        <v>74000</v>
      </c>
      <c r="L49" t="s">
        <v>2689</v>
      </c>
      <c r="M49" t="s">
        <v>29</v>
      </c>
      <c r="N49" t="s">
        <v>30</v>
      </c>
      <c r="O49">
        <v>37214</v>
      </c>
      <c r="P49" t="s">
        <v>7053</v>
      </c>
      <c r="Q49" s="2">
        <v>1.34</v>
      </c>
      <c r="R49" s="2">
        <v>140</v>
      </c>
      <c r="S49" s="2">
        <v>0</v>
      </c>
      <c r="T49" t="s">
        <v>3044</v>
      </c>
      <c r="U49" s="6">
        <v>33721</v>
      </c>
      <c r="V49" s="2">
        <v>47037015700</v>
      </c>
      <c r="W49" s="2" t="s">
        <v>68</v>
      </c>
      <c r="X49" s="1">
        <v>45658</v>
      </c>
      <c r="Y49" s="2">
        <v>76900</v>
      </c>
      <c r="Z49" s="2">
        <v>0</v>
      </c>
      <c r="AA49" s="2">
        <v>76900</v>
      </c>
    </row>
    <row r="50" spans="1:27" x14ac:dyDescent="0.3">
      <c r="A50" s="3">
        <v>28</v>
      </c>
      <c r="B50" s="2" t="str">
        <f>"13501000200"</f>
        <v>13501000200</v>
      </c>
      <c r="C50" s="2" t="s">
        <v>7054</v>
      </c>
      <c r="D50" t="s">
        <v>29</v>
      </c>
      <c r="E50" s="2" t="s">
        <v>30</v>
      </c>
      <c r="F50" s="2">
        <v>37217</v>
      </c>
      <c r="G50" s="2" t="s">
        <v>64</v>
      </c>
      <c r="H50" t="s">
        <v>2707</v>
      </c>
      <c r="I50" s="6">
        <v>33427</v>
      </c>
      <c r="J50" s="2" t="s">
        <v>7055</v>
      </c>
      <c r="K50" s="2">
        <v>77500</v>
      </c>
      <c r="L50" t="s">
        <v>2689</v>
      </c>
      <c r="M50" t="s">
        <v>29</v>
      </c>
      <c r="N50" t="s">
        <v>30</v>
      </c>
      <c r="O50">
        <v>37214</v>
      </c>
      <c r="P50" t="s">
        <v>7056</v>
      </c>
      <c r="Q50" s="2">
        <v>0.25</v>
      </c>
      <c r="R50" s="2">
        <v>71</v>
      </c>
      <c r="S50" s="2">
        <v>153</v>
      </c>
      <c r="T50" t="s">
        <v>7057</v>
      </c>
      <c r="U50" s="6">
        <v>24985</v>
      </c>
      <c r="V50" s="2">
        <v>47037015613</v>
      </c>
      <c r="W50" s="2" t="s">
        <v>68</v>
      </c>
      <c r="X50" s="1">
        <v>45658</v>
      </c>
      <c r="Y50" s="2">
        <v>85000</v>
      </c>
      <c r="Z50" s="2">
        <v>0</v>
      </c>
      <c r="AA50" s="2">
        <v>85000</v>
      </c>
    </row>
    <row r="51" spans="1:27" x14ac:dyDescent="0.3">
      <c r="A51" s="3">
        <v>28</v>
      </c>
      <c r="B51" s="2" t="str">
        <f>"13404001100"</f>
        <v>13404001100</v>
      </c>
      <c r="C51" s="2" t="s">
        <v>7058</v>
      </c>
      <c r="D51" t="s">
        <v>29</v>
      </c>
      <c r="E51" s="2" t="s">
        <v>30</v>
      </c>
      <c r="F51" s="2">
        <v>37217</v>
      </c>
      <c r="G51" s="2" t="s">
        <v>64</v>
      </c>
      <c r="H51" t="s">
        <v>2707</v>
      </c>
      <c r="I51" s="6">
        <v>33448</v>
      </c>
      <c r="J51" s="2" t="s">
        <v>7059</v>
      </c>
      <c r="K51" s="2">
        <v>53000</v>
      </c>
      <c r="L51" t="s">
        <v>2689</v>
      </c>
      <c r="M51" t="s">
        <v>29</v>
      </c>
      <c r="N51" t="s">
        <v>30</v>
      </c>
      <c r="O51">
        <v>37214</v>
      </c>
      <c r="P51" t="s">
        <v>7060</v>
      </c>
      <c r="Q51" s="2">
        <v>0.32</v>
      </c>
      <c r="R51" s="2">
        <v>70</v>
      </c>
      <c r="S51" s="2">
        <v>182</v>
      </c>
      <c r="T51" t="s">
        <v>7061</v>
      </c>
      <c r="U51" s="6">
        <v>21247</v>
      </c>
      <c r="V51" s="2">
        <v>47037015613</v>
      </c>
      <c r="W51" s="2" t="s">
        <v>68</v>
      </c>
      <c r="X51" s="1">
        <v>45658</v>
      </c>
      <c r="Y51" s="2">
        <v>85000</v>
      </c>
      <c r="Z51" s="2">
        <v>0</v>
      </c>
      <c r="AA51" s="2">
        <v>85000</v>
      </c>
    </row>
    <row r="52" spans="1:27" x14ac:dyDescent="0.3">
      <c r="A52" s="3">
        <v>28</v>
      </c>
      <c r="B52" s="2" t="str">
        <f>"13501001300"</f>
        <v>13501001300</v>
      </c>
      <c r="C52" s="2" t="s">
        <v>7062</v>
      </c>
      <c r="D52" t="s">
        <v>29</v>
      </c>
      <c r="E52" s="2" t="s">
        <v>30</v>
      </c>
      <c r="F52" s="2">
        <v>37217</v>
      </c>
      <c r="G52" s="2" t="s">
        <v>64</v>
      </c>
      <c r="H52" t="s">
        <v>2707</v>
      </c>
      <c r="I52" s="6">
        <v>33346</v>
      </c>
      <c r="J52" s="2" t="s">
        <v>7063</v>
      </c>
      <c r="K52" s="2">
        <v>71000</v>
      </c>
      <c r="L52" t="s">
        <v>2689</v>
      </c>
      <c r="M52" t="s">
        <v>29</v>
      </c>
      <c r="N52" t="s">
        <v>30</v>
      </c>
      <c r="O52">
        <v>37214</v>
      </c>
      <c r="P52" t="s">
        <v>7064</v>
      </c>
      <c r="Q52" s="2">
        <v>0.5</v>
      </c>
      <c r="R52" s="2">
        <v>74</v>
      </c>
      <c r="S52" s="2">
        <v>267</v>
      </c>
      <c r="T52" t="s">
        <v>7065</v>
      </c>
      <c r="U52" s="6">
        <v>27288</v>
      </c>
      <c r="V52" s="2">
        <v>47037015613</v>
      </c>
      <c r="W52" s="2" t="s">
        <v>68</v>
      </c>
      <c r="X52" s="1">
        <v>45658</v>
      </c>
      <c r="Y52" s="2">
        <v>106300</v>
      </c>
      <c r="Z52" s="2">
        <v>0</v>
      </c>
      <c r="AA52" s="2">
        <v>106300</v>
      </c>
    </row>
    <row r="53" spans="1:27" x14ac:dyDescent="0.3">
      <c r="A53" s="3">
        <v>28</v>
      </c>
      <c r="B53" s="2" t="str">
        <f>"13402005200"</f>
        <v>13402005200</v>
      </c>
      <c r="C53" s="2" t="s">
        <v>7066</v>
      </c>
      <c r="D53" t="s">
        <v>29</v>
      </c>
      <c r="E53" s="2" t="s">
        <v>30</v>
      </c>
      <c r="F53" s="2">
        <v>37217</v>
      </c>
      <c r="G53" s="2" t="s">
        <v>2543</v>
      </c>
      <c r="H53" t="s">
        <v>2707</v>
      </c>
      <c r="I53" s="6">
        <v>33135</v>
      </c>
      <c r="J53" s="2" t="s">
        <v>7052</v>
      </c>
      <c r="K53" s="2">
        <v>74000</v>
      </c>
      <c r="L53" t="s">
        <v>2689</v>
      </c>
      <c r="M53" t="s">
        <v>29</v>
      </c>
      <c r="N53" t="s">
        <v>30</v>
      </c>
      <c r="O53">
        <v>37214</v>
      </c>
      <c r="P53" t="s">
        <v>7053</v>
      </c>
      <c r="Q53" s="2">
        <v>1.1299999999999999</v>
      </c>
      <c r="R53" s="2">
        <v>116</v>
      </c>
      <c r="S53" s="2">
        <v>0</v>
      </c>
      <c r="T53" t="s">
        <v>3044</v>
      </c>
      <c r="U53" s="6">
        <v>33721</v>
      </c>
      <c r="V53" s="2">
        <v>47037015700</v>
      </c>
      <c r="W53" s="2" t="s">
        <v>68</v>
      </c>
      <c r="X53" s="1">
        <v>45658</v>
      </c>
      <c r="Y53" s="2">
        <v>68600</v>
      </c>
      <c r="Z53" s="2">
        <v>0</v>
      </c>
      <c r="AA53" s="2">
        <v>68600</v>
      </c>
    </row>
    <row r="54" spans="1:27" x14ac:dyDescent="0.3">
      <c r="A54" s="3">
        <v>28</v>
      </c>
      <c r="B54" s="2" t="str">
        <f>"13404001200"</f>
        <v>13404001200</v>
      </c>
      <c r="C54" s="2" t="s">
        <v>7067</v>
      </c>
      <c r="D54" t="s">
        <v>29</v>
      </c>
      <c r="E54" s="2" t="s">
        <v>30</v>
      </c>
      <c r="F54" s="2">
        <v>37217</v>
      </c>
      <c r="G54" s="2" t="s">
        <v>64</v>
      </c>
      <c r="H54" t="s">
        <v>2707</v>
      </c>
      <c r="I54" s="6">
        <v>33308</v>
      </c>
      <c r="J54" s="2" t="s">
        <v>7068</v>
      </c>
      <c r="K54" s="2">
        <v>65000</v>
      </c>
      <c r="L54" t="s">
        <v>2689</v>
      </c>
      <c r="M54" t="s">
        <v>29</v>
      </c>
      <c r="N54" t="s">
        <v>30</v>
      </c>
      <c r="O54">
        <v>37214</v>
      </c>
      <c r="P54" t="s">
        <v>7069</v>
      </c>
      <c r="Q54" s="2">
        <v>0.28999999999999998</v>
      </c>
      <c r="R54" s="2">
        <v>70</v>
      </c>
      <c r="S54" s="2">
        <v>183</v>
      </c>
      <c r="T54" t="s">
        <v>7070</v>
      </c>
      <c r="U54" s="6">
        <v>27306</v>
      </c>
      <c r="V54" s="2">
        <v>47037015613</v>
      </c>
      <c r="W54" s="2" t="s">
        <v>68</v>
      </c>
      <c r="X54" s="1">
        <v>45658</v>
      </c>
      <c r="Y54" s="2">
        <v>85000</v>
      </c>
      <c r="Z54" s="2">
        <v>0</v>
      </c>
      <c r="AA54" s="2">
        <v>85000</v>
      </c>
    </row>
    <row r="55" spans="1:27" x14ac:dyDescent="0.3">
      <c r="A55" s="3">
        <v>28</v>
      </c>
      <c r="B55" s="2" t="str">
        <f>"13501001200"</f>
        <v>13501001200</v>
      </c>
      <c r="C55" s="2" t="s">
        <v>7071</v>
      </c>
      <c r="D55" t="s">
        <v>29</v>
      </c>
      <c r="E55" s="2" t="s">
        <v>30</v>
      </c>
      <c r="F55" s="2">
        <v>37217</v>
      </c>
      <c r="G55" s="2" t="s">
        <v>64</v>
      </c>
      <c r="H55" t="s">
        <v>2707</v>
      </c>
      <c r="I55" s="6">
        <v>33323</v>
      </c>
      <c r="J55" s="2" t="s">
        <v>7072</v>
      </c>
      <c r="K55" s="2">
        <v>78000</v>
      </c>
      <c r="L55" t="s">
        <v>2689</v>
      </c>
      <c r="M55" t="s">
        <v>29</v>
      </c>
      <c r="N55" t="s">
        <v>30</v>
      </c>
      <c r="O55">
        <v>37214</v>
      </c>
      <c r="P55" t="s">
        <v>7073</v>
      </c>
      <c r="Q55" s="2">
        <v>0.49</v>
      </c>
      <c r="R55" s="2">
        <v>74</v>
      </c>
      <c r="S55" s="2">
        <v>262</v>
      </c>
      <c r="T55" t="s">
        <v>7074</v>
      </c>
      <c r="U55" s="6">
        <v>24054</v>
      </c>
      <c r="V55" s="2">
        <v>47037015613</v>
      </c>
      <c r="W55" s="2" t="s">
        <v>68</v>
      </c>
      <c r="X55" s="1">
        <v>45658</v>
      </c>
      <c r="Y55" s="2">
        <v>106300</v>
      </c>
      <c r="Z55" s="2">
        <v>0</v>
      </c>
      <c r="AA55" s="2">
        <v>106300</v>
      </c>
    </row>
    <row r="56" spans="1:27" x14ac:dyDescent="0.3">
      <c r="A56" s="3">
        <v>28</v>
      </c>
      <c r="B56" s="2" t="str">
        <f>"13501002100"</f>
        <v>13501002100</v>
      </c>
      <c r="C56" s="2" t="s">
        <v>7075</v>
      </c>
      <c r="D56" t="s">
        <v>29</v>
      </c>
      <c r="E56" s="2" t="s">
        <v>30</v>
      </c>
      <c r="F56" s="2">
        <v>37217</v>
      </c>
      <c r="G56" s="2" t="s">
        <v>64</v>
      </c>
      <c r="H56" t="s">
        <v>2707</v>
      </c>
      <c r="I56" s="6">
        <v>34423</v>
      </c>
      <c r="J56" s="2" t="s">
        <v>7076</v>
      </c>
      <c r="K56" s="2" t="s">
        <v>34</v>
      </c>
      <c r="L56" t="s">
        <v>2689</v>
      </c>
      <c r="M56" t="s">
        <v>29</v>
      </c>
      <c r="N56" t="s">
        <v>30</v>
      </c>
      <c r="O56">
        <v>37214</v>
      </c>
      <c r="P56" t="s">
        <v>7077</v>
      </c>
      <c r="Q56" s="2">
        <v>0.66</v>
      </c>
      <c r="R56" s="2">
        <v>102</v>
      </c>
      <c r="S56" s="2">
        <v>251</v>
      </c>
      <c r="T56" t="s">
        <v>7078</v>
      </c>
      <c r="U56" s="6">
        <v>25331</v>
      </c>
      <c r="V56" s="2">
        <v>47037015613</v>
      </c>
      <c r="W56" s="2" t="s">
        <v>68</v>
      </c>
      <c r="X56" s="1">
        <v>45658</v>
      </c>
      <c r="Y56" s="2">
        <v>106300</v>
      </c>
      <c r="Z56" s="2">
        <v>0</v>
      </c>
      <c r="AA56" s="2">
        <v>106300</v>
      </c>
    </row>
    <row r="57" spans="1:27" x14ac:dyDescent="0.3">
      <c r="A57" s="3">
        <v>28</v>
      </c>
      <c r="B57" s="2" t="str">
        <f>"13402005300"</f>
        <v>13402005300</v>
      </c>
      <c r="C57" s="2" t="s">
        <v>7079</v>
      </c>
      <c r="D57" t="s">
        <v>29</v>
      </c>
      <c r="E57" s="2" t="s">
        <v>30</v>
      </c>
      <c r="F57" s="2">
        <v>37217</v>
      </c>
      <c r="G57" s="2" t="s">
        <v>64</v>
      </c>
      <c r="H57" t="s">
        <v>2707</v>
      </c>
      <c r="I57" s="6">
        <v>34186</v>
      </c>
      <c r="J57" s="2" t="s">
        <v>7080</v>
      </c>
      <c r="K57" s="2">
        <v>0</v>
      </c>
      <c r="L57" t="s">
        <v>2689</v>
      </c>
      <c r="M57" t="s">
        <v>29</v>
      </c>
      <c r="N57" t="s">
        <v>30</v>
      </c>
      <c r="O57">
        <v>37214</v>
      </c>
      <c r="P57" t="s">
        <v>7081</v>
      </c>
      <c r="Q57" s="2">
        <v>1.88</v>
      </c>
      <c r="R57" s="2">
        <v>117</v>
      </c>
      <c r="S57" s="2">
        <v>0</v>
      </c>
      <c r="T57" t="s">
        <v>3044</v>
      </c>
      <c r="U57" s="6">
        <v>33721</v>
      </c>
      <c r="V57" s="2">
        <v>47037015700</v>
      </c>
      <c r="W57" s="2" t="s">
        <v>68</v>
      </c>
      <c r="X57" s="1">
        <v>45658</v>
      </c>
      <c r="Y57" s="2">
        <v>89600</v>
      </c>
      <c r="Z57" s="2">
        <v>0</v>
      </c>
      <c r="AA57" s="2">
        <v>89600</v>
      </c>
    </row>
    <row r="58" spans="1:27" x14ac:dyDescent="0.3">
      <c r="A58" s="3">
        <v>28</v>
      </c>
      <c r="B58" s="2" t="str">
        <f>"13404001300"</f>
        <v>13404001300</v>
      </c>
      <c r="C58" s="2" t="s">
        <v>7082</v>
      </c>
      <c r="D58" t="s">
        <v>29</v>
      </c>
      <c r="E58" s="2" t="s">
        <v>30</v>
      </c>
      <c r="F58" s="2">
        <v>37217</v>
      </c>
      <c r="G58" s="2" t="s">
        <v>64</v>
      </c>
      <c r="H58" t="s">
        <v>2707</v>
      </c>
      <c r="I58" s="6">
        <v>33414</v>
      </c>
      <c r="J58" s="2" t="s">
        <v>7083</v>
      </c>
      <c r="K58" s="2">
        <v>61000</v>
      </c>
      <c r="L58" t="s">
        <v>2689</v>
      </c>
      <c r="M58" t="s">
        <v>29</v>
      </c>
      <c r="N58" t="s">
        <v>30</v>
      </c>
      <c r="O58">
        <v>37214</v>
      </c>
      <c r="P58" t="s">
        <v>7084</v>
      </c>
      <c r="Q58" s="2">
        <v>0.28999999999999998</v>
      </c>
      <c r="R58" s="2">
        <v>70</v>
      </c>
      <c r="S58" s="2">
        <v>184</v>
      </c>
      <c r="T58" t="s">
        <v>7085</v>
      </c>
      <c r="U58" s="6">
        <v>24111</v>
      </c>
      <c r="V58" s="2">
        <v>47037015613</v>
      </c>
      <c r="W58" s="2" t="s">
        <v>68</v>
      </c>
      <c r="X58" s="1">
        <v>45658</v>
      </c>
      <c r="Y58" s="2">
        <v>85000</v>
      </c>
      <c r="Z58" s="2">
        <v>0</v>
      </c>
      <c r="AA58" s="2">
        <v>85000</v>
      </c>
    </row>
    <row r="59" spans="1:27" x14ac:dyDescent="0.3">
      <c r="A59" s="3">
        <v>28</v>
      </c>
      <c r="B59" s="2" t="str">
        <f>"13404002400"</f>
        <v>13404002400</v>
      </c>
      <c r="C59" s="2" t="s">
        <v>7086</v>
      </c>
      <c r="D59" t="s">
        <v>29</v>
      </c>
      <c r="E59" s="2" t="s">
        <v>30</v>
      </c>
      <c r="F59" s="2">
        <v>37217</v>
      </c>
      <c r="G59" s="2" t="s">
        <v>64</v>
      </c>
      <c r="H59" t="s">
        <v>2707</v>
      </c>
      <c r="I59" s="6">
        <v>33323</v>
      </c>
      <c r="J59" s="2" t="s">
        <v>7087</v>
      </c>
      <c r="K59" s="2">
        <v>68500</v>
      </c>
      <c r="L59" t="s">
        <v>2689</v>
      </c>
      <c r="M59" t="s">
        <v>29</v>
      </c>
      <c r="N59" t="s">
        <v>30</v>
      </c>
      <c r="O59">
        <v>37214</v>
      </c>
      <c r="P59" t="s">
        <v>7088</v>
      </c>
      <c r="Q59" s="2">
        <v>0.61</v>
      </c>
      <c r="R59" s="2">
        <v>34</v>
      </c>
      <c r="S59" s="2">
        <v>216</v>
      </c>
      <c r="T59" t="s">
        <v>7089</v>
      </c>
      <c r="U59" s="6">
        <v>25331</v>
      </c>
      <c r="V59" s="2">
        <v>47037015613</v>
      </c>
      <c r="W59" s="2" t="s">
        <v>68</v>
      </c>
      <c r="X59" s="1">
        <v>45658</v>
      </c>
      <c r="Y59" s="2">
        <v>106300</v>
      </c>
      <c r="Z59" s="2">
        <v>0</v>
      </c>
      <c r="AA59" s="2">
        <v>106300</v>
      </c>
    </row>
    <row r="60" spans="1:27" x14ac:dyDescent="0.3">
      <c r="A60" s="3">
        <v>28</v>
      </c>
      <c r="B60" s="2" t="str">
        <f>"13501001100"</f>
        <v>13501001100</v>
      </c>
      <c r="C60" s="2" t="s">
        <v>7090</v>
      </c>
      <c r="D60" t="s">
        <v>29</v>
      </c>
      <c r="E60" s="2" t="s">
        <v>30</v>
      </c>
      <c r="F60" s="2">
        <v>37217</v>
      </c>
      <c r="G60" s="2" t="s">
        <v>64</v>
      </c>
      <c r="H60" t="s">
        <v>2707</v>
      </c>
      <c r="I60" s="6">
        <v>33322</v>
      </c>
      <c r="J60" s="2" t="s">
        <v>7091</v>
      </c>
      <c r="K60" s="2">
        <v>66000</v>
      </c>
      <c r="L60" t="s">
        <v>2689</v>
      </c>
      <c r="M60" t="s">
        <v>29</v>
      </c>
      <c r="N60" t="s">
        <v>30</v>
      </c>
      <c r="O60">
        <v>37214</v>
      </c>
      <c r="P60" t="s">
        <v>7092</v>
      </c>
      <c r="Q60" s="2">
        <v>0.44</v>
      </c>
      <c r="R60" s="2">
        <v>74</v>
      </c>
      <c r="S60" s="2">
        <v>257</v>
      </c>
      <c r="T60" t="s">
        <v>7093</v>
      </c>
      <c r="U60" s="6">
        <v>26416</v>
      </c>
      <c r="V60" s="2">
        <v>47037015613</v>
      </c>
      <c r="W60" s="2" t="s">
        <v>68</v>
      </c>
      <c r="X60" s="1">
        <v>45658</v>
      </c>
      <c r="Y60" s="2">
        <v>85000</v>
      </c>
      <c r="Z60" s="2">
        <v>0</v>
      </c>
      <c r="AA60" s="2">
        <v>85000</v>
      </c>
    </row>
    <row r="61" spans="1:27" x14ac:dyDescent="0.3">
      <c r="A61" s="3">
        <v>28</v>
      </c>
      <c r="B61" s="2" t="str">
        <f>"13404001400"</f>
        <v>13404001400</v>
      </c>
      <c r="C61" s="2" t="s">
        <v>7094</v>
      </c>
      <c r="D61" t="s">
        <v>29</v>
      </c>
      <c r="E61" s="2" t="s">
        <v>30</v>
      </c>
      <c r="F61" s="2">
        <v>37217</v>
      </c>
      <c r="G61" s="2" t="s">
        <v>64</v>
      </c>
      <c r="H61" t="s">
        <v>2707</v>
      </c>
      <c r="I61" s="6">
        <v>33435</v>
      </c>
      <c r="J61" s="2" t="s">
        <v>7095</v>
      </c>
      <c r="K61" s="2">
        <v>58500</v>
      </c>
      <c r="L61" t="s">
        <v>2689</v>
      </c>
      <c r="M61" t="s">
        <v>29</v>
      </c>
      <c r="N61" t="s">
        <v>30</v>
      </c>
      <c r="O61">
        <v>37214</v>
      </c>
      <c r="P61" t="s">
        <v>7096</v>
      </c>
      <c r="Q61" s="2">
        <v>0.28999999999999998</v>
      </c>
      <c r="R61" s="2">
        <v>70</v>
      </c>
      <c r="S61" s="2">
        <v>185</v>
      </c>
      <c r="T61" t="s">
        <v>7097</v>
      </c>
      <c r="U61" s="6">
        <v>24838</v>
      </c>
      <c r="V61" s="2">
        <v>47037015613</v>
      </c>
      <c r="W61" s="2" t="s">
        <v>68</v>
      </c>
      <c r="X61" s="1">
        <v>45658</v>
      </c>
      <c r="Y61" s="2">
        <v>85000</v>
      </c>
      <c r="Z61" s="2">
        <v>0</v>
      </c>
      <c r="AA61" s="2">
        <v>85000</v>
      </c>
    </row>
    <row r="62" spans="1:27" x14ac:dyDescent="0.3">
      <c r="A62" s="3">
        <v>28</v>
      </c>
      <c r="B62" s="2" t="str">
        <f>"13402005400"</f>
        <v>13402005400</v>
      </c>
      <c r="C62" s="2" t="s">
        <v>7098</v>
      </c>
      <c r="D62" t="s">
        <v>29</v>
      </c>
      <c r="E62" s="2" t="s">
        <v>30</v>
      </c>
      <c r="F62" s="2">
        <v>37217</v>
      </c>
      <c r="G62" s="2" t="s">
        <v>64</v>
      </c>
      <c r="H62" t="s">
        <v>2707</v>
      </c>
      <c r="I62" s="6">
        <v>33918</v>
      </c>
      <c r="J62" s="2" t="s">
        <v>7099</v>
      </c>
      <c r="K62" s="2">
        <v>0</v>
      </c>
      <c r="L62" t="s">
        <v>2689</v>
      </c>
      <c r="M62" t="s">
        <v>29</v>
      </c>
      <c r="N62" t="s">
        <v>30</v>
      </c>
      <c r="O62">
        <v>37214</v>
      </c>
      <c r="P62" t="s">
        <v>7053</v>
      </c>
      <c r="Q62" s="2">
        <v>3.09</v>
      </c>
      <c r="R62" s="2">
        <v>138</v>
      </c>
      <c r="S62" s="2">
        <v>0</v>
      </c>
      <c r="T62" t="s">
        <v>3044</v>
      </c>
      <c r="U62" s="6">
        <v>33721</v>
      </c>
      <c r="V62" s="2">
        <v>47037015700</v>
      </c>
      <c r="W62" s="2" t="s">
        <v>68</v>
      </c>
      <c r="X62" s="1">
        <v>45658</v>
      </c>
      <c r="Y62" s="2">
        <v>125700</v>
      </c>
      <c r="Z62" s="2">
        <v>0</v>
      </c>
      <c r="AA62" s="2">
        <v>125700</v>
      </c>
    </row>
    <row r="63" spans="1:27" x14ac:dyDescent="0.3">
      <c r="A63" s="3">
        <v>28</v>
      </c>
      <c r="B63" s="2" t="str">
        <f>"13501001000"</f>
        <v>13501001000</v>
      </c>
      <c r="C63" s="2" t="s">
        <v>7100</v>
      </c>
      <c r="D63" t="s">
        <v>29</v>
      </c>
      <c r="E63" s="2" t="s">
        <v>30</v>
      </c>
      <c r="F63" s="2">
        <v>37217</v>
      </c>
      <c r="G63" s="2" t="s">
        <v>64</v>
      </c>
      <c r="H63" t="s">
        <v>2707</v>
      </c>
      <c r="I63" s="6">
        <v>33434</v>
      </c>
      <c r="J63" s="2" t="s">
        <v>7101</v>
      </c>
      <c r="K63" s="2" t="s">
        <v>34</v>
      </c>
      <c r="L63" t="s">
        <v>2689</v>
      </c>
      <c r="M63" t="s">
        <v>29</v>
      </c>
      <c r="N63" t="s">
        <v>30</v>
      </c>
      <c r="O63">
        <v>37214</v>
      </c>
      <c r="P63" t="s">
        <v>7102</v>
      </c>
      <c r="Q63" s="2">
        <v>0.48</v>
      </c>
      <c r="R63" s="2">
        <v>75</v>
      </c>
      <c r="S63" s="2">
        <v>252</v>
      </c>
      <c r="T63" t="s">
        <v>7103</v>
      </c>
      <c r="U63" s="6">
        <v>23244</v>
      </c>
      <c r="V63" s="2">
        <v>47037015613</v>
      </c>
      <c r="W63" s="2" t="s">
        <v>68</v>
      </c>
      <c r="X63" s="1">
        <v>45658</v>
      </c>
      <c r="Y63" s="2">
        <v>106300</v>
      </c>
      <c r="Z63" s="2">
        <v>0</v>
      </c>
      <c r="AA63" s="2">
        <v>106300</v>
      </c>
    </row>
    <row r="64" spans="1:27" x14ac:dyDescent="0.3">
      <c r="A64" s="3">
        <v>28</v>
      </c>
      <c r="B64" s="2" t="str">
        <f>"13501002300"</f>
        <v>13501002300</v>
      </c>
      <c r="C64" s="2" t="s">
        <v>7104</v>
      </c>
      <c r="D64" t="s">
        <v>29</v>
      </c>
      <c r="E64" s="2" t="s">
        <v>30</v>
      </c>
      <c r="F64" s="2">
        <v>37217</v>
      </c>
      <c r="G64" s="2" t="s">
        <v>64</v>
      </c>
      <c r="H64" t="s">
        <v>2707</v>
      </c>
      <c r="I64" s="6">
        <v>33451</v>
      </c>
      <c r="J64" s="2" t="s">
        <v>7105</v>
      </c>
      <c r="K64" s="2">
        <v>68000</v>
      </c>
      <c r="L64" t="s">
        <v>2689</v>
      </c>
      <c r="M64" t="s">
        <v>29</v>
      </c>
      <c r="N64" t="s">
        <v>30</v>
      </c>
      <c r="O64">
        <v>37214</v>
      </c>
      <c r="P64" t="s">
        <v>7106</v>
      </c>
      <c r="Q64" s="2">
        <v>0.53</v>
      </c>
      <c r="R64" s="2">
        <v>78</v>
      </c>
      <c r="S64" s="2">
        <v>258</v>
      </c>
      <c r="T64" t="s">
        <v>7107</v>
      </c>
      <c r="U64" s="6">
        <v>22894</v>
      </c>
      <c r="V64" s="2">
        <v>47037015613</v>
      </c>
      <c r="W64" s="2" t="s">
        <v>68</v>
      </c>
      <c r="X64" s="1">
        <v>45658</v>
      </c>
      <c r="Y64" s="2">
        <v>106300</v>
      </c>
      <c r="Z64" s="2">
        <v>0</v>
      </c>
      <c r="AA64" s="2">
        <v>106300</v>
      </c>
    </row>
    <row r="65" spans="1:27" x14ac:dyDescent="0.3">
      <c r="A65" s="3">
        <v>28</v>
      </c>
      <c r="B65" s="2" t="str">
        <f>"13501000900"</f>
        <v>13501000900</v>
      </c>
      <c r="C65" s="2" t="s">
        <v>7108</v>
      </c>
      <c r="D65" t="s">
        <v>29</v>
      </c>
      <c r="E65" s="2" t="s">
        <v>30</v>
      </c>
      <c r="F65" s="2">
        <v>37217</v>
      </c>
      <c r="G65" s="2" t="s">
        <v>64</v>
      </c>
      <c r="H65" t="s">
        <v>2707</v>
      </c>
      <c r="I65" s="6">
        <v>33368</v>
      </c>
      <c r="J65" s="2" t="s">
        <v>7109</v>
      </c>
      <c r="K65" s="2">
        <v>66000</v>
      </c>
      <c r="L65" t="s">
        <v>2689</v>
      </c>
      <c r="M65" t="s">
        <v>29</v>
      </c>
      <c r="N65" t="s">
        <v>30</v>
      </c>
      <c r="O65">
        <v>37214</v>
      </c>
      <c r="P65" t="s">
        <v>7110</v>
      </c>
      <c r="Q65" s="2">
        <v>0.51</v>
      </c>
      <c r="R65" s="2">
        <v>84</v>
      </c>
      <c r="S65" s="2">
        <v>248</v>
      </c>
      <c r="T65" t="s">
        <v>7111</v>
      </c>
      <c r="U65" s="6">
        <v>25367</v>
      </c>
      <c r="V65" s="2">
        <v>47037015613</v>
      </c>
      <c r="W65" s="2" t="s">
        <v>68</v>
      </c>
      <c r="X65" s="1">
        <v>45658</v>
      </c>
      <c r="Y65" s="2">
        <v>106300</v>
      </c>
      <c r="Z65" s="2">
        <v>0</v>
      </c>
      <c r="AA65" s="2">
        <v>106300</v>
      </c>
    </row>
    <row r="66" spans="1:27" x14ac:dyDescent="0.3">
      <c r="A66" s="3">
        <v>28</v>
      </c>
      <c r="B66" s="2" t="str">
        <f>"13404001900"</f>
        <v>13404001900</v>
      </c>
      <c r="C66" s="2" t="s">
        <v>7112</v>
      </c>
      <c r="D66" t="s">
        <v>29</v>
      </c>
      <c r="E66" s="2" t="s">
        <v>30</v>
      </c>
      <c r="F66" s="2">
        <v>37217</v>
      </c>
      <c r="G66" s="2" t="s">
        <v>64</v>
      </c>
      <c r="H66" t="s">
        <v>2707</v>
      </c>
      <c r="I66" s="6">
        <v>34422</v>
      </c>
      <c r="J66" s="2" t="s">
        <v>7113</v>
      </c>
      <c r="K66" s="2" t="s">
        <v>34</v>
      </c>
      <c r="L66" t="s">
        <v>2689</v>
      </c>
      <c r="M66" t="s">
        <v>29</v>
      </c>
      <c r="N66" t="s">
        <v>30</v>
      </c>
      <c r="O66">
        <v>37214</v>
      </c>
      <c r="P66" t="s">
        <v>7114</v>
      </c>
      <c r="Q66" s="2">
        <v>0.36</v>
      </c>
      <c r="R66" s="2">
        <v>96</v>
      </c>
      <c r="S66" s="2">
        <v>183</v>
      </c>
      <c r="T66" t="s">
        <v>7115</v>
      </c>
      <c r="U66" s="6">
        <v>24504</v>
      </c>
      <c r="V66" s="2">
        <v>47037015613</v>
      </c>
      <c r="W66" s="2" t="s">
        <v>68</v>
      </c>
      <c r="X66" s="1">
        <v>45658</v>
      </c>
      <c r="Y66" s="2">
        <v>85000</v>
      </c>
      <c r="Z66" s="2">
        <v>0</v>
      </c>
      <c r="AA66" s="2">
        <v>85000</v>
      </c>
    </row>
    <row r="67" spans="1:27" x14ac:dyDescent="0.3">
      <c r="A67" s="3">
        <v>28</v>
      </c>
      <c r="B67" s="2" t="str">
        <f>"13501002400"</f>
        <v>13501002400</v>
      </c>
      <c r="C67" s="2" t="s">
        <v>7116</v>
      </c>
      <c r="D67" t="s">
        <v>29</v>
      </c>
      <c r="E67" s="2" t="s">
        <v>30</v>
      </c>
      <c r="F67" s="2">
        <v>37217</v>
      </c>
      <c r="G67" s="2" t="s">
        <v>64</v>
      </c>
      <c r="H67" t="s">
        <v>2707</v>
      </c>
      <c r="I67" s="6">
        <v>33437</v>
      </c>
      <c r="J67" s="2" t="s">
        <v>7117</v>
      </c>
      <c r="K67" s="2">
        <v>63000</v>
      </c>
      <c r="L67" t="s">
        <v>2689</v>
      </c>
      <c r="M67" t="s">
        <v>29</v>
      </c>
      <c r="N67" t="s">
        <v>30</v>
      </c>
      <c r="O67">
        <v>37214</v>
      </c>
      <c r="P67" t="s">
        <v>7118</v>
      </c>
      <c r="Q67" s="2">
        <v>0.51</v>
      </c>
      <c r="R67" s="2">
        <v>78</v>
      </c>
      <c r="S67" s="2">
        <v>261</v>
      </c>
      <c r="T67" t="s">
        <v>7119</v>
      </c>
      <c r="U67" s="6">
        <v>22906</v>
      </c>
      <c r="V67" s="2">
        <v>47037015613</v>
      </c>
      <c r="W67" s="2" t="s">
        <v>68</v>
      </c>
      <c r="X67" s="1">
        <v>45658</v>
      </c>
      <c r="Y67" s="2">
        <v>106300</v>
      </c>
      <c r="Z67" s="2">
        <v>0</v>
      </c>
      <c r="AA67" s="2">
        <v>106300</v>
      </c>
    </row>
    <row r="68" spans="1:27" x14ac:dyDescent="0.3">
      <c r="A68" s="3">
        <v>28</v>
      </c>
      <c r="B68" s="2" t="str">
        <f>"13400029400"</f>
        <v>13400029400</v>
      </c>
      <c r="C68" s="2" t="s">
        <v>6885</v>
      </c>
      <c r="D68" t="s">
        <v>29</v>
      </c>
      <c r="E68" s="2" t="s">
        <v>30</v>
      </c>
      <c r="F68" s="2">
        <v>37217</v>
      </c>
      <c r="G68" s="2" t="s">
        <v>64</v>
      </c>
      <c r="H68" t="s">
        <v>2707</v>
      </c>
      <c r="I68" s="6">
        <v>33653</v>
      </c>
      <c r="J68" s="2" t="s">
        <v>7120</v>
      </c>
      <c r="K68" s="2" t="s">
        <v>34</v>
      </c>
      <c r="L68" t="s">
        <v>2689</v>
      </c>
      <c r="M68" t="s">
        <v>29</v>
      </c>
      <c r="N68" t="s">
        <v>30</v>
      </c>
      <c r="O68">
        <v>37214</v>
      </c>
      <c r="P68" t="s">
        <v>7121</v>
      </c>
      <c r="Q68" s="2">
        <v>2.23</v>
      </c>
      <c r="R68" s="2">
        <v>0</v>
      </c>
      <c r="S68" s="2">
        <v>0</v>
      </c>
      <c r="T68" t="s">
        <v>3044</v>
      </c>
      <c r="U68" s="6">
        <v>33721</v>
      </c>
      <c r="V68" s="2">
        <v>47037015700</v>
      </c>
      <c r="W68" s="2" t="s">
        <v>68</v>
      </c>
      <c r="X68" s="1">
        <v>45658</v>
      </c>
      <c r="Y68" s="2">
        <v>112300</v>
      </c>
      <c r="Z68" s="2">
        <v>0</v>
      </c>
      <c r="AA68" s="2">
        <v>112300</v>
      </c>
    </row>
    <row r="69" spans="1:27" x14ac:dyDescent="0.3">
      <c r="A69" s="3">
        <v>28</v>
      </c>
      <c r="B69" s="2" t="str">
        <f>"13404003100"</f>
        <v>13404003100</v>
      </c>
      <c r="C69" s="2" t="s">
        <v>7122</v>
      </c>
      <c r="D69" t="s">
        <v>29</v>
      </c>
      <c r="E69" s="2" t="s">
        <v>30</v>
      </c>
      <c r="F69" s="2">
        <v>37217</v>
      </c>
      <c r="G69" s="2" t="s">
        <v>64</v>
      </c>
      <c r="H69" t="s">
        <v>2707</v>
      </c>
      <c r="I69" s="6">
        <v>33367</v>
      </c>
      <c r="J69" s="2" t="s">
        <v>7123</v>
      </c>
      <c r="K69" s="2">
        <v>74000</v>
      </c>
      <c r="L69" t="s">
        <v>2689</v>
      </c>
      <c r="M69" t="s">
        <v>29</v>
      </c>
      <c r="N69" t="s">
        <v>30</v>
      </c>
      <c r="O69">
        <v>37214</v>
      </c>
      <c r="P69" t="s">
        <v>7124</v>
      </c>
      <c r="Q69" s="2">
        <v>0.71</v>
      </c>
      <c r="R69" s="2">
        <v>124</v>
      </c>
      <c r="S69" s="2">
        <v>270</v>
      </c>
      <c r="T69" t="s">
        <v>7125</v>
      </c>
      <c r="U69" s="6">
        <v>23211</v>
      </c>
      <c r="V69" s="2">
        <v>47037015613</v>
      </c>
      <c r="W69" s="2" t="s">
        <v>68</v>
      </c>
      <c r="X69" s="1">
        <v>45658</v>
      </c>
      <c r="Y69" s="2">
        <v>106300</v>
      </c>
      <c r="Z69" s="2">
        <v>0</v>
      </c>
      <c r="AA69" s="2">
        <v>106300</v>
      </c>
    </row>
    <row r="70" spans="1:27" x14ac:dyDescent="0.3">
      <c r="A70" s="3">
        <v>28</v>
      </c>
      <c r="B70" s="2" t="str">
        <f>"13501002700"</f>
        <v>13501002700</v>
      </c>
      <c r="C70" s="2" t="s">
        <v>7126</v>
      </c>
      <c r="D70" t="s">
        <v>29</v>
      </c>
      <c r="E70" s="2" t="s">
        <v>30</v>
      </c>
      <c r="F70" s="2">
        <v>37217</v>
      </c>
      <c r="G70" s="2" t="s">
        <v>64</v>
      </c>
      <c r="H70" t="s">
        <v>2707</v>
      </c>
      <c r="I70" s="6">
        <v>33445</v>
      </c>
      <c r="J70" s="2" t="s">
        <v>7127</v>
      </c>
      <c r="K70" s="2">
        <v>70000</v>
      </c>
      <c r="L70" t="s">
        <v>2689</v>
      </c>
      <c r="M70" t="s">
        <v>29</v>
      </c>
      <c r="N70" t="s">
        <v>30</v>
      </c>
      <c r="O70">
        <v>37214</v>
      </c>
      <c r="P70" t="s">
        <v>7128</v>
      </c>
      <c r="Q70" s="2">
        <v>0.45</v>
      </c>
      <c r="R70" s="2">
        <v>84</v>
      </c>
      <c r="S70" s="2">
        <v>236</v>
      </c>
      <c r="T70" t="s">
        <v>7129</v>
      </c>
      <c r="U70" s="6">
        <v>26781</v>
      </c>
      <c r="V70" s="2">
        <v>47037015613</v>
      </c>
      <c r="W70" s="2" t="s">
        <v>68</v>
      </c>
      <c r="X70" s="1">
        <v>45658</v>
      </c>
      <c r="Y70" s="2">
        <v>85000</v>
      </c>
      <c r="Z70" s="2">
        <v>0</v>
      </c>
      <c r="AA70" s="2">
        <v>85000</v>
      </c>
    </row>
    <row r="71" spans="1:27" x14ac:dyDescent="0.3">
      <c r="A71" s="3">
        <v>28</v>
      </c>
      <c r="B71" s="2" t="str">
        <f>"13501002800"</f>
        <v>13501002800</v>
      </c>
      <c r="C71" s="2" t="s">
        <v>7130</v>
      </c>
      <c r="D71" t="s">
        <v>29</v>
      </c>
      <c r="E71" s="2" t="s">
        <v>30</v>
      </c>
      <c r="F71" s="2">
        <v>37217</v>
      </c>
      <c r="G71" s="2" t="s">
        <v>64</v>
      </c>
      <c r="H71" t="s">
        <v>2707</v>
      </c>
      <c r="I71" s="6">
        <v>33400</v>
      </c>
      <c r="J71" s="2" t="s">
        <v>7131</v>
      </c>
      <c r="K71" s="2">
        <v>69000</v>
      </c>
      <c r="L71" t="s">
        <v>2689</v>
      </c>
      <c r="M71" t="s">
        <v>29</v>
      </c>
      <c r="N71" t="s">
        <v>30</v>
      </c>
      <c r="O71">
        <v>37214</v>
      </c>
      <c r="P71" t="s">
        <v>7132</v>
      </c>
      <c r="Q71" s="2">
        <v>0.43</v>
      </c>
      <c r="R71" s="2">
        <v>79</v>
      </c>
      <c r="S71" s="2">
        <v>227</v>
      </c>
      <c r="T71" t="s">
        <v>7133</v>
      </c>
      <c r="U71" s="6">
        <v>22978</v>
      </c>
      <c r="V71" s="2">
        <v>47037015613</v>
      </c>
      <c r="W71" s="2" t="s">
        <v>68</v>
      </c>
      <c r="X71" s="1">
        <v>45658</v>
      </c>
      <c r="Y71" s="2">
        <v>85000</v>
      </c>
      <c r="Z71" s="2">
        <v>0</v>
      </c>
      <c r="AA71" s="2">
        <v>85000</v>
      </c>
    </row>
    <row r="72" spans="1:27" x14ac:dyDescent="0.3">
      <c r="A72" s="3">
        <v>28</v>
      </c>
      <c r="B72" s="2" t="str">
        <f>"13501002900"</f>
        <v>13501002900</v>
      </c>
      <c r="C72" s="2" t="s">
        <v>7134</v>
      </c>
      <c r="D72" t="s">
        <v>29</v>
      </c>
      <c r="E72" s="2" t="s">
        <v>30</v>
      </c>
      <c r="F72" s="2">
        <v>37217</v>
      </c>
      <c r="G72" s="2" t="s">
        <v>64</v>
      </c>
      <c r="H72" t="s">
        <v>2707</v>
      </c>
      <c r="I72" s="6">
        <v>33469</v>
      </c>
      <c r="J72" s="2" t="s">
        <v>7135</v>
      </c>
      <c r="K72" s="2">
        <v>69000</v>
      </c>
      <c r="L72" t="s">
        <v>2689</v>
      </c>
      <c r="M72" t="s">
        <v>29</v>
      </c>
      <c r="N72" t="s">
        <v>30</v>
      </c>
      <c r="O72">
        <v>37214</v>
      </c>
      <c r="P72" t="s">
        <v>7136</v>
      </c>
      <c r="Q72" s="2">
        <v>0.66</v>
      </c>
      <c r="R72" s="2">
        <v>120</v>
      </c>
      <c r="S72" s="2">
        <v>217</v>
      </c>
      <c r="T72" t="s">
        <v>7137</v>
      </c>
      <c r="U72" s="6">
        <v>25745</v>
      </c>
      <c r="V72" s="2">
        <v>47037015613</v>
      </c>
      <c r="W72" s="2" t="s">
        <v>68</v>
      </c>
      <c r="X72" s="1">
        <v>45658</v>
      </c>
      <c r="Y72" s="2">
        <v>106300</v>
      </c>
      <c r="Z72" s="2">
        <v>0</v>
      </c>
      <c r="AA72" s="2">
        <v>106300</v>
      </c>
    </row>
    <row r="73" spans="1:27" x14ac:dyDescent="0.3">
      <c r="A73" s="3">
        <v>28</v>
      </c>
      <c r="B73" s="2" t="str">
        <f>"13501004800"</f>
        <v>13501004800</v>
      </c>
      <c r="C73" s="2" t="s">
        <v>7138</v>
      </c>
      <c r="D73" t="s">
        <v>29</v>
      </c>
      <c r="E73" s="2" t="s">
        <v>30</v>
      </c>
      <c r="F73" s="2">
        <v>37217</v>
      </c>
      <c r="G73" s="2" t="s">
        <v>64</v>
      </c>
      <c r="H73" t="s">
        <v>2707</v>
      </c>
      <c r="I73" s="6">
        <v>33371</v>
      </c>
      <c r="J73" s="2" t="s">
        <v>7139</v>
      </c>
      <c r="K73" s="2">
        <v>77500</v>
      </c>
      <c r="L73" t="s">
        <v>2689</v>
      </c>
      <c r="M73" t="s">
        <v>29</v>
      </c>
      <c r="N73" t="s">
        <v>30</v>
      </c>
      <c r="O73">
        <v>37214</v>
      </c>
      <c r="P73" t="s">
        <v>7140</v>
      </c>
      <c r="Q73" s="2">
        <v>0.28999999999999998</v>
      </c>
      <c r="R73" s="2">
        <v>65</v>
      </c>
      <c r="S73" s="2">
        <v>184</v>
      </c>
      <c r="T73" t="s">
        <v>7141</v>
      </c>
      <c r="U73" s="6">
        <v>26668</v>
      </c>
      <c r="V73" s="2">
        <v>47037015613</v>
      </c>
      <c r="W73" s="2" t="s">
        <v>68</v>
      </c>
      <c r="X73" s="1">
        <v>45658</v>
      </c>
      <c r="Y73" s="2">
        <v>85000</v>
      </c>
      <c r="Z73" s="2">
        <v>0</v>
      </c>
      <c r="AA73" s="2">
        <v>85000</v>
      </c>
    </row>
    <row r="74" spans="1:27" x14ac:dyDescent="0.3">
      <c r="A74" s="3">
        <v>28</v>
      </c>
      <c r="B74" s="2" t="str">
        <f>"13501004700"</f>
        <v>13501004700</v>
      </c>
      <c r="C74" s="2" t="s">
        <v>7142</v>
      </c>
      <c r="D74" t="s">
        <v>29</v>
      </c>
      <c r="E74" s="2" t="s">
        <v>30</v>
      </c>
      <c r="F74" s="2">
        <v>37217</v>
      </c>
      <c r="G74" s="2" t="s">
        <v>64</v>
      </c>
      <c r="H74" t="s">
        <v>2707</v>
      </c>
      <c r="I74" s="6">
        <v>33528</v>
      </c>
      <c r="J74" s="2" t="s">
        <v>7143</v>
      </c>
      <c r="K74" s="2">
        <v>74000</v>
      </c>
      <c r="L74" t="s">
        <v>2689</v>
      </c>
      <c r="M74" t="s">
        <v>29</v>
      </c>
      <c r="N74" t="s">
        <v>30</v>
      </c>
      <c r="O74">
        <v>37214</v>
      </c>
      <c r="P74" t="s">
        <v>7144</v>
      </c>
      <c r="Q74" s="2">
        <v>0.28999999999999998</v>
      </c>
      <c r="R74" s="2">
        <v>65</v>
      </c>
      <c r="S74" s="2">
        <v>187</v>
      </c>
      <c r="T74" t="s">
        <v>7145</v>
      </c>
      <c r="U74" s="6">
        <v>23217</v>
      </c>
      <c r="V74" s="2">
        <v>47037015613</v>
      </c>
      <c r="W74" s="2" t="s">
        <v>68</v>
      </c>
      <c r="X74" s="1">
        <v>45658</v>
      </c>
      <c r="Y74" s="2">
        <v>85000</v>
      </c>
      <c r="Z74" s="2">
        <v>0</v>
      </c>
      <c r="AA74" s="2">
        <v>85000</v>
      </c>
    </row>
    <row r="75" spans="1:27" x14ac:dyDescent="0.3">
      <c r="A75" s="3">
        <v>28</v>
      </c>
      <c r="B75" s="2" t="str">
        <f>"13501004600"</f>
        <v>13501004600</v>
      </c>
      <c r="C75" s="2" t="s">
        <v>7146</v>
      </c>
      <c r="D75" t="s">
        <v>29</v>
      </c>
      <c r="E75" s="2" t="s">
        <v>30</v>
      </c>
      <c r="F75" s="2">
        <v>37217</v>
      </c>
      <c r="G75" s="2" t="s">
        <v>64</v>
      </c>
      <c r="H75" t="s">
        <v>2707</v>
      </c>
      <c r="I75" s="6">
        <v>33374</v>
      </c>
      <c r="J75" s="2" t="s">
        <v>7147</v>
      </c>
      <c r="K75" s="2">
        <v>76000</v>
      </c>
      <c r="L75" t="s">
        <v>2689</v>
      </c>
      <c r="M75" t="s">
        <v>29</v>
      </c>
      <c r="N75" t="s">
        <v>30</v>
      </c>
      <c r="O75">
        <v>37214</v>
      </c>
      <c r="P75" t="s">
        <v>7148</v>
      </c>
      <c r="Q75" s="2">
        <v>0.3</v>
      </c>
      <c r="R75" s="2">
        <v>73</v>
      </c>
      <c r="S75" s="2">
        <v>189</v>
      </c>
      <c r="T75" t="s">
        <v>7149</v>
      </c>
      <c r="U75" s="6">
        <v>23141</v>
      </c>
      <c r="V75" s="2">
        <v>47037015613</v>
      </c>
      <c r="W75" s="2" t="s">
        <v>68</v>
      </c>
      <c r="X75" s="1">
        <v>45658</v>
      </c>
      <c r="Y75" s="2">
        <v>85000</v>
      </c>
      <c r="Z75" s="2">
        <v>0</v>
      </c>
      <c r="AA75" s="2">
        <v>85000</v>
      </c>
    </row>
    <row r="76" spans="1:27" x14ac:dyDescent="0.3">
      <c r="A76" s="3">
        <v>28</v>
      </c>
      <c r="B76" s="2" t="str">
        <f>"13501004300"</f>
        <v>13501004300</v>
      </c>
      <c r="C76" s="2" t="s">
        <v>7150</v>
      </c>
      <c r="D76" t="s">
        <v>29</v>
      </c>
      <c r="E76" s="2" t="s">
        <v>30</v>
      </c>
      <c r="F76" s="2">
        <v>37217</v>
      </c>
      <c r="G76" s="2" t="s">
        <v>64</v>
      </c>
      <c r="H76" t="s">
        <v>2707</v>
      </c>
      <c r="I76" s="6">
        <v>33399</v>
      </c>
      <c r="J76" s="2" t="s">
        <v>7151</v>
      </c>
      <c r="K76" s="2">
        <v>76000</v>
      </c>
      <c r="L76" t="s">
        <v>2689</v>
      </c>
      <c r="M76" t="s">
        <v>29</v>
      </c>
      <c r="N76" t="s">
        <v>30</v>
      </c>
      <c r="O76">
        <v>37214</v>
      </c>
      <c r="P76" t="s">
        <v>7152</v>
      </c>
      <c r="Q76" s="2">
        <v>0.28000000000000003</v>
      </c>
      <c r="R76" s="2">
        <v>71</v>
      </c>
      <c r="S76" s="2">
        <v>178</v>
      </c>
      <c r="T76" t="s">
        <v>7153</v>
      </c>
      <c r="U76" s="6">
        <v>24268</v>
      </c>
      <c r="V76" s="2">
        <v>47037015613</v>
      </c>
      <c r="W76" s="2" t="s">
        <v>68</v>
      </c>
      <c r="X76" s="1">
        <v>45658</v>
      </c>
      <c r="Y76" s="2">
        <v>85000</v>
      </c>
      <c r="Z76" s="2">
        <v>0</v>
      </c>
      <c r="AA76" s="2">
        <v>85000</v>
      </c>
    </row>
    <row r="77" spans="1:27" x14ac:dyDescent="0.3">
      <c r="A77" s="3">
        <v>28</v>
      </c>
      <c r="B77" s="2" t="str">
        <f>"13408001400"</f>
        <v>13408001400</v>
      </c>
      <c r="C77" s="2" t="s">
        <v>7154</v>
      </c>
      <c r="D77" t="s">
        <v>29</v>
      </c>
      <c r="E77" s="2" t="s">
        <v>30</v>
      </c>
      <c r="F77" s="2">
        <v>37217</v>
      </c>
      <c r="G77" s="2" t="s">
        <v>64</v>
      </c>
      <c r="H77" t="s">
        <v>2707</v>
      </c>
      <c r="I77" s="6">
        <v>33406</v>
      </c>
      <c r="J77" s="2" t="s">
        <v>7155</v>
      </c>
      <c r="K77" s="2">
        <v>73750</v>
      </c>
      <c r="L77" t="s">
        <v>2689</v>
      </c>
      <c r="M77" t="s">
        <v>29</v>
      </c>
      <c r="N77" t="s">
        <v>30</v>
      </c>
      <c r="O77">
        <v>37214</v>
      </c>
      <c r="P77" t="s">
        <v>7156</v>
      </c>
      <c r="Q77" s="2">
        <v>0.99</v>
      </c>
      <c r="R77" s="2">
        <v>137</v>
      </c>
      <c r="S77" s="2">
        <v>368</v>
      </c>
      <c r="T77" t="s">
        <v>7157</v>
      </c>
      <c r="U77" s="6">
        <v>25003</v>
      </c>
      <c r="V77" s="2">
        <v>47037015613</v>
      </c>
      <c r="W77" s="2" t="s">
        <v>68</v>
      </c>
      <c r="X77" s="1">
        <v>45658</v>
      </c>
      <c r="Y77" s="2">
        <v>106300</v>
      </c>
      <c r="Z77" s="2">
        <v>0</v>
      </c>
      <c r="AA77" s="2">
        <v>106300</v>
      </c>
    </row>
    <row r="78" spans="1:27" x14ac:dyDescent="0.3">
      <c r="A78" s="3">
        <v>28</v>
      </c>
      <c r="B78" s="2" t="str">
        <f>"13505000500"</f>
        <v>13505000500</v>
      </c>
      <c r="C78" s="2" t="s">
        <v>7158</v>
      </c>
      <c r="D78" t="s">
        <v>29</v>
      </c>
      <c r="E78" s="2" t="s">
        <v>30</v>
      </c>
      <c r="F78" s="2">
        <v>37217</v>
      </c>
      <c r="G78" s="2" t="s">
        <v>64</v>
      </c>
      <c r="H78" t="s">
        <v>2707</v>
      </c>
      <c r="I78" s="6">
        <v>33394</v>
      </c>
      <c r="J78" s="2" t="s">
        <v>7159</v>
      </c>
      <c r="K78" s="2" t="s">
        <v>34</v>
      </c>
      <c r="L78" t="s">
        <v>2689</v>
      </c>
      <c r="M78" t="s">
        <v>29</v>
      </c>
      <c r="N78" t="s">
        <v>30</v>
      </c>
      <c r="O78">
        <v>37214</v>
      </c>
      <c r="P78" t="s">
        <v>7160</v>
      </c>
      <c r="Q78" s="2">
        <v>0.27</v>
      </c>
      <c r="R78" s="2">
        <v>70</v>
      </c>
      <c r="S78" s="2">
        <v>178</v>
      </c>
      <c r="T78" t="s">
        <v>7161</v>
      </c>
      <c r="U78" s="6">
        <v>26715</v>
      </c>
      <c r="V78" s="2">
        <v>47037015613</v>
      </c>
      <c r="W78" s="2" t="s">
        <v>68</v>
      </c>
      <c r="X78" s="1">
        <v>45658</v>
      </c>
      <c r="Y78" s="2">
        <v>85000</v>
      </c>
      <c r="Z78" s="2">
        <v>0</v>
      </c>
      <c r="AA78" s="2">
        <v>85000</v>
      </c>
    </row>
    <row r="79" spans="1:27" x14ac:dyDescent="0.3">
      <c r="A79" s="3">
        <v>28</v>
      </c>
      <c r="B79" s="2" t="str">
        <f>"13505000400"</f>
        <v>13505000400</v>
      </c>
      <c r="C79" s="2" t="s">
        <v>7162</v>
      </c>
      <c r="D79" t="s">
        <v>29</v>
      </c>
      <c r="E79" s="2" t="s">
        <v>30</v>
      </c>
      <c r="F79" s="2">
        <v>37217</v>
      </c>
      <c r="G79" s="2" t="s">
        <v>64</v>
      </c>
      <c r="H79" t="s">
        <v>2707</v>
      </c>
      <c r="I79" s="6">
        <v>33437</v>
      </c>
      <c r="J79" s="2" t="s">
        <v>7163</v>
      </c>
      <c r="K79" s="2">
        <v>69500</v>
      </c>
      <c r="L79" t="s">
        <v>2689</v>
      </c>
      <c r="M79" t="s">
        <v>29</v>
      </c>
      <c r="N79" t="s">
        <v>30</v>
      </c>
      <c r="O79">
        <v>37214</v>
      </c>
      <c r="P79" t="s">
        <v>7164</v>
      </c>
      <c r="Q79" s="2">
        <v>0.26</v>
      </c>
      <c r="R79" s="2">
        <v>70</v>
      </c>
      <c r="S79" s="2">
        <v>178</v>
      </c>
      <c r="T79" t="s">
        <v>7165</v>
      </c>
      <c r="U79" s="6">
        <v>23601</v>
      </c>
      <c r="V79" s="2">
        <v>47037015613</v>
      </c>
      <c r="W79" s="2" t="s">
        <v>68</v>
      </c>
      <c r="X79" s="1">
        <v>45658</v>
      </c>
      <c r="Y79" s="2">
        <v>85000</v>
      </c>
      <c r="Z79" s="2">
        <v>0</v>
      </c>
      <c r="AA79" s="2">
        <v>85000</v>
      </c>
    </row>
    <row r="80" spans="1:27" x14ac:dyDescent="0.3">
      <c r="A80" s="3">
        <v>28</v>
      </c>
      <c r="B80" s="2" t="str">
        <f>"13505000900"</f>
        <v>13505000900</v>
      </c>
      <c r="C80" s="2" t="s">
        <v>7166</v>
      </c>
      <c r="D80" t="s">
        <v>29</v>
      </c>
      <c r="E80" s="2" t="s">
        <v>30</v>
      </c>
      <c r="F80" s="2">
        <v>37217</v>
      </c>
      <c r="G80" s="2" t="s">
        <v>64</v>
      </c>
      <c r="H80" t="s">
        <v>2707</v>
      </c>
      <c r="I80" s="6">
        <v>34450</v>
      </c>
      <c r="J80" s="2" t="s">
        <v>7167</v>
      </c>
      <c r="K80" s="2" t="s">
        <v>34</v>
      </c>
      <c r="L80" t="s">
        <v>2689</v>
      </c>
      <c r="M80" t="s">
        <v>29</v>
      </c>
      <c r="N80" t="s">
        <v>30</v>
      </c>
      <c r="O80">
        <v>37214</v>
      </c>
      <c r="P80" t="s">
        <v>7168</v>
      </c>
      <c r="Q80" s="2">
        <v>0.39</v>
      </c>
      <c r="R80" s="2">
        <v>70</v>
      </c>
      <c r="S80" s="2">
        <v>251</v>
      </c>
      <c r="T80" t="s">
        <v>7169</v>
      </c>
      <c r="U80" s="6">
        <v>22998</v>
      </c>
      <c r="V80" s="2">
        <v>47037015613</v>
      </c>
      <c r="W80" s="2" t="s">
        <v>68</v>
      </c>
      <c r="X80" s="1">
        <v>45658</v>
      </c>
      <c r="Y80" s="2">
        <v>85000</v>
      </c>
      <c r="Z80" s="2">
        <v>0</v>
      </c>
      <c r="AA80" s="2">
        <v>85000</v>
      </c>
    </row>
    <row r="81" spans="1:27" x14ac:dyDescent="0.3">
      <c r="A81" s="3">
        <v>28</v>
      </c>
      <c r="B81" s="2" t="str">
        <f>"13505000800"</f>
        <v>13505000800</v>
      </c>
      <c r="C81" s="2" t="s">
        <v>7170</v>
      </c>
      <c r="D81" t="s">
        <v>29</v>
      </c>
      <c r="E81" s="2" t="s">
        <v>30</v>
      </c>
      <c r="F81" s="2">
        <v>37217</v>
      </c>
      <c r="G81" s="2" t="s">
        <v>64</v>
      </c>
      <c r="H81" t="s">
        <v>2707</v>
      </c>
      <c r="I81" s="6">
        <v>33641</v>
      </c>
      <c r="J81" s="2" t="s">
        <v>7171</v>
      </c>
      <c r="K81" s="2" t="s">
        <v>34</v>
      </c>
      <c r="L81" t="s">
        <v>2689</v>
      </c>
      <c r="M81" t="s">
        <v>29</v>
      </c>
      <c r="N81" t="s">
        <v>30</v>
      </c>
      <c r="O81">
        <v>37214</v>
      </c>
      <c r="P81" t="s">
        <v>7172</v>
      </c>
      <c r="Q81" s="2">
        <v>0.42</v>
      </c>
      <c r="R81" s="2">
        <v>71</v>
      </c>
      <c r="S81" s="2">
        <v>272</v>
      </c>
      <c r="T81" t="s">
        <v>7173</v>
      </c>
      <c r="U81" s="6">
        <v>23019</v>
      </c>
      <c r="V81" s="2">
        <v>47037015613</v>
      </c>
      <c r="W81" s="2" t="s">
        <v>68</v>
      </c>
      <c r="X81" s="1">
        <v>45658</v>
      </c>
      <c r="Y81" s="2">
        <v>85000</v>
      </c>
      <c r="Z81" s="2">
        <v>0</v>
      </c>
      <c r="AA81" s="2">
        <v>85000</v>
      </c>
    </row>
    <row r="82" spans="1:27" x14ac:dyDescent="0.3">
      <c r="A82" s="3">
        <v>28</v>
      </c>
      <c r="B82" s="2" t="str">
        <f>"13408002000"</f>
        <v>13408002000</v>
      </c>
      <c r="C82" s="2" t="s">
        <v>7174</v>
      </c>
      <c r="D82" t="s">
        <v>29</v>
      </c>
      <c r="E82" s="2" t="s">
        <v>30</v>
      </c>
      <c r="F82" s="2">
        <v>37217</v>
      </c>
      <c r="G82" s="2" t="s">
        <v>64</v>
      </c>
      <c r="H82" t="s">
        <v>2707</v>
      </c>
      <c r="I82" s="6">
        <v>38323</v>
      </c>
      <c r="J82" s="2" t="s">
        <v>7175</v>
      </c>
      <c r="K82" s="2">
        <v>15000</v>
      </c>
      <c r="L82" t="s">
        <v>2689</v>
      </c>
      <c r="M82" t="s">
        <v>29</v>
      </c>
      <c r="N82" t="s">
        <v>30</v>
      </c>
      <c r="O82">
        <v>37214</v>
      </c>
      <c r="P82" t="s">
        <v>7176</v>
      </c>
      <c r="Q82" s="2">
        <v>0.61</v>
      </c>
      <c r="R82" s="2">
        <v>316</v>
      </c>
      <c r="S82" s="2">
        <v>95</v>
      </c>
      <c r="T82" t="s">
        <v>7177</v>
      </c>
      <c r="U82" s="6">
        <v>22690</v>
      </c>
      <c r="V82" s="2">
        <v>47037015613</v>
      </c>
      <c r="W82" s="2" t="s">
        <v>68</v>
      </c>
      <c r="X82" s="1">
        <v>45658</v>
      </c>
      <c r="Y82" s="2">
        <v>1300</v>
      </c>
      <c r="Z82" s="2">
        <v>0</v>
      </c>
      <c r="AA82" s="2">
        <v>1300</v>
      </c>
    </row>
    <row r="83" spans="1:27" x14ac:dyDescent="0.3">
      <c r="A83" s="3">
        <v>28</v>
      </c>
      <c r="B83" s="2" t="str">
        <f>"13408002300"</f>
        <v>13408002300</v>
      </c>
      <c r="C83" s="2" t="s">
        <v>7178</v>
      </c>
      <c r="D83" t="s">
        <v>29</v>
      </c>
      <c r="E83" s="2" t="s">
        <v>30</v>
      </c>
      <c r="F83" s="2">
        <v>37217</v>
      </c>
      <c r="G83" s="2" t="s">
        <v>64</v>
      </c>
      <c r="H83" t="s">
        <v>2707</v>
      </c>
      <c r="I83" s="6">
        <v>33639</v>
      </c>
      <c r="J83" s="2" t="s">
        <v>7179</v>
      </c>
      <c r="K83" s="2">
        <v>70000</v>
      </c>
      <c r="L83" t="s">
        <v>2689</v>
      </c>
      <c r="M83" t="s">
        <v>29</v>
      </c>
      <c r="N83" t="s">
        <v>30</v>
      </c>
      <c r="O83">
        <v>37214</v>
      </c>
      <c r="P83" t="s">
        <v>7180</v>
      </c>
      <c r="Q83" s="2">
        <v>0.26</v>
      </c>
      <c r="R83" s="2">
        <v>72</v>
      </c>
      <c r="S83" s="2">
        <v>207</v>
      </c>
      <c r="T83" t="s">
        <v>7181</v>
      </c>
      <c r="U83" s="6">
        <v>23040</v>
      </c>
      <c r="V83" s="2">
        <v>47037015613</v>
      </c>
      <c r="W83" s="2" t="s">
        <v>68</v>
      </c>
      <c r="X83" s="1">
        <v>45658</v>
      </c>
      <c r="Y83" s="2">
        <v>85000</v>
      </c>
      <c r="Z83" s="2">
        <v>0</v>
      </c>
      <c r="AA83" s="2">
        <v>85000</v>
      </c>
    </row>
    <row r="84" spans="1:27" x14ac:dyDescent="0.3">
      <c r="A84" s="3">
        <v>28</v>
      </c>
      <c r="B84" s="2" t="str">
        <f>"13505001900"</f>
        <v>13505001900</v>
      </c>
      <c r="C84" s="2" t="s">
        <v>7182</v>
      </c>
      <c r="D84" t="s">
        <v>29</v>
      </c>
      <c r="E84" s="2" t="s">
        <v>30</v>
      </c>
      <c r="F84" s="2">
        <v>37217</v>
      </c>
      <c r="G84" s="2" t="s">
        <v>64</v>
      </c>
      <c r="H84" t="s">
        <v>2707</v>
      </c>
      <c r="I84" s="6">
        <v>38379</v>
      </c>
      <c r="J84" s="2" t="s">
        <v>7183</v>
      </c>
      <c r="K84" s="2">
        <v>22000</v>
      </c>
      <c r="L84" t="s">
        <v>2689</v>
      </c>
      <c r="M84" t="s">
        <v>29</v>
      </c>
      <c r="N84" t="s">
        <v>30</v>
      </c>
      <c r="O84">
        <v>37214</v>
      </c>
      <c r="P84" t="s">
        <v>7184</v>
      </c>
      <c r="Q84" s="2">
        <v>2.5299999999999998</v>
      </c>
      <c r="R84" s="2">
        <v>533</v>
      </c>
      <c r="S84" s="2">
        <v>387</v>
      </c>
      <c r="T84" t="s">
        <v>7177</v>
      </c>
      <c r="U84" s="6">
        <v>22690</v>
      </c>
      <c r="V84" s="2">
        <v>47037015613</v>
      </c>
      <c r="W84" s="2" t="s">
        <v>68</v>
      </c>
      <c r="X84" s="1">
        <v>45658</v>
      </c>
      <c r="Y84" s="2">
        <v>11100</v>
      </c>
      <c r="Z84" s="2">
        <v>0</v>
      </c>
      <c r="AA84" s="2">
        <v>11100</v>
      </c>
    </row>
    <row r="85" spans="1:27" x14ac:dyDescent="0.3">
      <c r="A85" s="3">
        <v>28</v>
      </c>
      <c r="B85" s="2" t="str">
        <f>"13408002800"</f>
        <v>13408002800</v>
      </c>
      <c r="C85" s="2" t="s">
        <v>7185</v>
      </c>
      <c r="D85" t="s">
        <v>29</v>
      </c>
      <c r="E85" s="2" t="s">
        <v>30</v>
      </c>
      <c r="F85" s="2">
        <v>37217</v>
      </c>
      <c r="G85" s="2" t="s">
        <v>64</v>
      </c>
      <c r="H85" t="s">
        <v>2707</v>
      </c>
      <c r="I85" s="6">
        <v>38335</v>
      </c>
      <c r="J85" s="2" t="s">
        <v>7186</v>
      </c>
      <c r="K85" s="2">
        <v>10000</v>
      </c>
      <c r="L85" t="s">
        <v>2689</v>
      </c>
      <c r="M85" t="s">
        <v>29</v>
      </c>
      <c r="N85" t="s">
        <v>30</v>
      </c>
      <c r="O85">
        <v>37214</v>
      </c>
      <c r="P85" t="s">
        <v>7187</v>
      </c>
      <c r="Q85" s="2">
        <v>0.22</v>
      </c>
      <c r="R85" s="2">
        <v>68</v>
      </c>
      <c r="S85" s="2">
        <v>293</v>
      </c>
      <c r="T85" t="s">
        <v>7188</v>
      </c>
      <c r="U85" s="6">
        <v>23522</v>
      </c>
      <c r="V85" s="2">
        <v>47037015613</v>
      </c>
      <c r="W85" s="2" t="s">
        <v>68</v>
      </c>
      <c r="X85" s="1">
        <v>45658</v>
      </c>
      <c r="Y85" s="2">
        <v>900</v>
      </c>
      <c r="Z85" s="2">
        <v>0</v>
      </c>
      <c r="AA85" s="2">
        <v>900</v>
      </c>
    </row>
    <row r="86" spans="1:27" x14ac:dyDescent="0.3">
      <c r="A86" s="3">
        <v>28</v>
      </c>
      <c r="B86" s="2" t="str">
        <f>"13402004700"</f>
        <v>13402004700</v>
      </c>
      <c r="C86" s="2" t="s">
        <v>7189</v>
      </c>
      <c r="D86" t="s">
        <v>29</v>
      </c>
      <c r="E86" s="2" t="s">
        <v>30</v>
      </c>
      <c r="F86" s="2">
        <v>37217</v>
      </c>
      <c r="G86" s="2" t="s">
        <v>64</v>
      </c>
      <c r="H86" t="s">
        <v>2707</v>
      </c>
      <c r="I86" s="6">
        <v>33221</v>
      </c>
      <c r="J86" s="2" t="s">
        <v>7190</v>
      </c>
      <c r="K86" s="2">
        <v>50000</v>
      </c>
      <c r="L86" t="s">
        <v>2689</v>
      </c>
      <c r="M86" t="s">
        <v>29</v>
      </c>
      <c r="N86" t="s">
        <v>30</v>
      </c>
      <c r="O86">
        <v>37214</v>
      </c>
      <c r="P86" t="s">
        <v>7191</v>
      </c>
      <c r="Q86" s="2">
        <v>0.73</v>
      </c>
      <c r="R86" s="2">
        <v>154</v>
      </c>
      <c r="S86" s="2">
        <v>208</v>
      </c>
      <c r="T86" t="s">
        <v>3044</v>
      </c>
      <c r="U86" s="6">
        <v>33721</v>
      </c>
      <c r="V86" s="2">
        <v>47037015700</v>
      </c>
      <c r="W86" s="2" t="s">
        <v>68</v>
      </c>
      <c r="X86" s="1">
        <v>45658</v>
      </c>
      <c r="Y86" s="2">
        <v>63400</v>
      </c>
      <c r="Z86" s="2">
        <v>0</v>
      </c>
      <c r="AA86" s="2">
        <v>63400</v>
      </c>
    </row>
    <row r="87" spans="1:27" x14ac:dyDescent="0.3">
      <c r="A87" s="3">
        <v>28</v>
      </c>
      <c r="B87" s="2" t="str">
        <f>"13402005000"</f>
        <v>13402005000</v>
      </c>
      <c r="C87" s="2" t="s">
        <v>7192</v>
      </c>
      <c r="D87" t="s">
        <v>29</v>
      </c>
      <c r="E87" s="2" t="s">
        <v>30</v>
      </c>
      <c r="F87" s="2">
        <v>37217</v>
      </c>
      <c r="G87" s="2" t="s">
        <v>64</v>
      </c>
      <c r="H87" t="s">
        <v>2707</v>
      </c>
      <c r="I87" s="6">
        <v>33102</v>
      </c>
      <c r="J87" s="2" t="s">
        <v>7193</v>
      </c>
      <c r="K87" s="2">
        <v>68000</v>
      </c>
      <c r="L87" t="s">
        <v>2689</v>
      </c>
      <c r="M87" t="s">
        <v>29</v>
      </c>
      <c r="N87" t="s">
        <v>30</v>
      </c>
      <c r="O87">
        <v>37214</v>
      </c>
      <c r="P87" t="s">
        <v>7053</v>
      </c>
      <c r="Q87" s="2">
        <v>0.72</v>
      </c>
      <c r="R87" s="2">
        <v>145</v>
      </c>
      <c r="S87" s="2">
        <v>219</v>
      </c>
      <c r="T87" t="s">
        <v>3044</v>
      </c>
      <c r="U87" s="6">
        <v>33721</v>
      </c>
      <c r="V87" s="2">
        <v>47037015700</v>
      </c>
      <c r="W87" s="2" t="s">
        <v>68</v>
      </c>
      <c r="X87" s="1">
        <v>45658</v>
      </c>
      <c r="Y87" s="2">
        <v>63400</v>
      </c>
      <c r="Z87" s="2">
        <v>0</v>
      </c>
      <c r="AA87" s="2">
        <v>63400</v>
      </c>
    </row>
    <row r="88" spans="1:27" x14ac:dyDescent="0.3">
      <c r="A88" s="3">
        <v>28</v>
      </c>
      <c r="B88" s="2" t="str">
        <f>"13402004800"</f>
        <v>13402004800</v>
      </c>
      <c r="C88" s="2" t="s">
        <v>7194</v>
      </c>
      <c r="D88" t="s">
        <v>29</v>
      </c>
      <c r="E88" s="2" t="s">
        <v>30</v>
      </c>
      <c r="F88" s="2">
        <v>37217</v>
      </c>
      <c r="G88" s="2" t="s">
        <v>64</v>
      </c>
      <c r="H88" t="s">
        <v>2707</v>
      </c>
      <c r="I88" s="6">
        <v>33898</v>
      </c>
      <c r="J88" s="2" t="s">
        <v>7195</v>
      </c>
      <c r="K88" s="2">
        <v>0</v>
      </c>
      <c r="L88" t="s">
        <v>2689</v>
      </c>
      <c r="M88" t="s">
        <v>29</v>
      </c>
      <c r="N88" t="s">
        <v>30</v>
      </c>
      <c r="O88">
        <v>37214</v>
      </c>
      <c r="P88" t="s">
        <v>7196</v>
      </c>
      <c r="Q88" s="2">
        <v>0.37</v>
      </c>
      <c r="R88" s="2">
        <v>77</v>
      </c>
      <c r="S88" s="2">
        <v>210</v>
      </c>
      <c r="T88" t="s">
        <v>3044</v>
      </c>
      <c r="U88" s="6">
        <v>33721</v>
      </c>
      <c r="V88" s="2">
        <v>47037015700</v>
      </c>
      <c r="W88" s="2" t="s">
        <v>68</v>
      </c>
      <c r="X88" s="1">
        <v>45658</v>
      </c>
      <c r="Y88" s="2">
        <v>57600</v>
      </c>
      <c r="Z88" s="2">
        <v>0</v>
      </c>
      <c r="AA88" s="2">
        <v>57600</v>
      </c>
    </row>
    <row r="89" spans="1:27" x14ac:dyDescent="0.3">
      <c r="A89" s="3">
        <v>28</v>
      </c>
      <c r="B89" s="2" t="str">
        <f>"13402004900"</f>
        <v>13402004900</v>
      </c>
      <c r="C89" s="2" t="s">
        <v>7197</v>
      </c>
      <c r="D89" t="s">
        <v>29</v>
      </c>
      <c r="E89" s="2" t="s">
        <v>30</v>
      </c>
      <c r="F89" s="2">
        <v>37217</v>
      </c>
      <c r="G89" s="2" t="s">
        <v>64</v>
      </c>
      <c r="H89" t="s">
        <v>2707</v>
      </c>
      <c r="I89" s="6">
        <v>33898</v>
      </c>
      <c r="J89" s="2" t="s">
        <v>7195</v>
      </c>
      <c r="K89" s="2">
        <v>0</v>
      </c>
      <c r="L89" t="s">
        <v>2689</v>
      </c>
      <c r="M89" t="s">
        <v>29</v>
      </c>
      <c r="N89" t="s">
        <v>30</v>
      </c>
      <c r="O89">
        <v>37214</v>
      </c>
      <c r="P89" t="s">
        <v>7198</v>
      </c>
      <c r="Q89" s="2">
        <v>0.36</v>
      </c>
      <c r="R89" s="2">
        <v>75</v>
      </c>
      <c r="S89" s="2">
        <v>213</v>
      </c>
      <c r="T89" t="s">
        <v>3044</v>
      </c>
      <c r="U89" s="6">
        <v>33721</v>
      </c>
      <c r="V89" s="2">
        <v>47037015700</v>
      </c>
      <c r="W89" s="2" t="s">
        <v>68</v>
      </c>
      <c r="X89" s="1">
        <v>45658</v>
      </c>
      <c r="Y89" s="2">
        <v>57600</v>
      </c>
      <c r="Z89" s="2">
        <v>0</v>
      </c>
      <c r="AA89" s="2">
        <v>57600</v>
      </c>
    </row>
    <row r="90" spans="1:27" x14ac:dyDescent="0.3">
      <c r="A90" s="3">
        <v>28</v>
      </c>
      <c r="B90" s="2" t="str">
        <f>"13404002000"</f>
        <v>13404002000</v>
      </c>
      <c r="C90" s="2" t="s">
        <v>7199</v>
      </c>
      <c r="D90" t="s">
        <v>29</v>
      </c>
      <c r="E90" s="2" t="s">
        <v>30</v>
      </c>
      <c r="F90" s="2">
        <v>37217</v>
      </c>
      <c r="G90" s="2" t="s">
        <v>64</v>
      </c>
      <c r="H90" t="s">
        <v>2707</v>
      </c>
      <c r="I90" s="6">
        <v>33266</v>
      </c>
      <c r="J90" s="2" t="s">
        <v>7200</v>
      </c>
      <c r="K90" s="2">
        <v>62500</v>
      </c>
      <c r="L90" t="s">
        <v>2689</v>
      </c>
      <c r="M90" t="s">
        <v>29</v>
      </c>
      <c r="N90" t="s">
        <v>30</v>
      </c>
      <c r="O90">
        <v>37214</v>
      </c>
      <c r="P90" t="s">
        <v>7201</v>
      </c>
      <c r="Q90" s="2">
        <v>0.35</v>
      </c>
      <c r="R90" s="2">
        <v>128</v>
      </c>
      <c r="S90" s="2">
        <v>161</v>
      </c>
      <c r="T90" t="s">
        <v>7202</v>
      </c>
      <c r="U90" s="6">
        <v>26429</v>
      </c>
      <c r="V90" s="2">
        <v>47037015613</v>
      </c>
      <c r="W90" s="2" t="s">
        <v>68</v>
      </c>
      <c r="X90" s="1">
        <v>45658</v>
      </c>
      <c r="Y90" s="2">
        <v>85000</v>
      </c>
      <c r="Z90" s="2">
        <v>0</v>
      </c>
      <c r="AA90" s="2">
        <v>85000</v>
      </c>
    </row>
    <row r="91" spans="1:27" x14ac:dyDescent="0.3">
      <c r="A91" s="3">
        <v>28</v>
      </c>
      <c r="B91" s="2" t="str">
        <f>"13501000600"</f>
        <v>13501000600</v>
      </c>
      <c r="C91" s="2" t="s">
        <v>7203</v>
      </c>
      <c r="D91" t="s">
        <v>29</v>
      </c>
      <c r="E91" s="2" t="s">
        <v>30</v>
      </c>
      <c r="F91" s="2">
        <v>37217</v>
      </c>
      <c r="G91" s="2" t="s">
        <v>64</v>
      </c>
      <c r="H91" t="s">
        <v>2707</v>
      </c>
      <c r="I91" s="6">
        <v>33364</v>
      </c>
      <c r="J91" s="2" t="s">
        <v>7204</v>
      </c>
      <c r="K91" s="2">
        <v>15000</v>
      </c>
      <c r="L91" t="s">
        <v>2689</v>
      </c>
      <c r="M91" t="s">
        <v>29</v>
      </c>
      <c r="N91" t="s">
        <v>30</v>
      </c>
      <c r="O91">
        <v>37214</v>
      </c>
      <c r="P91" t="s">
        <v>7205</v>
      </c>
      <c r="Q91" s="2">
        <v>0.28999999999999998</v>
      </c>
      <c r="R91" s="2">
        <v>72</v>
      </c>
      <c r="S91" s="2">
        <v>164</v>
      </c>
      <c r="T91" t="s">
        <v>7206</v>
      </c>
      <c r="U91" s="6">
        <v>25610</v>
      </c>
      <c r="V91" s="2">
        <v>47037015613</v>
      </c>
      <c r="W91" s="2" t="s">
        <v>68</v>
      </c>
      <c r="X91" s="1">
        <v>45658</v>
      </c>
      <c r="Y91" s="2">
        <v>85000</v>
      </c>
      <c r="Z91" s="2">
        <v>0</v>
      </c>
      <c r="AA91" s="2">
        <v>85000</v>
      </c>
    </row>
    <row r="92" spans="1:27" x14ac:dyDescent="0.3">
      <c r="A92" s="3">
        <v>28</v>
      </c>
      <c r="B92" s="2" t="str">
        <f>"13501000500"</f>
        <v>13501000500</v>
      </c>
      <c r="C92" s="2" t="s">
        <v>7207</v>
      </c>
      <c r="D92" t="s">
        <v>29</v>
      </c>
      <c r="E92" s="2" t="s">
        <v>30</v>
      </c>
      <c r="F92" s="2">
        <v>37217</v>
      </c>
      <c r="G92" s="2" t="s">
        <v>64</v>
      </c>
      <c r="H92" t="s">
        <v>2707</v>
      </c>
      <c r="I92" s="6">
        <v>33317</v>
      </c>
      <c r="J92" s="2" t="s">
        <v>7208</v>
      </c>
      <c r="K92" s="2">
        <v>73000</v>
      </c>
      <c r="L92" t="s">
        <v>2689</v>
      </c>
      <c r="M92" t="s">
        <v>29</v>
      </c>
      <c r="N92" t="s">
        <v>30</v>
      </c>
      <c r="O92">
        <v>37214</v>
      </c>
      <c r="P92" t="s">
        <v>7209</v>
      </c>
      <c r="Q92" s="2">
        <v>0.3</v>
      </c>
      <c r="R92" s="2">
        <v>64</v>
      </c>
      <c r="S92" s="2">
        <v>178</v>
      </c>
      <c r="T92" t="s">
        <v>7210</v>
      </c>
      <c r="U92" s="6">
        <v>23477</v>
      </c>
      <c r="V92" s="2">
        <v>47037015613</v>
      </c>
      <c r="W92" s="2" t="s">
        <v>68</v>
      </c>
      <c r="X92" s="1">
        <v>45658</v>
      </c>
      <c r="Y92" s="2">
        <v>85000</v>
      </c>
      <c r="Z92" s="2">
        <v>0</v>
      </c>
      <c r="AA92" s="2">
        <v>85000</v>
      </c>
    </row>
    <row r="93" spans="1:27" x14ac:dyDescent="0.3">
      <c r="A93" s="3">
        <v>28</v>
      </c>
      <c r="B93" s="2" t="str">
        <f>"13501001700"</f>
        <v>13501001700</v>
      </c>
      <c r="C93" s="2" t="s">
        <v>7211</v>
      </c>
      <c r="D93" t="s">
        <v>29</v>
      </c>
      <c r="E93" s="2" t="s">
        <v>30</v>
      </c>
      <c r="F93" s="2">
        <v>37217</v>
      </c>
      <c r="G93" s="2" t="s">
        <v>64</v>
      </c>
      <c r="H93" t="s">
        <v>2707</v>
      </c>
      <c r="I93" s="6">
        <v>33352</v>
      </c>
      <c r="J93" s="2" t="s">
        <v>7212</v>
      </c>
      <c r="K93" s="2">
        <v>71500</v>
      </c>
      <c r="L93" t="s">
        <v>2689</v>
      </c>
      <c r="M93" t="s">
        <v>29</v>
      </c>
      <c r="N93" t="s">
        <v>30</v>
      </c>
      <c r="O93">
        <v>37214</v>
      </c>
      <c r="P93" t="s">
        <v>7213</v>
      </c>
      <c r="Q93" s="2">
        <v>0.68</v>
      </c>
      <c r="R93" s="2">
        <v>166</v>
      </c>
      <c r="S93" s="2">
        <v>310</v>
      </c>
      <c r="T93" t="s">
        <v>7214</v>
      </c>
      <c r="U93" s="6">
        <v>27333</v>
      </c>
      <c r="V93" s="2">
        <v>47037015613</v>
      </c>
      <c r="W93" s="2" t="s">
        <v>68</v>
      </c>
      <c r="X93" s="1">
        <v>45658</v>
      </c>
      <c r="Y93" s="2">
        <v>106300</v>
      </c>
      <c r="Z93" s="2">
        <v>0</v>
      </c>
      <c r="AA93" s="2">
        <v>106300</v>
      </c>
    </row>
    <row r="94" spans="1:27" x14ac:dyDescent="0.3">
      <c r="A94" s="3">
        <v>28</v>
      </c>
      <c r="B94" s="2" t="str">
        <f>"13501001600"</f>
        <v>13501001600</v>
      </c>
      <c r="C94" s="2" t="s">
        <v>7215</v>
      </c>
      <c r="D94" t="s">
        <v>29</v>
      </c>
      <c r="E94" s="2" t="s">
        <v>30</v>
      </c>
      <c r="F94" s="2">
        <v>37217</v>
      </c>
      <c r="G94" s="2" t="s">
        <v>64</v>
      </c>
      <c r="H94" t="s">
        <v>2707</v>
      </c>
      <c r="I94" s="6">
        <v>33346</v>
      </c>
      <c r="J94" s="2" t="s">
        <v>7216</v>
      </c>
      <c r="K94" s="2">
        <v>68750</v>
      </c>
      <c r="L94" t="s">
        <v>2689</v>
      </c>
      <c r="M94" t="s">
        <v>29</v>
      </c>
      <c r="N94" t="s">
        <v>30</v>
      </c>
      <c r="O94">
        <v>37214</v>
      </c>
      <c r="P94" t="s">
        <v>7217</v>
      </c>
      <c r="Q94" s="2">
        <v>0.6</v>
      </c>
      <c r="R94" s="2">
        <v>147</v>
      </c>
      <c r="S94" s="2">
        <v>311</v>
      </c>
      <c r="T94" t="s">
        <v>7218</v>
      </c>
      <c r="U94" s="6">
        <v>25877</v>
      </c>
      <c r="V94" s="2">
        <v>47037015613</v>
      </c>
      <c r="W94" s="2" t="s">
        <v>68</v>
      </c>
      <c r="X94" s="1">
        <v>45658</v>
      </c>
      <c r="Y94" s="2">
        <v>106300</v>
      </c>
      <c r="Z94" s="2">
        <v>0</v>
      </c>
      <c r="AA94" s="2">
        <v>106300</v>
      </c>
    </row>
    <row r="95" spans="1:27" x14ac:dyDescent="0.3">
      <c r="A95" s="3">
        <v>28</v>
      </c>
      <c r="B95" s="2" t="str">
        <f>"13501000400"</f>
        <v>13501000400</v>
      </c>
      <c r="C95" s="2" t="s">
        <v>7219</v>
      </c>
      <c r="D95" t="s">
        <v>29</v>
      </c>
      <c r="E95" s="2" t="s">
        <v>30</v>
      </c>
      <c r="F95" s="2">
        <v>37217</v>
      </c>
      <c r="G95" s="2" t="s">
        <v>64</v>
      </c>
      <c r="H95" t="s">
        <v>2707</v>
      </c>
      <c r="I95" s="6">
        <v>38370</v>
      </c>
      <c r="J95" s="2" t="s">
        <v>7220</v>
      </c>
      <c r="K95" s="2">
        <v>121000</v>
      </c>
      <c r="L95" t="s">
        <v>2689</v>
      </c>
      <c r="M95" t="s">
        <v>29</v>
      </c>
      <c r="N95" t="s">
        <v>30</v>
      </c>
      <c r="O95">
        <v>37214</v>
      </c>
      <c r="P95" t="s">
        <v>7221</v>
      </c>
      <c r="Q95" s="2">
        <v>0.32</v>
      </c>
      <c r="R95" s="2">
        <v>65</v>
      </c>
      <c r="S95" s="2">
        <v>178</v>
      </c>
      <c r="T95" t="s">
        <v>7222</v>
      </c>
      <c r="U95" s="6">
        <v>25476</v>
      </c>
      <c r="V95" s="2">
        <v>47037015613</v>
      </c>
      <c r="W95" s="2" t="s">
        <v>68</v>
      </c>
      <c r="X95" s="1">
        <v>45658</v>
      </c>
      <c r="Y95" s="2">
        <v>85000</v>
      </c>
      <c r="Z95" s="2">
        <v>0</v>
      </c>
      <c r="AA95" s="2">
        <v>85000</v>
      </c>
    </row>
    <row r="96" spans="1:27" x14ac:dyDescent="0.3">
      <c r="A96" s="3">
        <v>28</v>
      </c>
      <c r="B96" s="2" t="str">
        <f>"13404002800"</f>
        <v>13404002800</v>
      </c>
      <c r="C96" s="2" t="s">
        <v>7223</v>
      </c>
      <c r="D96" t="s">
        <v>29</v>
      </c>
      <c r="E96" s="2" t="s">
        <v>30</v>
      </c>
      <c r="F96" s="2">
        <v>37217</v>
      </c>
      <c r="G96" s="2" t="s">
        <v>64</v>
      </c>
      <c r="H96" t="s">
        <v>2707</v>
      </c>
      <c r="I96" s="6">
        <v>33344</v>
      </c>
      <c r="J96" s="2" t="s">
        <v>7224</v>
      </c>
      <c r="K96" s="2">
        <v>67000</v>
      </c>
      <c r="L96" t="s">
        <v>2689</v>
      </c>
      <c r="M96" t="s">
        <v>29</v>
      </c>
      <c r="N96" t="s">
        <v>30</v>
      </c>
      <c r="O96">
        <v>37214</v>
      </c>
      <c r="P96" t="s">
        <v>7225</v>
      </c>
      <c r="Q96" s="2">
        <v>0.46</v>
      </c>
      <c r="R96" s="2">
        <v>127</v>
      </c>
      <c r="S96" s="2">
        <v>280</v>
      </c>
      <c r="T96" t="s">
        <v>7226</v>
      </c>
      <c r="U96" s="6">
        <v>24950</v>
      </c>
      <c r="V96" s="2">
        <v>47037015613</v>
      </c>
      <c r="W96" s="2" t="s">
        <v>68</v>
      </c>
      <c r="X96" s="1">
        <v>45658</v>
      </c>
      <c r="Y96" s="2">
        <v>26600</v>
      </c>
      <c r="Z96" s="2">
        <v>0</v>
      </c>
      <c r="AA96" s="2">
        <v>26600</v>
      </c>
    </row>
    <row r="97" spans="1:27" x14ac:dyDescent="0.3">
      <c r="A97" s="3">
        <v>28</v>
      </c>
      <c r="B97" s="2" t="str">
        <f>"13501001800"</f>
        <v>13501001800</v>
      </c>
      <c r="C97" s="2" t="s">
        <v>7227</v>
      </c>
      <c r="D97" t="s">
        <v>29</v>
      </c>
      <c r="E97" s="2" t="s">
        <v>30</v>
      </c>
      <c r="F97" s="2">
        <v>37217</v>
      </c>
      <c r="G97" s="2" t="s">
        <v>64</v>
      </c>
      <c r="H97" t="s">
        <v>2707</v>
      </c>
      <c r="I97" s="6">
        <v>33368</v>
      </c>
      <c r="J97" s="2" t="s">
        <v>7228</v>
      </c>
      <c r="K97" s="2">
        <v>68500</v>
      </c>
      <c r="L97" t="s">
        <v>2689</v>
      </c>
      <c r="M97" t="s">
        <v>29</v>
      </c>
      <c r="N97" t="s">
        <v>30</v>
      </c>
      <c r="O97">
        <v>37214</v>
      </c>
      <c r="P97" t="s">
        <v>7229</v>
      </c>
      <c r="Q97" s="2">
        <v>0.61</v>
      </c>
      <c r="R97" s="2">
        <v>123</v>
      </c>
      <c r="S97" s="2">
        <v>304</v>
      </c>
      <c r="T97" t="s">
        <v>7230</v>
      </c>
      <c r="U97" s="6">
        <v>23909</v>
      </c>
      <c r="V97" s="2">
        <v>47037015613</v>
      </c>
      <c r="W97" s="2" t="s">
        <v>68</v>
      </c>
      <c r="X97" s="1">
        <v>45658</v>
      </c>
      <c r="Y97" s="2">
        <v>106300</v>
      </c>
      <c r="Z97" s="2">
        <v>0</v>
      </c>
      <c r="AA97" s="2">
        <v>106300</v>
      </c>
    </row>
    <row r="98" spans="1:27" x14ac:dyDescent="0.3">
      <c r="A98" s="3">
        <v>28</v>
      </c>
      <c r="B98" s="2" t="str">
        <f>"13501001900"</f>
        <v>13501001900</v>
      </c>
      <c r="C98" s="2" t="s">
        <v>7231</v>
      </c>
      <c r="D98" t="s">
        <v>29</v>
      </c>
      <c r="E98" s="2" t="s">
        <v>30</v>
      </c>
      <c r="F98" s="2">
        <v>37217</v>
      </c>
      <c r="G98" s="2" t="s">
        <v>64</v>
      </c>
      <c r="H98" t="s">
        <v>2707</v>
      </c>
      <c r="I98" s="6">
        <v>33547</v>
      </c>
      <c r="J98" s="2" t="s">
        <v>7232</v>
      </c>
      <c r="K98" s="2">
        <v>62000</v>
      </c>
      <c r="L98" t="s">
        <v>2689</v>
      </c>
      <c r="M98" t="s">
        <v>29</v>
      </c>
      <c r="N98" t="s">
        <v>30</v>
      </c>
      <c r="O98">
        <v>37214</v>
      </c>
      <c r="P98" t="s">
        <v>7233</v>
      </c>
      <c r="Q98" s="2">
        <v>0.65</v>
      </c>
      <c r="R98" s="2">
        <v>171</v>
      </c>
      <c r="S98" s="2">
        <v>137</v>
      </c>
      <c r="T98" t="s">
        <v>7234</v>
      </c>
      <c r="U98" s="6">
        <v>22962</v>
      </c>
      <c r="V98" s="2">
        <v>47037015613</v>
      </c>
      <c r="W98" s="2" t="s">
        <v>68</v>
      </c>
      <c r="X98" s="1">
        <v>45658</v>
      </c>
      <c r="Y98" s="2">
        <v>106300</v>
      </c>
      <c r="Z98" s="2">
        <v>0</v>
      </c>
      <c r="AA98" s="2">
        <v>106300</v>
      </c>
    </row>
    <row r="99" spans="1:27" x14ac:dyDescent="0.3">
      <c r="A99" s="3">
        <v>28</v>
      </c>
      <c r="B99" s="2" t="str">
        <f>"13501001400"</f>
        <v>13501001400</v>
      </c>
      <c r="C99" s="2" t="s">
        <v>7235</v>
      </c>
      <c r="D99" t="s">
        <v>29</v>
      </c>
      <c r="E99" s="2" t="s">
        <v>30</v>
      </c>
      <c r="F99" s="2">
        <v>37217</v>
      </c>
      <c r="G99" s="2" t="s">
        <v>64</v>
      </c>
      <c r="H99" t="s">
        <v>2707</v>
      </c>
      <c r="I99" s="6">
        <v>33515</v>
      </c>
      <c r="J99" s="2" t="s">
        <v>7236</v>
      </c>
      <c r="K99" s="2">
        <v>86000</v>
      </c>
      <c r="L99" t="s">
        <v>2689</v>
      </c>
      <c r="M99" t="s">
        <v>29</v>
      </c>
      <c r="N99" t="s">
        <v>30</v>
      </c>
      <c r="O99">
        <v>37214</v>
      </c>
      <c r="P99" t="s">
        <v>7237</v>
      </c>
      <c r="Q99" s="2">
        <v>0.52</v>
      </c>
      <c r="R99" s="2">
        <v>98</v>
      </c>
      <c r="S99" s="2">
        <v>308</v>
      </c>
      <c r="T99" t="s">
        <v>7238</v>
      </c>
      <c r="U99" s="6">
        <v>25272</v>
      </c>
      <c r="V99" s="2">
        <v>47037015613</v>
      </c>
      <c r="W99" s="2" t="s">
        <v>68</v>
      </c>
      <c r="X99" s="1">
        <v>45658</v>
      </c>
      <c r="Y99" s="2">
        <v>106300</v>
      </c>
      <c r="Z99" s="2">
        <v>0</v>
      </c>
      <c r="AA99" s="2">
        <v>106300</v>
      </c>
    </row>
    <row r="100" spans="1:27" x14ac:dyDescent="0.3">
      <c r="A100" s="3">
        <v>28</v>
      </c>
      <c r="B100" s="2" t="str">
        <f>"13404002500"</f>
        <v>13404002500</v>
      </c>
      <c r="C100" s="2" t="s">
        <v>7239</v>
      </c>
      <c r="D100" t="s">
        <v>29</v>
      </c>
      <c r="E100" s="2" t="s">
        <v>30</v>
      </c>
      <c r="F100" s="2">
        <v>37217</v>
      </c>
      <c r="G100" s="2" t="s">
        <v>64</v>
      </c>
      <c r="H100" t="s">
        <v>2707</v>
      </c>
      <c r="I100" s="6">
        <v>33393</v>
      </c>
      <c r="J100" s="2" t="s">
        <v>7240</v>
      </c>
      <c r="K100" s="2">
        <v>83000</v>
      </c>
      <c r="L100" t="s">
        <v>2689</v>
      </c>
      <c r="M100" t="s">
        <v>29</v>
      </c>
      <c r="N100" t="s">
        <v>30</v>
      </c>
      <c r="O100">
        <v>37214</v>
      </c>
      <c r="P100" t="s">
        <v>7241</v>
      </c>
      <c r="Q100" s="2">
        <v>0.56000000000000005</v>
      </c>
      <c r="R100" s="2">
        <v>117</v>
      </c>
      <c r="S100" s="2">
        <v>185</v>
      </c>
      <c r="T100" t="s">
        <v>7242</v>
      </c>
      <c r="U100" s="6">
        <v>26201</v>
      </c>
      <c r="V100" s="2">
        <v>47037015613</v>
      </c>
      <c r="W100" s="2" t="s">
        <v>68</v>
      </c>
      <c r="X100" s="1">
        <v>45658</v>
      </c>
      <c r="Y100" s="2">
        <v>106300</v>
      </c>
      <c r="Z100" s="2">
        <v>0</v>
      </c>
      <c r="AA100" s="2">
        <v>106300</v>
      </c>
    </row>
    <row r="101" spans="1:27" x14ac:dyDescent="0.3">
      <c r="A101" s="3">
        <v>28</v>
      </c>
      <c r="B101" s="2" t="str">
        <f>"13501000100"</f>
        <v>13501000100</v>
      </c>
      <c r="C101" s="2" t="s">
        <v>7243</v>
      </c>
      <c r="D101" t="s">
        <v>29</v>
      </c>
      <c r="E101" s="2" t="s">
        <v>30</v>
      </c>
      <c r="F101" s="2">
        <v>37217</v>
      </c>
      <c r="G101" s="2" t="s">
        <v>64</v>
      </c>
      <c r="H101" t="s">
        <v>2707</v>
      </c>
      <c r="I101" s="6">
        <v>33309</v>
      </c>
      <c r="J101" s="2" t="s">
        <v>7244</v>
      </c>
      <c r="K101" s="2">
        <v>60000</v>
      </c>
      <c r="L101" t="s">
        <v>2689</v>
      </c>
      <c r="M101" t="s">
        <v>29</v>
      </c>
      <c r="N101" t="s">
        <v>30</v>
      </c>
      <c r="O101">
        <v>37214</v>
      </c>
      <c r="P101" t="s">
        <v>7245</v>
      </c>
      <c r="Q101" s="2">
        <v>0.41</v>
      </c>
      <c r="R101" s="2">
        <v>93</v>
      </c>
      <c r="S101" s="2">
        <v>140</v>
      </c>
      <c r="T101" t="s">
        <v>7246</v>
      </c>
      <c r="U101" s="6">
        <v>26407</v>
      </c>
      <c r="V101" s="2">
        <v>47037015613</v>
      </c>
      <c r="W101" s="2" t="s">
        <v>68</v>
      </c>
      <c r="X101" s="1">
        <v>45658</v>
      </c>
      <c r="Y101" s="2">
        <v>85000</v>
      </c>
      <c r="Z101" s="2">
        <v>0</v>
      </c>
      <c r="AA101" s="2">
        <v>85000</v>
      </c>
    </row>
    <row r="102" spans="1:27" x14ac:dyDescent="0.3">
      <c r="A102" s="3">
        <v>28</v>
      </c>
      <c r="B102" s="2" t="str">
        <f>"13501002000"</f>
        <v>13501002000</v>
      </c>
      <c r="C102" s="2" t="s">
        <v>7247</v>
      </c>
      <c r="D102" t="s">
        <v>29</v>
      </c>
      <c r="E102" s="2" t="s">
        <v>30</v>
      </c>
      <c r="F102" s="2">
        <v>37217</v>
      </c>
      <c r="G102" s="2" t="s">
        <v>64</v>
      </c>
      <c r="H102" t="s">
        <v>2707</v>
      </c>
      <c r="I102" s="6">
        <v>33470</v>
      </c>
      <c r="J102" s="2" t="s">
        <v>7248</v>
      </c>
      <c r="K102" s="2">
        <v>67000</v>
      </c>
      <c r="L102" t="s">
        <v>2689</v>
      </c>
      <c r="M102" t="s">
        <v>29</v>
      </c>
      <c r="N102" t="s">
        <v>30</v>
      </c>
      <c r="O102">
        <v>37214</v>
      </c>
      <c r="P102" t="s">
        <v>7249</v>
      </c>
      <c r="Q102" s="2">
        <v>0.39</v>
      </c>
      <c r="R102" s="2">
        <v>89</v>
      </c>
      <c r="S102" s="2">
        <v>202</v>
      </c>
      <c r="T102" t="s">
        <v>7250</v>
      </c>
      <c r="U102" s="6">
        <v>23417</v>
      </c>
      <c r="V102" s="2">
        <v>47037015613</v>
      </c>
      <c r="W102" s="2" t="s">
        <v>68</v>
      </c>
      <c r="X102" s="1">
        <v>45658</v>
      </c>
      <c r="Y102" s="2">
        <v>85000</v>
      </c>
      <c r="Z102" s="2">
        <v>0</v>
      </c>
      <c r="AA102" s="2">
        <v>85000</v>
      </c>
    </row>
    <row r="103" spans="1:27" x14ac:dyDescent="0.3">
      <c r="A103" s="3">
        <v>28</v>
      </c>
      <c r="B103" s="2" t="str">
        <f>"13501002200"</f>
        <v>13501002200</v>
      </c>
      <c r="C103" s="2" t="s">
        <v>7251</v>
      </c>
      <c r="D103" t="s">
        <v>29</v>
      </c>
      <c r="E103" s="2" t="s">
        <v>30</v>
      </c>
      <c r="F103" s="2">
        <v>37217</v>
      </c>
      <c r="G103" s="2" t="s">
        <v>64</v>
      </c>
      <c r="H103" t="s">
        <v>2707</v>
      </c>
      <c r="I103" s="6">
        <v>33374</v>
      </c>
      <c r="J103" s="2" t="s">
        <v>7252</v>
      </c>
      <c r="K103" s="2">
        <v>68000</v>
      </c>
      <c r="L103" t="s">
        <v>2689</v>
      </c>
      <c r="M103" t="s">
        <v>29</v>
      </c>
      <c r="N103" t="s">
        <v>30</v>
      </c>
      <c r="O103">
        <v>37214</v>
      </c>
      <c r="P103" t="s">
        <v>7253</v>
      </c>
      <c r="Q103" s="2">
        <v>0.61</v>
      </c>
      <c r="R103" s="2">
        <v>97</v>
      </c>
      <c r="S103" s="2">
        <v>253</v>
      </c>
      <c r="T103" t="s">
        <v>7254</v>
      </c>
      <c r="U103" s="6">
        <v>26584</v>
      </c>
      <c r="V103" s="2">
        <v>47037015613</v>
      </c>
      <c r="W103" s="2" t="s">
        <v>68</v>
      </c>
      <c r="X103" s="1">
        <v>45658</v>
      </c>
      <c r="Y103" s="2">
        <v>106300</v>
      </c>
      <c r="Z103" s="2">
        <v>0</v>
      </c>
      <c r="AA103" s="2">
        <v>106300</v>
      </c>
    </row>
    <row r="104" spans="1:27" x14ac:dyDescent="0.3">
      <c r="A104" s="3">
        <v>28</v>
      </c>
      <c r="B104" s="2" t="str">
        <f>"13404002200"</f>
        <v>13404002200</v>
      </c>
      <c r="C104" s="2" t="s">
        <v>7255</v>
      </c>
      <c r="D104" t="s">
        <v>29</v>
      </c>
      <c r="E104" s="2" t="s">
        <v>30</v>
      </c>
      <c r="F104" s="2">
        <v>37217</v>
      </c>
      <c r="G104" s="2" t="s">
        <v>64</v>
      </c>
      <c r="H104" t="s">
        <v>2707</v>
      </c>
      <c r="I104" s="6">
        <v>33527</v>
      </c>
      <c r="J104" s="2" t="s">
        <v>7256</v>
      </c>
      <c r="K104" s="2">
        <v>76000</v>
      </c>
      <c r="L104" t="s">
        <v>2689</v>
      </c>
      <c r="M104" t="s">
        <v>29</v>
      </c>
      <c r="N104" t="s">
        <v>30</v>
      </c>
      <c r="O104">
        <v>37214</v>
      </c>
      <c r="P104" t="s">
        <v>7257</v>
      </c>
      <c r="Q104" s="2">
        <v>0.32</v>
      </c>
      <c r="R104" s="2">
        <v>105</v>
      </c>
      <c r="S104" s="2">
        <v>103</v>
      </c>
      <c r="T104" t="s">
        <v>7258</v>
      </c>
      <c r="U104" s="6">
        <v>26193</v>
      </c>
      <c r="V104" s="2">
        <v>47037015613</v>
      </c>
      <c r="W104" s="2" t="s">
        <v>68</v>
      </c>
      <c r="X104" s="1">
        <v>45658</v>
      </c>
      <c r="Y104" s="2">
        <v>85000</v>
      </c>
      <c r="Z104" s="2">
        <v>0</v>
      </c>
      <c r="AA104" s="2">
        <v>85000</v>
      </c>
    </row>
    <row r="105" spans="1:27" x14ac:dyDescent="0.3">
      <c r="A105" s="3">
        <v>28</v>
      </c>
      <c r="B105" s="2" t="str">
        <f>"13404001500"</f>
        <v>13404001500</v>
      </c>
      <c r="C105" s="2" t="s">
        <v>7259</v>
      </c>
      <c r="D105" t="s">
        <v>29</v>
      </c>
      <c r="E105" s="2" t="s">
        <v>30</v>
      </c>
      <c r="F105" s="2">
        <v>37217</v>
      </c>
      <c r="G105" s="2" t="s">
        <v>64</v>
      </c>
      <c r="H105" t="s">
        <v>2707</v>
      </c>
      <c r="I105" s="6">
        <v>33505</v>
      </c>
      <c r="J105" s="2" t="s">
        <v>7260</v>
      </c>
      <c r="K105" s="2">
        <v>60000</v>
      </c>
      <c r="L105" t="s">
        <v>2689</v>
      </c>
      <c r="M105" t="s">
        <v>29</v>
      </c>
      <c r="N105" t="s">
        <v>30</v>
      </c>
      <c r="O105">
        <v>37214</v>
      </c>
      <c r="P105" t="s">
        <v>7261</v>
      </c>
      <c r="Q105" s="2">
        <v>0.28999999999999998</v>
      </c>
      <c r="R105" s="2">
        <v>49</v>
      </c>
      <c r="S105" s="2">
        <v>185</v>
      </c>
      <c r="T105" t="s">
        <v>7262</v>
      </c>
      <c r="U105" s="6">
        <v>23655</v>
      </c>
      <c r="V105" s="2">
        <v>47037015613</v>
      </c>
      <c r="W105" s="2" t="s">
        <v>68</v>
      </c>
      <c r="X105" s="1">
        <v>45658</v>
      </c>
      <c r="Y105" s="2">
        <v>85000</v>
      </c>
      <c r="Z105" s="2">
        <v>0</v>
      </c>
      <c r="AA105" s="2">
        <v>85000</v>
      </c>
    </row>
    <row r="106" spans="1:27" x14ac:dyDescent="0.3">
      <c r="A106" s="3">
        <v>28</v>
      </c>
      <c r="B106" s="2" t="str">
        <f>"13404002100"</f>
        <v>13404002100</v>
      </c>
      <c r="C106" s="2" t="s">
        <v>7263</v>
      </c>
      <c r="D106" t="s">
        <v>29</v>
      </c>
      <c r="E106" s="2" t="s">
        <v>30</v>
      </c>
      <c r="F106" s="2">
        <v>37217</v>
      </c>
      <c r="G106" s="2" t="s">
        <v>64</v>
      </c>
      <c r="H106" t="s">
        <v>2707</v>
      </c>
      <c r="I106" s="6">
        <v>33424</v>
      </c>
      <c r="J106" s="2" t="s">
        <v>7264</v>
      </c>
      <c r="K106" s="2">
        <v>75000</v>
      </c>
      <c r="L106" t="s">
        <v>2689</v>
      </c>
      <c r="M106" t="s">
        <v>29</v>
      </c>
      <c r="N106" t="s">
        <v>30</v>
      </c>
      <c r="O106">
        <v>37214</v>
      </c>
      <c r="P106" t="s">
        <v>7265</v>
      </c>
      <c r="Q106" s="2">
        <v>0.32</v>
      </c>
      <c r="R106" s="2">
        <v>133</v>
      </c>
      <c r="S106" s="2">
        <v>161</v>
      </c>
      <c r="T106" t="s">
        <v>7266</v>
      </c>
      <c r="U106" s="6">
        <v>24255</v>
      </c>
      <c r="V106" s="2">
        <v>47037015613</v>
      </c>
      <c r="W106" s="2" t="s">
        <v>68</v>
      </c>
      <c r="X106" s="1">
        <v>45658</v>
      </c>
      <c r="Y106" s="2">
        <v>85000</v>
      </c>
      <c r="Z106" s="2">
        <v>0</v>
      </c>
      <c r="AA106" s="2">
        <v>85000</v>
      </c>
    </row>
    <row r="107" spans="1:27" x14ac:dyDescent="0.3">
      <c r="A107" s="3">
        <v>28</v>
      </c>
      <c r="B107" s="2" t="str">
        <f>"13404001600"</f>
        <v>13404001600</v>
      </c>
      <c r="C107" s="2" t="s">
        <v>7267</v>
      </c>
      <c r="D107" t="s">
        <v>29</v>
      </c>
      <c r="E107" s="2" t="s">
        <v>30</v>
      </c>
      <c r="F107" s="2">
        <v>37217</v>
      </c>
      <c r="G107" s="2" t="s">
        <v>64</v>
      </c>
      <c r="H107" t="s">
        <v>2707</v>
      </c>
      <c r="I107" s="6">
        <v>33365</v>
      </c>
      <c r="J107" s="2" t="s">
        <v>7268</v>
      </c>
      <c r="K107" s="2">
        <v>77000</v>
      </c>
      <c r="L107" t="s">
        <v>2689</v>
      </c>
      <c r="M107" t="s">
        <v>29</v>
      </c>
      <c r="N107" t="s">
        <v>30</v>
      </c>
      <c r="O107">
        <v>37214</v>
      </c>
      <c r="P107" t="s">
        <v>7269</v>
      </c>
      <c r="Q107" s="2">
        <v>0.44</v>
      </c>
      <c r="R107" s="2">
        <v>107</v>
      </c>
      <c r="S107" s="2">
        <v>191</v>
      </c>
      <c r="T107" t="s">
        <v>7270</v>
      </c>
      <c r="U107" s="6">
        <v>23879</v>
      </c>
      <c r="V107" s="2">
        <v>47037015613</v>
      </c>
      <c r="W107" s="2" t="s">
        <v>68</v>
      </c>
      <c r="X107" s="1">
        <v>45658</v>
      </c>
      <c r="Y107" s="2">
        <v>85000</v>
      </c>
      <c r="Z107" s="2">
        <v>0</v>
      </c>
      <c r="AA107" s="2">
        <v>85000</v>
      </c>
    </row>
    <row r="108" spans="1:27" x14ac:dyDescent="0.3">
      <c r="A108" s="3">
        <v>28</v>
      </c>
      <c r="B108" s="2" t="str">
        <f>"13404001800"</f>
        <v>13404001800</v>
      </c>
      <c r="C108" s="2" t="s">
        <v>7271</v>
      </c>
      <c r="D108" t="s">
        <v>29</v>
      </c>
      <c r="E108" s="2" t="s">
        <v>30</v>
      </c>
      <c r="F108" s="2">
        <v>37217</v>
      </c>
      <c r="G108" s="2" t="s">
        <v>64</v>
      </c>
      <c r="H108" t="s">
        <v>2707</v>
      </c>
      <c r="I108" s="6">
        <v>33394</v>
      </c>
      <c r="J108" s="2" t="s">
        <v>7272</v>
      </c>
      <c r="K108" s="2">
        <v>73000</v>
      </c>
      <c r="L108" t="s">
        <v>2689</v>
      </c>
      <c r="M108" t="s">
        <v>29</v>
      </c>
      <c r="N108" t="s">
        <v>30</v>
      </c>
      <c r="O108">
        <v>37214</v>
      </c>
      <c r="P108" t="s">
        <v>7273</v>
      </c>
      <c r="Q108" s="2">
        <v>0.37</v>
      </c>
      <c r="R108" s="2">
        <v>100</v>
      </c>
      <c r="S108" s="2">
        <v>183</v>
      </c>
      <c r="T108" t="s">
        <v>7274</v>
      </c>
      <c r="U108" s="6">
        <v>23233</v>
      </c>
      <c r="V108" s="2">
        <v>47037015613</v>
      </c>
      <c r="W108" s="2" t="s">
        <v>68</v>
      </c>
      <c r="X108" s="1">
        <v>45658</v>
      </c>
      <c r="Y108" s="2">
        <v>85000</v>
      </c>
      <c r="Z108" s="2">
        <v>0</v>
      </c>
      <c r="AA108" s="2">
        <v>85000</v>
      </c>
    </row>
    <row r="109" spans="1:27" x14ac:dyDescent="0.3">
      <c r="A109" s="3">
        <v>28</v>
      </c>
      <c r="B109" s="2" t="str">
        <f>"13501000800"</f>
        <v>13501000800</v>
      </c>
      <c r="C109" s="2" t="s">
        <v>7275</v>
      </c>
      <c r="D109" t="s">
        <v>29</v>
      </c>
      <c r="E109" s="2" t="s">
        <v>30</v>
      </c>
      <c r="F109" s="2">
        <v>37217</v>
      </c>
      <c r="G109" s="2" t="s">
        <v>64</v>
      </c>
      <c r="H109" t="s">
        <v>2707</v>
      </c>
      <c r="I109" s="6">
        <v>33368</v>
      </c>
      <c r="J109" s="2" t="s">
        <v>7276</v>
      </c>
      <c r="K109" s="2">
        <v>53500</v>
      </c>
      <c r="L109" t="s">
        <v>2689</v>
      </c>
      <c r="M109" t="s">
        <v>29</v>
      </c>
      <c r="N109" t="s">
        <v>30</v>
      </c>
      <c r="O109">
        <v>37214</v>
      </c>
      <c r="P109" t="s">
        <v>7277</v>
      </c>
      <c r="Q109" s="2">
        <v>0.5</v>
      </c>
      <c r="R109" s="2">
        <v>60</v>
      </c>
      <c r="S109" s="2">
        <v>242</v>
      </c>
      <c r="T109" t="s">
        <v>7278</v>
      </c>
      <c r="U109" s="6">
        <v>25692</v>
      </c>
      <c r="V109" s="2">
        <v>47037015613</v>
      </c>
      <c r="W109" s="2" t="s">
        <v>68</v>
      </c>
      <c r="X109" s="1">
        <v>45658</v>
      </c>
      <c r="Y109" s="2">
        <v>106300</v>
      </c>
      <c r="Z109" s="2">
        <v>0</v>
      </c>
      <c r="AA109" s="2">
        <v>106300</v>
      </c>
    </row>
    <row r="110" spans="1:27" x14ac:dyDescent="0.3">
      <c r="A110" s="3">
        <v>28</v>
      </c>
      <c r="B110" s="2" t="str">
        <f>"13501000700"</f>
        <v>13501000700</v>
      </c>
      <c r="C110" s="2" t="s">
        <v>7279</v>
      </c>
      <c r="D110" t="s">
        <v>29</v>
      </c>
      <c r="E110" s="2" t="s">
        <v>30</v>
      </c>
      <c r="F110" s="2">
        <v>37217</v>
      </c>
      <c r="G110" s="2" t="s">
        <v>64</v>
      </c>
      <c r="H110" t="s">
        <v>2707</v>
      </c>
      <c r="I110" s="6">
        <v>33613</v>
      </c>
      <c r="J110" s="2" t="s">
        <v>7280</v>
      </c>
      <c r="K110" s="2" t="s">
        <v>34</v>
      </c>
      <c r="L110" t="s">
        <v>2689</v>
      </c>
      <c r="M110" t="s">
        <v>29</v>
      </c>
      <c r="N110" t="s">
        <v>30</v>
      </c>
      <c r="O110">
        <v>37214</v>
      </c>
      <c r="P110" t="s">
        <v>7281</v>
      </c>
      <c r="Q110" s="2">
        <v>0.55000000000000004</v>
      </c>
      <c r="R110" s="2">
        <v>71</v>
      </c>
      <c r="S110" s="2">
        <v>235</v>
      </c>
      <c r="T110" t="s">
        <v>7282</v>
      </c>
      <c r="U110" s="6">
        <v>24681</v>
      </c>
      <c r="V110" s="2">
        <v>47037015613</v>
      </c>
      <c r="W110" s="2" t="s">
        <v>68</v>
      </c>
      <c r="X110" s="1">
        <v>45658</v>
      </c>
      <c r="Y110" s="2">
        <v>106300</v>
      </c>
      <c r="Z110" s="2">
        <v>0</v>
      </c>
      <c r="AA110" s="2">
        <v>106300</v>
      </c>
    </row>
    <row r="111" spans="1:27" x14ac:dyDescent="0.3">
      <c r="A111" s="3">
        <v>28</v>
      </c>
      <c r="B111" s="2" t="str">
        <f>"13501002500"</f>
        <v>13501002500</v>
      </c>
      <c r="C111" s="2" t="s">
        <v>7283</v>
      </c>
      <c r="D111" t="s">
        <v>29</v>
      </c>
      <c r="E111" s="2" t="s">
        <v>30</v>
      </c>
      <c r="F111" s="2">
        <v>37217</v>
      </c>
      <c r="G111" s="2" t="s">
        <v>64</v>
      </c>
      <c r="H111" t="s">
        <v>2707</v>
      </c>
      <c r="I111" s="6">
        <v>33396</v>
      </c>
      <c r="J111" s="2" t="s">
        <v>7284</v>
      </c>
      <c r="K111" s="2">
        <v>80000</v>
      </c>
      <c r="L111" t="s">
        <v>2689</v>
      </c>
      <c r="M111" t="s">
        <v>29</v>
      </c>
      <c r="N111" t="s">
        <v>30</v>
      </c>
      <c r="O111">
        <v>37214</v>
      </c>
      <c r="P111" t="s">
        <v>7285</v>
      </c>
      <c r="Q111" s="2">
        <v>0.74</v>
      </c>
      <c r="R111" s="2">
        <v>150</v>
      </c>
      <c r="S111" s="2">
        <v>261</v>
      </c>
      <c r="T111" t="s">
        <v>7286</v>
      </c>
      <c r="U111" s="6">
        <v>23025</v>
      </c>
      <c r="V111" s="2">
        <v>47037015613</v>
      </c>
      <c r="W111" s="2" t="s">
        <v>68</v>
      </c>
      <c r="X111" s="1">
        <v>45658</v>
      </c>
      <c r="Y111" s="2">
        <v>106300</v>
      </c>
      <c r="Z111" s="2">
        <v>0</v>
      </c>
      <c r="AA111" s="2">
        <v>106300</v>
      </c>
    </row>
    <row r="112" spans="1:27" x14ac:dyDescent="0.3">
      <c r="A112" s="3">
        <v>28</v>
      </c>
      <c r="B112" s="2" t="str">
        <f>"13404001700"</f>
        <v>13404001700</v>
      </c>
      <c r="C112" s="2" t="s">
        <v>7287</v>
      </c>
      <c r="D112" t="s">
        <v>29</v>
      </c>
      <c r="E112" s="2" t="s">
        <v>30</v>
      </c>
      <c r="F112" s="2">
        <v>37217</v>
      </c>
      <c r="G112" s="2" t="s">
        <v>64</v>
      </c>
      <c r="H112" t="s">
        <v>2707</v>
      </c>
      <c r="I112" s="6">
        <v>33501</v>
      </c>
      <c r="J112" s="2" t="s">
        <v>7288</v>
      </c>
      <c r="K112" s="2">
        <v>78000</v>
      </c>
      <c r="L112" t="s">
        <v>2689</v>
      </c>
      <c r="M112" t="s">
        <v>29</v>
      </c>
      <c r="N112" t="s">
        <v>30</v>
      </c>
      <c r="O112">
        <v>37214</v>
      </c>
      <c r="P112" t="s">
        <v>7289</v>
      </c>
      <c r="Q112" s="2">
        <v>0.48</v>
      </c>
      <c r="R112" s="2">
        <v>98</v>
      </c>
      <c r="S112" s="2">
        <v>191</v>
      </c>
      <c r="T112" t="s">
        <v>7290</v>
      </c>
      <c r="U112" s="6">
        <v>23185</v>
      </c>
      <c r="V112" s="2">
        <v>47037015613</v>
      </c>
      <c r="W112" s="2" t="s">
        <v>68</v>
      </c>
      <c r="X112" s="1">
        <v>45658</v>
      </c>
      <c r="Y112" s="2">
        <v>106300</v>
      </c>
      <c r="Z112" s="2">
        <v>0</v>
      </c>
      <c r="AA112" s="2">
        <v>106300</v>
      </c>
    </row>
    <row r="113" spans="1:27" x14ac:dyDescent="0.3">
      <c r="A113" s="3">
        <v>28</v>
      </c>
      <c r="B113" s="2" t="str">
        <f>"13404002900"</f>
        <v>13404002900</v>
      </c>
      <c r="C113" s="2" t="s">
        <v>7291</v>
      </c>
      <c r="D113" t="s">
        <v>29</v>
      </c>
      <c r="E113" s="2" t="s">
        <v>30</v>
      </c>
      <c r="F113" s="2">
        <v>37217</v>
      </c>
      <c r="G113" s="2" t="s">
        <v>64</v>
      </c>
      <c r="H113" t="s">
        <v>2707</v>
      </c>
      <c r="I113" s="6">
        <v>33515</v>
      </c>
      <c r="J113" s="2" t="s">
        <v>7292</v>
      </c>
      <c r="K113" s="2">
        <v>85000</v>
      </c>
      <c r="L113" t="s">
        <v>2689</v>
      </c>
      <c r="M113" t="s">
        <v>29</v>
      </c>
      <c r="N113" t="s">
        <v>30</v>
      </c>
      <c r="O113">
        <v>37214</v>
      </c>
      <c r="P113" t="s">
        <v>7293</v>
      </c>
      <c r="Q113" s="2">
        <v>0.51</v>
      </c>
      <c r="R113" s="2">
        <v>83</v>
      </c>
      <c r="S113" s="2">
        <v>209</v>
      </c>
      <c r="T113" t="s">
        <v>7294</v>
      </c>
      <c r="U113" s="6">
        <v>26815</v>
      </c>
      <c r="V113" s="2">
        <v>47037015613</v>
      </c>
      <c r="W113" s="2" t="s">
        <v>68</v>
      </c>
      <c r="X113" s="1">
        <v>45658</v>
      </c>
      <c r="Y113" s="2">
        <v>106300</v>
      </c>
      <c r="Z113" s="2">
        <v>0</v>
      </c>
      <c r="AA113" s="2">
        <v>106300</v>
      </c>
    </row>
    <row r="114" spans="1:27" x14ac:dyDescent="0.3">
      <c r="A114" s="3">
        <v>28</v>
      </c>
      <c r="B114" s="2" t="str">
        <f>"13501002600"</f>
        <v>13501002600</v>
      </c>
      <c r="C114" s="2" t="s">
        <v>7295</v>
      </c>
      <c r="D114" t="s">
        <v>29</v>
      </c>
      <c r="E114" s="2" t="s">
        <v>30</v>
      </c>
      <c r="F114" s="2">
        <v>37217</v>
      </c>
      <c r="G114" s="2" t="s">
        <v>64</v>
      </c>
      <c r="H114" t="s">
        <v>2707</v>
      </c>
      <c r="I114" s="6">
        <v>33518</v>
      </c>
      <c r="J114" s="2" t="s">
        <v>7296</v>
      </c>
      <c r="K114" s="2">
        <v>66000</v>
      </c>
      <c r="L114" t="s">
        <v>2689</v>
      </c>
      <c r="M114" t="s">
        <v>29</v>
      </c>
      <c r="N114" t="s">
        <v>30</v>
      </c>
      <c r="O114">
        <v>37214</v>
      </c>
      <c r="P114" t="s">
        <v>7297</v>
      </c>
      <c r="Q114" s="2">
        <v>0.57999999999999996</v>
      </c>
      <c r="R114" s="2">
        <v>140</v>
      </c>
      <c r="S114" s="2">
        <v>260</v>
      </c>
      <c r="T114" t="s">
        <v>7298</v>
      </c>
      <c r="U114" s="6">
        <v>23938</v>
      </c>
      <c r="V114" s="2">
        <v>47037015613</v>
      </c>
      <c r="W114" s="2" t="s">
        <v>68</v>
      </c>
      <c r="X114" s="1">
        <v>45658</v>
      </c>
      <c r="Y114" s="2">
        <v>106300</v>
      </c>
      <c r="Z114" s="2">
        <v>0</v>
      </c>
      <c r="AA114" s="2">
        <v>106300</v>
      </c>
    </row>
    <row r="115" spans="1:27" x14ac:dyDescent="0.3">
      <c r="A115" s="3">
        <v>28</v>
      </c>
      <c r="B115" s="2" t="str">
        <f>"13501003000"</f>
        <v>13501003000</v>
      </c>
      <c r="C115" s="2" t="s">
        <v>7299</v>
      </c>
      <c r="D115" t="s">
        <v>29</v>
      </c>
      <c r="E115" s="2" t="s">
        <v>30</v>
      </c>
      <c r="F115" s="2">
        <v>37217</v>
      </c>
      <c r="G115" s="2" t="s">
        <v>64</v>
      </c>
      <c r="H115" t="s">
        <v>2707</v>
      </c>
      <c r="I115" s="6">
        <v>33407</v>
      </c>
      <c r="J115" s="2" t="s">
        <v>7300</v>
      </c>
      <c r="K115" s="2">
        <v>71000</v>
      </c>
      <c r="L115" t="s">
        <v>2689</v>
      </c>
      <c r="M115" t="s">
        <v>29</v>
      </c>
      <c r="N115" t="s">
        <v>30</v>
      </c>
      <c r="O115">
        <v>37214</v>
      </c>
      <c r="P115" t="s">
        <v>7301</v>
      </c>
      <c r="Q115" s="2">
        <v>0.39</v>
      </c>
      <c r="R115" s="2">
        <v>94</v>
      </c>
      <c r="S115" s="2">
        <v>134</v>
      </c>
      <c r="T115" t="s">
        <v>7302</v>
      </c>
      <c r="U115" s="6">
        <v>26892</v>
      </c>
      <c r="V115" s="2">
        <v>47037015613</v>
      </c>
      <c r="W115" s="2" t="s">
        <v>68</v>
      </c>
      <c r="X115" s="1">
        <v>45658</v>
      </c>
      <c r="Y115" s="2">
        <v>85000</v>
      </c>
      <c r="Z115" s="2">
        <v>0</v>
      </c>
      <c r="AA115" s="2">
        <v>85000</v>
      </c>
    </row>
    <row r="116" spans="1:27" x14ac:dyDescent="0.3">
      <c r="A116" s="3">
        <v>28</v>
      </c>
      <c r="B116" s="2" t="str">
        <f>"13404003200"</f>
        <v>13404003200</v>
      </c>
      <c r="C116" s="2" t="s">
        <v>7303</v>
      </c>
      <c r="D116" t="s">
        <v>29</v>
      </c>
      <c r="E116" s="2" t="s">
        <v>30</v>
      </c>
      <c r="F116" s="2">
        <v>37217</v>
      </c>
      <c r="G116" s="2" t="s">
        <v>64</v>
      </c>
      <c r="H116" t="s">
        <v>2707</v>
      </c>
      <c r="I116" s="6">
        <v>33403</v>
      </c>
      <c r="J116" s="2" t="s">
        <v>7304</v>
      </c>
      <c r="K116" s="2">
        <v>74000</v>
      </c>
      <c r="L116" t="s">
        <v>2689</v>
      </c>
      <c r="M116" t="s">
        <v>29</v>
      </c>
      <c r="N116" t="s">
        <v>30</v>
      </c>
      <c r="O116">
        <v>37214</v>
      </c>
      <c r="P116" t="s">
        <v>7305</v>
      </c>
      <c r="Q116" s="2">
        <v>0.98</v>
      </c>
      <c r="R116" s="2">
        <v>121</v>
      </c>
      <c r="S116" s="2">
        <v>270</v>
      </c>
      <c r="T116" t="s">
        <v>7306</v>
      </c>
      <c r="U116" s="6">
        <v>24590</v>
      </c>
      <c r="V116" s="2">
        <v>47037015613</v>
      </c>
      <c r="W116" s="2" t="s">
        <v>68</v>
      </c>
      <c r="X116" s="1">
        <v>45658</v>
      </c>
      <c r="Y116" s="2">
        <v>106300</v>
      </c>
      <c r="Z116" s="2">
        <v>0</v>
      </c>
      <c r="AA116" s="2">
        <v>106300</v>
      </c>
    </row>
    <row r="117" spans="1:27" x14ac:dyDescent="0.3">
      <c r="A117" s="3">
        <v>28</v>
      </c>
      <c r="B117" s="2" t="str">
        <f>"13404003400"</f>
        <v>13404003400</v>
      </c>
      <c r="C117" s="2" t="s">
        <v>7307</v>
      </c>
      <c r="D117" t="s">
        <v>29</v>
      </c>
      <c r="E117" s="2" t="s">
        <v>30</v>
      </c>
      <c r="F117" s="2">
        <v>37217</v>
      </c>
      <c r="G117" s="2" t="s">
        <v>64</v>
      </c>
      <c r="H117" t="s">
        <v>2707</v>
      </c>
      <c r="I117" s="6">
        <v>33414</v>
      </c>
      <c r="J117" s="2" t="s">
        <v>7308</v>
      </c>
      <c r="K117" s="2">
        <v>68500</v>
      </c>
      <c r="L117" t="s">
        <v>2689</v>
      </c>
      <c r="M117" t="s">
        <v>29</v>
      </c>
      <c r="N117" t="s">
        <v>30</v>
      </c>
      <c r="O117">
        <v>37214</v>
      </c>
      <c r="P117" t="s">
        <v>7309</v>
      </c>
      <c r="Q117" s="2">
        <v>0.52</v>
      </c>
      <c r="R117" s="2">
        <v>81</v>
      </c>
      <c r="S117" s="2">
        <v>191</v>
      </c>
      <c r="T117" t="s">
        <v>7310</v>
      </c>
      <c r="U117" s="6">
        <v>23285</v>
      </c>
      <c r="V117" s="2">
        <v>47037015613</v>
      </c>
      <c r="W117" s="2" t="s">
        <v>68</v>
      </c>
      <c r="X117" s="1">
        <v>45658</v>
      </c>
      <c r="Y117" s="2">
        <v>106300</v>
      </c>
      <c r="Z117" s="2">
        <v>0</v>
      </c>
      <c r="AA117" s="2">
        <v>106300</v>
      </c>
    </row>
    <row r="118" spans="1:27" x14ac:dyDescent="0.3">
      <c r="A118" s="3">
        <v>28</v>
      </c>
      <c r="B118" s="2" t="str">
        <f>"13404003300"</f>
        <v>13404003300</v>
      </c>
      <c r="C118" s="2" t="s">
        <v>7311</v>
      </c>
      <c r="D118" t="s">
        <v>29</v>
      </c>
      <c r="E118" s="2" t="s">
        <v>30</v>
      </c>
      <c r="F118" s="2">
        <v>37217</v>
      </c>
      <c r="G118" s="2" t="s">
        <v>64</v>
      </c>
      <c r="H118" t="s">
        <v>2707</v>
      </c>
      <c r="I118" s="6">
        <v>33333</v>
      </c>
      <c r="J118" s="2" t="s">
        <v>7312</v>
      </c>
      <c r="K118" s="2">
        <v>73000</v>
      </c>
      <c r="L118" t="s">
        <v>2689</v>
      </c>
      <c r="M118" t="s">
        <v>29</v>
      </c>
      <c r="N118" t="s">
        <v>30</v>
      </c>
      <c r="O118">
        <v>37214</v>
      </c>
      <c r="P118" t="s">
        <v>7313</v>
      </c>
      <c r="Q118" s="2">
        <v>0.45</v>
      </c>
      <c r="R118" s="2">
        <v>76</v>
      </c>
      <c r="S118" s="2">
        <v>258</v>
      </c>
      <c r="T118" t="s">
        <v>7314</v>
      </c>
      <c r="U118" s="6">
        <v>24643</v>
      </c>
      <c r="V118" s="2">
        <v>47037015613</v>
      </c>
      <c r="W118" s="2" t="s">
        <v>68</v>
      </c>
      <c r="X118" s="1">
        <v>45658</v>
      </c>
      <c r="Y118" s="2">
        <v>85000</v>
      </c>
      <c r="Z118" s="2">
        <v>0</v>
      </c>
      <c r="AA118" s="2">
        <v>85000</v>
      </c>
    </row>
    <row r="119" spans="1:27" x14ac:dyDescent="0.3">
      <c r="A119" s="3">
        <v>28</v>
      </c>
      <c r="B119" s="2" t="str">
        <f>"13501005200"</f>
        <v>13501005200</v>
      </c>
      <c r="C119" s="2" t="s">
        <v>7315</v>
      </c>
      <c r="D119" t="s">
        <v>29</v>
      </c>
      <c r="E119" s="2" t="s">
        <v>30</v>
      </c>
      <c r="F119" s="2">
        <v>37217</v>
      </c>
      <c r="G119" s="2" t="s">
        <v>64</v>
      </c>
      <c r="H119" t="s">
        <v>2707</v>
      </c>
      <c r="I119" s="6">
        <v>33429</v>
      </c>
      <c r="J119" s="2" t="s">
        <v>7316</v>
      </c>
      <c r="K119" s="2">
        <v>70000</v>
      </c>
      <c r="L119" t="s">
        <v>2689</v>
      </c>
      <c r="M119" t="s">
        <v>29</v>
      </c>
      <c r="N119" t="s">
        <v>30</v>
      </c>
      <c r="O119">
        <v>37214</v>
      </c>
      <c r="P119" t="s">
        <v>7317</v>
      </c>
      <c r="Q119" s="2">
        <v>0.34</v>
      </c>
      <c r="R119" s="2">
        <v>74</v>
      </c>
      <c r="S119" s="2">
        <v>207</v>
      </c>
      <c r="T119" t="s">
        <v>7318</v>
      </c>
      <c r="U119" s="6">
        <v>24241</v>
      </c>
      <c r="V119" s="2">
        <v>47037015613</v>
      </c>
      <c r="W119" s="2" t="s">
        <v>68</v>
      </c>
      <c r="X119" s="1">
        <v>45658</v>
      </c>
      <c r="Y119" s="2">
        <v>85000</v>
      </c>
      <c r="Z119" s="2">
        <v>0</v>
      </c>
      <c r="AA119" s="2">
        <v>85000</v>
      </c>
    </row>
    <row r="120" spans="1:27" x14ac:dyDescent="0.3">
      <c r="A120" s="3">
        <v>28</v>
      </c>
      <c r="B120" s="2" t="str">
        <f>"13501005100"</f>
        <v>13501005100</v>
      </c>
      <c r="C120" s="2" t="s">
        <v>7319</v>
      </c>
      <c r="D120" t="s">
        <v>29</v>
      </c>
      <c r="E120" s="2" t="s">
        <v>30</v>
      </c>
      <c r="F120" s="2">
        <v>37217</v>
      </c>
      <c r="G120" s="2" t="s">
        <v>64</v>
      </c>
      <c r="H120" t="s">
        <v>2707</v>
      </c>
      <c r="I120" s="6">
        <v>33472</v>
      </c>
      <c r="J120" s="2" t="s">
        <v>7320</v>
      </c>
      <c r="K120" s="2">
        <v>68500</v>
      </c>
      <c r="L120" t="s">
        <v>2689</v>
      </c>
      <c r="M120" t="s">
        <v>29</v>
      </c>
      <c r="N120" t="s">
        <v>30</v>
      </c>
      <c r="O120">
        <v>37214</v>
      </c>
      <c r="P120" t="s">
        <v>7321</v>
      </c>
      <c r="Q120" s="2">
        <v>0.39</v>
      </c>
      <c r="R120" s="2">
        <v>64</v>
      </c>
      <c r="S120" s="2">
        <v>207</v>
      </c>
      <c r="T120" t="s">
        <v>7322</v>
      </c>
      <c r="U120" s="6">
        <v>26919</v>
      </c>
      <c r="V120" s="2">
        <v>47037015613</v>
      </c>
      <c r="W120" s="2" t="s">
        <v>68</v>
      </c>
      <c r="X120" s="1">
        <v>45658</v>
      </c>
      <c r="Y120" s="2">
        <v>85000</v>
      </c>
      <c r="Z120" s="2">
        <v>0</v>
      </c>
      <c r="AA120" s="2">
        <v>85000</v>
      </c>
    </row>
    <row r="121" spans="1:27" x14ac:dyDescent="0.3">
      <c r="A121" s="3">
        <v>28</v>
      </c>
      <c r="B121" s="2" t="str">
        <f>"13404004100"</f>
        <v>13404004100</v>
      </c>
      <c r="C121" s="2" t="s">
        <v>7323</v>
      </c>
      <c r="D121" t="s">
        <v>29</v>
      </c>
      <c r="E121" s="2" t="s">
        <v>30</v>
      </c>
      <c r="F121" s="2">
        <v>37217</v>
      </c>
      <c r="G121" s="2" t="s">
        <v>64</v>
      </c>
      <c r="H121" t="s">
        <v>2707</v>
      </c>
      <c r="I121" s="6">
        <v>33361</v>
      </c>
      <c r="J121" s="2" t="s">
        <v>7324</v>
      </c>
      <c r="K121" s="2">
        <v>73000</v>
      </c>
      <c r="L121" t="s">
        <v>2689</v>
      </c>
      <c r="M121" t="s">
        <v>29</v>
      </c>
      <c r="N121" t="s">
        <v>30</v>
      </c>
      <c r="O121">
        <v>37214</v>
      </c>
      <c r="P121" t="s">
        <v>7325</v>
      </c>
      <c r="Q121" s="2">
        <v>0.5</v>
      </c>
      <c r="R121" s="2">
        <v>79</v>
      </c>
      <c r="S121" s="2">
        <v>224</v>
      </c>
      <c r="T121" t="s">
        <v>7326</v>
      </c>
      <c r="U121" s="6">
        <v>23601</v>
      </c>
      <c r="V121" s="2">
        <v>47037015613</v>
      </c>
      <c r="W121" s="2" t="s">
        <v>68</v>
      </c>
      <c r="X121" s="1">
        <v>45658</v>
      </c>
      <c r="Y121" s="2">
        <v>106300</v>
      </c>
      <c r="Z121" s="2">
        <v>0</v>
      </c>
      <c r="AA121" s="2">
        <v>106300</v>
      </c>
    </row>
    <row r="122" spans="1:27" x14ac:dyDescent="0.3">
      <c r="A122" s="3">
        <v>28</v>
      </c>
      <c r="B122" s="2" t="str">
        <f>"13501005000"</f>
        <v>13501005000</v>
      </c>
      <c r="C122" s="2" t="s">
        <v>7327</v>
      </c>
      <c r="D122" t="s">
        <v>29</v>
      </c>
      <c r="E122" s="2" t="s">
        <v>30</v>
      </c>
      <c r="F122" s="2">
        <v>37217</v>
      </c>
      <c r="G122" s="2" t="s">
        <v>64</v>
      </c>
      <c r="H122" t="s">
        <v>2707</v>
      </c>
      <c r="I122" s="6">
        <v>33388</v>
      </c>
      <c r="J122" s="2" t="s">
        <v>7328</v>
      </c>
      <c r="K122" s="2">
        <v>74000</v>
      </c>
      <c r="L122" t="s">
        <v>2689</v>
      </c>
      <c r="M122" t="s">
        <v>29</v>
      </c>
      <c r="N122" t="s">
        <v>30</v>
      </c>
      <c r="O122">
        <v>37214</v>
      </c>
      <c r="P122" t="s">
        <v>7329</v>
      </c>
      <c r="Q122" s="2">
        <v>0.31</v>
      </c>
      <c r="R122" s="2">
        <v>60</v>
      </c>
      <c r="S122" s="2">
        <v>195</v>
      </c>
      <c r="T122" t="s">
        <v>7330</v>
      </c>
      <c r="U122" s="6">
        <v>24677</v>
      </c>
      <c r="V122" s="2">
        <v>47037015613</v>
      </c>
      <c r="W122" s="2" t="s">
        <v>68</v>
      </c>
      <c r="X122" s="1">
        <v>45658</v>
      </c>
      <c r="Y122" s="2">
        <v>85000</v>
      </c>
      <c r="Z122" s="2">
        <v>0</v>
      </c>
      <c r="AA122" s="2">
        <v>85000</v>
      </c>
    </row>
    <row r="123" spans="1:27" x14ac:dyDescent="0.3">
      <c r="A123" s="3">
        <v>28</v>
      </c>
      <c r="B123" s="2" t="str">
        <f>"13404003500"</f>
        <v>13404003500</v>
      </c>
      <c r="C123" s="2" t="s">
        <v>7331</v>
      </c>
      <c r="D123" t="s">
        <v>29</v>
      </c>
      <c r="E123" s="2" t="s">
        <v>30</v>
      </c>
      <c r="F123" s="2">
        <v>37217</v>
      </c>
      <c r="G123" s="2" t="s">
        <v>64</v>
      </c>
      <c r="H123" t="s">
        <v>2707</v>
      </c>
      <c r="I123" s="6">
        <v>38611</v>
      </c>
      <c r="J123" s="2" t="s">
        <v>7332</v>
      </c>
      <c r="K123" s="2">
        <v>25000</v>
      </c>
      <c r="L123" t="s">
        <v>2689</v>
      </c>
      <c r="M123" t="s">
        <v>29</v>
      </c>
      <c r="N123" t="s">
        <v>30</v>
      </c>
      <c r="O123">
        <v>37214</v>
      </c>
      <c r="P123" t="s">
        <v>7333</v>
      </c>
      <c r="Q123" s="2">
        <v>0.91</v>
      </c>
      <c r="R123" s="2">
        <v>136</v>
      </c>
      <c r="S123" s="2">
        <v>324</v>
      </c>
      <c r="T123" t="s">
        <v>7334</v>
      </c>
      <c r="U123" s="6">
        <v>23572</v>
      </c>
      <c r="V123" s="2">
        <v>47037015613</v>
      </c>
      <c r="W123" s="2" t="s">
        <v>68</v>
      </c>
      <c r="X123" s="1">
        <v>45658</v>
      </c>
      <c r="Y123" s="2">
        <v>1300</v>
      </c>
      <c r="Z123" s="2">
        <v>0</v>
      </c>
      <c r="AA123" s="2">
        <v>1300</v>
      </c>
    </row>
    <row r="124" spans="1:27" x14ac:dyDescent="0.3">
      <c r="A124" s="3">
        <v>28</v>
      </c>
      <c r="B124" s="2" t="str">
        <f>"13404004000"</f>
        <v>13404004000</v>
      </c>
      <c r="C124" s="2" t="s">
        <v>7335</v>
      </c>
      <c r="D124" t="s">
        <v>29</v>
      </c>
      <c r="E124" s="2" t="s">
        <v>30</v>
      </c>
      <c r="F124" s="2">
        <v>37217</v>
      </c>
      <c r="G124" s="2" t="s">
        <v>64</v>
      </c>
      <c r="H124" t="s">
        <v>2707</v>
      </c>
      <c r="I124" s="6">
        <v>33946</v>
      </c>
      <c r="J124" s="2" t="s">
        <v>7336</v>
      </c>
      <c r="K124" s="2" t="s">
        <v>34</v>
      </c>
      <c r="L124" t="s">
        <v>2689</v>
      </c>
      <c r="M124" t="s">
        <v>29</v>
      </c>
      <c r="N124" t="s">
        <v>30</v>
      </c>
      <c r="O124">
        <v>37214</v>
      </c>
      <c r="P124" t="s">
        <v>7337</v>
      </c>
      <c r="Q124" s="2">
        <v>0.5</v>
      </c>
      <c r="R124" s="2">
        <v>66</v>
      </c>
      <c r="S124" s="2">
        <v>275</v>
      </c>
      <c r="T124" t="s">
        <v>7338</v>
      </c>
      <c r="U124" s="6">
        <v>23042</v>
      </c>
      <c r="V124" s="2">
        <v>47037015613</v>
      </c>
      <c r="W124" s="2" t="s">
        <v>68</v>
      </c>
      <c r="X124" s="1">
        <v>45658</v>
      </c>
      <c r="Y124" s="2">
        <v>106300</v>
      </c>
      <c r="Z124" s="2">
        <v>0</v>
      </c>
      <c r="AA124" s="2">
        <v>106300</v>
      </c>
    </row>
    <row r="125" spans="1:27" x14ac:dyDescent="0.3">
      <c r="A125" s="3">
        <v>28</v>
      </c>
      <c r="B125" s="2" t="str">
        <f>"13501004900"</f>
        <v>13501004900</v>
      </c>
      <c r="C125" s="2" t="s">
        <v>7339</v>
      </c>
      <c r="D125" t="s">
        <v>29</v>
      </c>
      <c r="E125" s="2" t="s">
        <v>30</v>
      </c>
      <c r="F125" s="2">
        <v>37217</v>
      </c>
      <c r="G125" s="2" t="s">
        <v>64</v>
      </c>
      <c r="H125" t="s">
        <v>2707</v>
      </c>
      <c r="I125" s="6">
        <v>33399</v>
      </c>
      <c r="J125" s="2" t="s">
        <v>7340</v>
      </c>
      <c r="K125" s="2">
        <v>74000</v>
      </c>
      <c r="L125" t="s">
        <v>2689</v>
      </c>
      <c r="M125" t="s">
        <v>29</v>
      </c>
      <c r="N125" t="s">
        <v>30</v>
      </c>
      <c r="O125">
        <v>37214</v>
      </c>
      <c r="P125" t="s">
        <v>7341</v>
      </c>
      <c r="Q125" s="2">
        <v>0.34</v>
      </c>
      <c r="R125" s="2">
        <v>68</v>
      </c>
      <c r="S125" s="2">
        <v>183</v>
      </c>
      <c r="T125" t="s">
        <v>7342</v>
      </c>
      <c r="U125" s="6">
        <v>23223</v>
      </c>
      <c r="V125" s="2">
        <v>47037015613</v>
      </c>
      <c r="W125" s="2" t="s">
        <v>68</v>
      </c>
      <c r="X125" s="1">
        <v>45658</v>
      </c>
      <c r="Y125" s="2">
        <v>85000</v>
      </c>
      <c r="Z125" s="2">
        <v>0</v>
      </c>
      <c r="AA125" s="2">
        <v>85000</v>
      </c>
    </row>
    <row r="126" spans="1:27" x14ac:dyDescent="0.3">
      <c r="A126" s="3">
        <v>28</v>
      </c>
      <c r="B126" s="2" t="str">
        <f>"13404003900"</f>
        <v>13404003900</v>
      </c>
      <c r="C126" s="2" t="s">
        <v>7343</v>
      </c>
      <c r="D126" t="s">
        <v>29</v>
      </c>
      <c r="E126" s="2" t="s">
        <v>30</v>
      </c>
      <c r="F126" s="2">
        <v>37217</v>
      </c>
      <c r="G126" s="2" t="s">
        <v>64</v>
      </c>
      <c r="H126" t="s">
        <v>2707</v>
      </c>
      <c r="I126" s="6">
        <v>33611</v>
      </c>
      <c r="J126" s="2" t="s">
        <v>7344</v>
      </c>
      <c r="K126" s="2" t="s">
        <v>34</v>
      </c>
      <c r="L126" t="s">
        <v>2689</v>
      </c>
      <c r="M126" t="s">
        <v>29</v>
      </c>
      <c r="N126" t="s">
        <v>30</v>
      </c>
      <c r="O126">
        <v>37214</v>
      </c>
      <c r="P126" t="s">
        <v>7345</v>
      </c>
      <c r="Q126" s="2">
        <v>0.64</v>
      </c>
      <c r="R126" s="2">
        <v>60</v>
      </c>
      <c r="S126" s="2">
        <v>320</v>
      </c>
      <c r="T126" t="s">
        <v>7346</v>
      </c>
      <c r="U126" s="6">
        <v>26886</v>
      </c>
      <c r="V126" s="2">
        <v>47037015613</v>
      </c>
      <c r="W126" s="2" t="s">
        <v>68</v>
      </c>
      <c r="X126" s="1">
        <v>45658</v>
      </c>
      <c r="Y126" s="2">
        <v>106300</v>
      </c>
      <c r="Z126" s="2">
        <v>0</v>
      </c>
      <c r="AA126" s="2">
        <v>106300</v>
      </c>
    </row>
    <row r="127" spans="1:27" x14ac:dyDescent="0.3">
      <c r="A127" s="3">
        <v>28</v>
      </c>
      <c r="B127" s="2" t="str">
        <f>"13501004500"</f>
        <v>13501004500</v>
      </c>
      <c r="C127" s="2" t="s">
        <v>7347</v>
      </c>
      <c r="D127" t="s">
        <v>29</v>
      </c>
      <c r="E127" s="2" t="s">
        <v>30</v>
      </c>
      <c r="F127" s="2">
        <v>37217</v>
      </c>
      <c r="G127" s="2" t="s">
        <v>64</v>
      </c>
      <c r="H127" t="s">
        <v>2707</v>
      </c>
      <c r="I127" s="6">
        <v>33382</v>
      </c>
      <c r="J127" s="2" t="s">
        <v>7348</v>
      </c>
      <c r="K127" s="2">
        <v>71000</v>
      </c>
      <c r="L127" t="s">
        <v>2689</v>
      </c>
      <c r="M127" t="s">
        <v>29</v>
      </c>
      <c r="N127" t="s">
        <v>30</v>
      </c>
      <c r="O127">
        <v>37214</v>
      </c>
      <c r="P127" t="s">
        <v>7349</v>
      </c>
      <c r="Q127" s="2">
        <v>0.31</v>
      </c>
      <c r="R127" s="2">
        <v>112</v>
      </c>
      <c r="S127" s="2">
        <v>195</v>
      </c>
      <c r="T127" t="s">
        <v>7350</v>
      </c>
      <c r="U127" s="6">
        <v>22948</v>
      </c>
      <c r="V127" s="2">
        <v>47037015613</v>
      </c>
      <c r="W127" s="2" t="s">
        <v>68</v>
      </c>
      <c r="X127" s="1">
        <v>45658</v>
      </c>
      <c r="Y127" s="2">
        <v>85000</v>
      </c>
      <c r="Z127" s="2">
        <v>0</v>
      </c>
      <c r="AA127" s="2">
        <v>85000</v>
      </c>
    </row>
    <row r="128" spans="1:27" x14ac:dyDescent="0.3">
      <c r="A128" s="3">
        <v>28</v>
      </c>
      <c r="B128" s="2" t="str">
        <f>"13404003600"</f>
        <v>13404003600</v>
      </c>
      <c r="C128" s="2" t="s">
        <v>7351</v>
      </c>
      <c r="D128" t="s">
        <v>29</v>
      </c>
      <c r="E128" s="2" t="s">
        <v>30</v>
      </c>
      <c r="F128" s="2">
        <v>37217</v>
      </c>
      <c r="G128" s="2" t="s">
        <v>64</v>
      </c>
      <c r="H128" t="s">
        <v>2707</v>
      </c>
      <c r="I128" s="6">
        <v>33340</v>
      </c>
      <c r="J128" s="2" t="s">
        <v>7352</v>
      </c>
      <c r="K128" s="2">
        <v>71000</v>
      </c>
      <c r="L128" t="s">
        <v>2689</v>
      </c>
      <c r="M128" t="s">
        <v>29</v>
      </c>
      <c r="N128" t="s">
        <v>30</v>
      </c>
      <c r="O128">
        <v>37214</v>
      </c>
      <c r="P128" t="s">
        <v>7353</v>
      </c>
      <c r="Q128" s="2">
        <v>0.88</v>
      </c>
      <c r="R128" s="2">
        <v>133</v>
      </c>
      <c r="S128" s="2">
        <v>324</v>
      </c>
      <c r="T128" t="s">
        <v>7354</v>
      </c>
      <c r="U128" s="6">
        <v>24315</v>
      </c>
      <c r="V128" s="2">
        <v>47037015613</v>
      </c>
      <c r="W128" s="2" t="s">
        <v>68</v>
      </c>
      <c r="X128" s="1">
        <v>45658</v>
      </c>
      <c r="Y128" s="2">
        <v>106300</v>
      </c>
      <c r="Z128" s="2">
        <v>0</v>
      </c>
      <c r="AA128" s="2">
        <v>106300</v>
      </c>
    </row>
    <row r="129" spans="1:27" x14ac:dyDescent="0.3">
      <c r="A129" s="3">
        <v>28</v>
      </c>
      <c r="B129" s="2" t="str">
        <f>"13404003800"</f>
        <v>13404003800</v>
      </c>
      <c r="C129" s="2" t="s">
        <v>7355</v>
      </c>
      <c r="D129" t="s">
        <v>29</v>
      </c>
      <c r="E129" s="2" t="s">
        <v>30</v>
      </c>
      <c r="F129" s="2">
        <v>37217</v>
      </c>
      <c r="G129" s="2" t="s">
        <v>64</v>
      </c>
      <c r="H129" t="s">
        <v>2707</v>
      </c>
      <c r="I129" s="6">
        <v>33352</v>
      </c>
      <c r="J129" s="2" t="s">
        <v>7356</v>
      </c>
      <c r="K129" s="2">
        <v>89000</v>
      </c>
      <c r="L129" t="s">
        <v>2689</v>
      </c>
      <c r="M129" t="s">
        <v>29</v>
      </c>
      <c r="N129" t="s">
        <v>30</v>
      </c>
      <c r="O129">
        <v>37214</v>
      </c>
      <c r="P129" t="s">
        <v>7357</v>
      </c>
      <c r="Q129" s="2">
        <v>0.61</v>
      </c>
      <c r="R129" s="2">
        <v>60</v>
      </c>
      <c r="S129" s="2">
        <v>320</v>
      </c>
      <c r="T129" t="s">
        <v>7358</v>
      </c>
      <c r="U129" s="6">
        <v>23117</v>
      </c>
      <c r="V129" s="2">
        <v>47037015613</v>
      </c>
      <c r="W129" s="2" t="s">
        <v>68</v>
      </c>
      <c r="X129" s="1">
        <v>45658</v>
      </c>
      <c r="Y129" s="2">
        <v>106300</v>
      </c>
      <c r="Z129" s="2">
        <v>0</v>
      </c>
      <c r="AA129" s="2">
        <v>106300</v>
      </c>
    </row>
    <row r="130" spans="1:27" x14ac:dyDescent="0.3">
      <c r="A130" s="3">
        <v>28</v>
      </c>
      <c r="B130" s="2" t="str">
        <f>"13501004400"</f>
        <v>13501004400</v>
      </c>
      <c r="C130" s="2" t="s">
        <v>7359</v>
      </c>
      <c r="D130" t="s">
        <v>29</v>
      </c>
      <c r="E130" s="2" t="s">
        <v>30</v>
      </c>
      <c r="F130" s="2">
        <v>37217</v>
      </c>
      <c r="G130" s="2" t="s">
        <v>64</v>
      </c>
      <c r="H130" t="s">
        <v>2707</v>
      </c>
      <c r="I130" s="6">
        <v>33322</v>
      </c>
      <c r="J130" s="2" t="s">
        <v>7360</v>
      </c>
      <c r="K130" s="2">
        <v>55000</v>
      </c>
      <c r="L130" t="s">
        <v>2689</v>
      </c>
      <c r="M130" t="s">
        <v>29</v>
      </c>
      <c r="N130" t="s">
        <v>30</v>
      </c>
      <c r="O130">
        <v>37214</v>
      </c>
      <c r="P130" t="s">
        <v>7361</v>
      </c>
      <c r="Q130" s="2">
        <v>0.35</v>
      </c>
      <c r="R130" s="2">
        <v>129</v>
      </c>
      <c r="S130" s="2">
        <v>195</v>
      </c>
      <c r="T130" t="s">
        <v>7362</v>
      </c>
      <c r="U130" s="6">
        <v>24545</v>
      </c>
      <c r="V130" s="2">
        <v>47037015613</v>
      </c>
      <c r="W130" s="2" t="s">
        <v>68</v>
      </c>
      <c r="X130" s="1">
        <v>45658</v>
      </c>
      <c r="Y130" s="2">
        <v>85000</v>
      </c>
      <c r="Z130" s="2">
        <v>0</v>
      </c>
      <c r="AA130" s="2">
        <v>85000</v>
      </c>
    </row>
    <row r="131" spans="1:27" x14ac:dyDescent="0.3">
      <c r="A131" s="3">
        <v>28</v>
      </c>
      <c r="B131" s="2" t="str">
        <f>"13408001500"</f>
        <v>13408001500</v>
      </c>
      <c r="C131" s="2" t="s">
        <v>7363</v>
      </c>
      <c r="D131" t="s">
        <v>29</v>
      </c>
      <c r="E131" s="2" t="s">
        <v>30</v>
      </c>
      <c r="F131" s="2">
        <v>37217</v>
      </c>
      <c r="G131" s="2" t="s">
        <v>64</v>
      </c>
      <c r="H131" t="s">
        <v>2707</v>
      </c>
      <c r="I131" s="6">
        <v>33311</v>
      </c>
      <c r="J131" s="2" t="s">
        <v>7364</v>
      </c>
      <c r="K131" s="2">
        <v>70500</v>
      </c>
      <c r="L131" t="s">
        <v>2689</v>
      </c>
      <c r="M131" t="s">
        <v>29</v>
      </c>
      <c r="N131" t="s">
        <v>30</v>
      </c>
      <c r="O131">
        <v>37214</v>
      </c>
      <c r="P131" t="s">
        <v>7365</v>
      </c>
      <c r="Q131" s="2">
        <v>0.51</v>
      </c>
      <c r="R131" s="2">
        <v>82</v>
      </c>
      <c r="S131" s="2">
        <v>368</v>
      </c>
      <c r="T131" t="s">
        <v>7366</v>
      </c>
      <c r="U131" s="6">
        <v>25175</v>
      </c>
      <c r="V131" s="2">
        <v>47037015613</v>
      </c>
      <c r="W131" s="2" t="s">
        <v>68</v>
      </c>
      <c r="X131" s="1">
        <v>45658</v>
      </c>
      <c r="Y131" s="2">
        <v>106300</v>
      </c>
      <c r="Z131" s="2">
        <v>0</v>
      </c>
      <c r="AA131" s="2">
        <v>106300</v>
      </c>
    </row>
    <row r="132" spans="1:27" x14ac:dyDescent="0.3">
      <c r="A132" s="3">
        <v>28</v>
      </c>
      <c r="B132" s="2" t="str">
        <f>"13408001300"</f>
        <v>13408001300</v>
      </c>
      <c r="C132" s="2" t="s">
        <v>7367</v>
      </c>
      <c r="D132" t="s">
        <v>29</v>
      </c>
      <c r="E132" s="2" t="s">
        <v>30</v>
      </c>
      <c r="F132" s="2">
        <v>37217</v>
      </c>
      <c r="G132" s="2" t="s">
        <v>64</v>
      </c>
      <c r="H132" t="s">
        <v>2707</v>
      </c>
      <c r="I132" s="6">
        <v>33417</v>
      </c>
      <c r="J132" s="2" t="s">
        <v>7368</v>
      </c>
      <c r="K132" s="2">
        <v>87000</v>
      </c>
      <c r="L132" t="s">
        <v>2689</v>
      </c>
      <c r="M132" t="s">
        <v>29</v>
      </c>
      <c r="N132" t="s">
        <v>30</v>
      </c>
      <c r="O132">
        <v>37214</v>
      </c>
      <c r="P132" t="s">
        <v>7369</v>
      </c>
      <c r="Q132" s="2">
        <v>1.17</v>
      </c>
      <c r="R132" s="2">
        <v>161</v>
      </c>
      <c r="S132" s="2">
        <v>256</v>
      </c>
      <c r="T132" t="s">
        <v>7370</v>
      </c>
      <c r="U132" s="6">
        <v>22976</v>
      </c>
      <c r="V132" s="2">
        <v>47037015613</v>
      </c>
      <c r="W132" s="2" t="s">
        <v>68</v>
      </c>
      <c r="X132" s="1">
        <v>45658</v>
      </c>
      <c r="Y132" s="2">
        <v>119100</v>
      </c>
      <c r="Z132" s="2">
        <v>0</v>
      </c>
      <c r="AA132" s="2">
        <v>119100</v>
      </c>
    </row>
    <row r="133" spans="1:27" x14ac:dyDescent="0.3">
      <c r="A133" s="3">
        <v>28</v>
      </c>
      <c r="B133" s="2" t="str">
        <f>"13404003700"</f>
        <v>13404003700</v>
      </c>
      <c r="C133" s="2" t="s">
        <v>7371</v>
      </c>
      <c r="D133" t="s">
        <v>29</v>
      </c>
      <c r="E133" s="2" t="s">
        <v>30</v>
      </c>
      <c r="F133" s="2">
        <v>37217</v>
      </c>
      <c r="G133" s="2" t="s">
        <v>64</v>
      </c>
      <c r="H133" t="s">
        <v>2707</v>
      </c>
      <c r="I133" s="6">
        <v>33337</v>
      </c>
      <c r="J133" s="2" t="s">
        <v>7372</v>
      </c>
      <c r="K133" s="2">
        <v>65000</v>
      </c>
      <c r="L133" t="s">
        <v>2689</v>
      </c>
      <c r="M133" t="s">
        <v>29</v>
      </c>
      <c r="N133" t="s">
        <v>30</v>
      </c>
      <c r="O133">
        <v>37214</v>
      </c>
      <c r="P133" t="s">
        <v>7373</v>
      </c>
      <c r="Q133" s="2">
        <v>0.45</v>
      </c>
      <c r="R133" s="2">
        <v>60</v>
      </c>
      <c r="S133" s="2">
        <v>275</v>
      </c>
      <c r="T133" t="s">
        <v>7374</v>
      </c>
      <c r="U133" s="6">
        <v>23076</v>
      </c>
      <c r="V133" s="2">
        <v>47037015613</v>
      </c>
      <c r="W133" s="2" t="s">
        <v>68</v>
      </c>
      <c r="X133" s="1">
        <v>45658</v>
      </c>
      <c r="Y133" s="2">
        <v>85000</v>
      </c>
      <c r="Z133" s="2">
        <v>0</v>
      </c>
      <c r="AA133" s="2">
        <v>85000</v>
      </c>
    </row>
    <row r="134" spans="1:27" x14ac:dyDescent="0.3">
      <c r="A134" s="3">
        <v>28</v>
      </c>
      <c r="B134" s="2" t="str">
        <f>"13408001600"</f>
        <v>13408001600</v>
      </c>
      <c r="C134" s="2" t="s">
        <v>7375</v>
      </c>
      <c r="D134" t="s">
        <v>29</v>
      </c>
      <c r="E134" s="2" t="s">
        <v>30</v>
      </c>
      <c r="F134" s="2">
        <v>37217</v>
      </c>
      <c r="G134" s="2" t="s">
        <v>64</v>
      </c>
      <c r="H134" t="s">
        <v>2707</v>
      </c>
      <c r="I134" s="6">
        <v>33480</v>
      </c>
      <c r="J134" s="2" t="s">
        <v>7376</v>
      </c>
      <c r="K134" s="2">
        <v>72000</v>
      </c>
      <c r="L134" t="s">
        <v>2689</v>
      </c>
      <c r="M134" t="s">
        <v>29</v>
      </c>
      <c r="N134" t="s">
        <v>30</v>
      </c>
      <c r="O134">
        <v>37214</v>
      </c>
      <c r="P134" t="s">
        <v>7377</v>
      </c>
      <c r="Q134" s="2">
        <v>0.51</v>
      </c>
      <c r="R134" s="2">
        <v>82</v>
      </c>
      <c r="S134" s="2">
        <v>315</v>
      </c>
      <c r="T134" t="s">
        <v>7378</v>
      </c>
      <c r="U134" s="6">
        <v>26802</v>
      </c>
      <c r="V134" s="2">
        <v>47037015613</v>
      </c>
      <c r="W134" s="2" t="s">
        <v>68</v>
      </c>
      <c r="X134" s="1">
        <v>45658</v>
      </c>
      <c r="Y134" s="2">
        <v>106300</v>
      </c>
      <c r="Z134" s="2">
        <v>0</v>
      </c>
      <c r="AA134" s="2">
        <v>106300</v>
      </c>
    </row>
    <row r="135" spans="1:27" x14ac:dyDescent="0.3">
      <c r="A135" s="3">
        <v>28</v>
      </c>
      <c r="B135" s="2" t="str">
        <f>"13505000100"</f>
        <v>13505000100</v>
      </c>
      <c r="C135" s="2" t="s">
        <v>7379</v>
      </c>
      <c r="D135" t="s">
        <v>29</v>
      </c>
      <c r="E135" s="2" t="s">
        <v>30</v>
      </c>
      <c r="F135" s="2">
        <v>37217</v>
      </c>
      <c r="G135" s="2" t="s">
        <v>64</v>
      </c>
      <c r="H135" t="s">
        <v>2707</v>
      </c>
      <c r="I135" s="6">
        <v>33876</v>
      </c>
      <c r="J135" s="2" t="s">
        <v>7380</v>
      </c>
      <c r="K135" s="2" t="s">
        <v>34</v>
      </c>
      <c r="L135" t="s">
        <v>2689</v>
      </c>
      <c r="M135" t="s">
        <v>29</v>
      </c>
      <c r="N135" t="s">
        <v>30</v>
      </c>
      <c r="O135">
        <v>37214</v>
      </c>
      <c r="P135" t="s">
        <v>7381</v>
      </c>
      <c r="Q135" s="2">
        <v>0.34</v>
      </c>
      <c r="R135" s="2">
        <v>135</v>
      </c>
      <c r="S135" s="2">
        <v>185</v>
      </c>
      <c r="T135" t="s">
        <v>7382</v>
      </c>
      <c r="U135" s="6">
        <v>26931</v>
      </c>
      <c r="V135" s="2">
        <v>47037015613</v>
      </c>
      <c r="W135" s="2" t="s">
        <v>68</v>
      </c>
      <c r="X135" s="1">
        <v>45658</v>
      </c>
      <c r="Y135" s="2">
        <v>85000</v>
      </c>
      <c r="Z135" s="2">
        <v>0</v>
      </c>
      <c r="AA135" s="2">
        <v>85000</v>
      </c>
    </row>
    <row r="136" spans="1:27" x14ac:dyDescent="0.3">
      <c r="A136" s="3">
        <v>28</v>
      </c>
      <c r="B136" s="2" t="str">
        <f>"13505000300"</f>
        <v>13505000300</v>
      </c>
      <c r="C136" s="2" t="s">
        <v>7383</v>
      </c>
      <c r="D136" t="s">
        <v>29</v>
      </c>
      <c r="E136" s="2" t="s">
        <v>30</v>
      </c>
      <c r="F136" s="2">
        <v>37217</v>
      </c>
      <c r="G136" s="2" t="s">
        <v>64</v>
      </c>
      <c r="H136" t="s">
        <v>2707</v>
      </c>
      <c r="I136" s="6">
        <v>33458</v>
      </c>
      <c r="J136" s="2" t="s">
        <v>7384</v>
      </c>
      <c r="K136" s="2">
        <v>65500</v>
      </c>
      <c r="L136" t="s">
        <v>2689</v>
      </c>
      <c r="M136" t="s">
        <v>29</v>
      </c>
      <c r="N136" t="s">
        <v>30</v>
      </c>
      <c r="O136">
        <v>37214</v>
      </c>
      <c r="P136" t="s">
        <v>7385</v>
      </c>
      <c r="Q136" s="2">
        <v>0.22</v>
      </c>
      <c r="R136" s="2">
        <v>77</v>
      </c>
      <c r="S136" s="2">
        <v>153</v>
      </c>
      <c r="T136" t="s">
        <v>7378</v>
      </c>
      <c r="U136" s="6">
        <v>26802</v>
      </c>
      <c r="V136" s="2">
        <v>47037015613</v>
      </c>
      <c r="W136" s="2" t="s">
        <v>68</v>
      </c>
      <c r="X136" s="1">
        <v>45658</v>
      </c>
      <c r="Y136" s="2">
        <v>76500</v>
      </c>
      <c r="Z136" s="2">
        <v>0</v>
      </c>
      <c r="AA136" s="2">
        <v>76500</v>
      </c>
    </row>
    <row r="137" spans="1:27" x14ac:dyDescent="0.3">
      <c r="A137" s="3">
        <v>28</v>
      </c>
      <c r="B137" s="2" t="str">
        <f>"13408001700"</f>
        <v>13408001700</v>
      </c>
      <c r="C137" s="2" t="s">
        <v>7386</v>
      </c>
      <c r="D137" t="s">
        <v>29</v>
      </c>
      <c r="E137" s="2" t="s">
        <v>30</v>
      </c>
      <c r="F137" s="2">
        <v>37217</v>
      </c>
      <c r="G137" s="2" t="s">
        <v>64</v>
      </c>
      <c r="H137" t="s">
        <v>2707</v>
      </c>
      <c r="I137" s="6">
        <v>33392</v>
      </c>
      <c r="J137" s="2" t="s">
        <v>7387</v>
      </c>
      <c r="K137" s="2">
        <v>75000</v>
      </c>
      <c r="L137" t="s">
        <v>2689</v>
      </c>
      <c r="M137" t="s">
        <v>29</v>
      </c>
      <c r="N137" t="s">
        <v>30</v>
      </c>
      <c r="O137">
        <v>37214</v>
      </c>
      <c r="P137" t="s">
        <v>7388</v>
      </c>
      <c r="Q137" s="2">
        <v>0.68</v>
      </c>
      <c r="R137" s="2">
        <v>173</v>
      </c>
      <c r="S137" s="2">
        <v>254</v>
      </c>
      <c r="T137" t="s">
        <v>7389</v>
      </c>
      <c r="U137" s="6">
        <v>24442</v>
      </c>
      <c r="V137" s="2">
        <v>47037015613</v>
      </c>
      <c r="W137" s="2" t="s">
        <v>68</v>
      </c>
      <c r="X137" s="1">
        <v>45658</v>
      </c>
      <c r="Y137" s="2">
        <v>106300</v>
      </c>
      <c r="Z137" s="2">
        <v>0</v>
      </c>
      <c r="AA137" s="2">
        <v>106300</v>
      </c>
    </row>
    <row r="138" spans="1:27" x14ac:dyDescent="0.3">
      <c r="A138" s="3">
        <v>28</v>
      </c>
      <c r="B138" s="2" t="str">
        <f>"13408001900"</f>
        <v>13408001900</v>
      </c>
      <c r="C138" s="2" t="s">
        <v>7390</v>
      </c>
      <c r="D138" t="s">
        <v>29</v>
      </c>
      <c r="E138" s="2" t="s">
        <v>30</v>
      </c>
      <c r="F138" s="2">
        <v>37217</v>
      </c>
      <c r="G138" s="2" t="s">
        <v>64</v>
      </c>
      <c r="H138" t="s">
        <v>2707</v>
      </c>
      <c r="I138" s="6">
        <v>33311</v>
      </c>
      <c r="J138" s="2" t="s">
        <v>7391</v>
      </c>
      <c r="K138" s="2">
        <v>66000</v>
      </c>
      <c r="L138" t="s">
        <v>2689</v>
      </c>
      <c r="M138" t="s">
        <v>29</v>
      </c>
      <c r="N138" t="s">
        <v>30</v>
      </c>
      <c r="O138">
        <v>37214</v>
      </c>
      <c r="P138" t="s">
        <v>7392</v>
      </c>
      <c r="Q138" s="2">
        <v>0.36</v>
      </c>
      <c r="R138" s="2">
        <v>86</v>
      </c>
      <c r="S138" s="2">
        <v>192</v>
      </c>
      <c r="T138" t="s">
        <v>7393</v>
      </c>
      <c r="U138" s="6">
        <v>23208</v>
      </c>
      <c r="V138" s="2">
        <v>47037015613</v>
      </c>
      <c r="W138" s="2" t="s">
        <v>68</v>
      </c>
      <c r="X138" s="1">
        <v>45658</v>
      </c>
      <c r="Y138" s="2">
        <v>85000</v>
      </c>
      <c r="Z138" s="2">
        <v>0</v>
      </c>
      <c r="AA138" s="2">
        <v>85000</v>
      </c>
    </row>
    <row r="139" spans="1:27" x14ac:dyDescent="0.3">
      <c r="A139" s="3">
        <v>28</v>
      </c>
      <c r="B139" s="2" t="str">
        <f>"13505000200"</f>
        <v>13505000200</v>
      </c>
      <c r="C139" s="2" t="s">
        <v>7394</v>
      </c>
      <c r="D139" t="s">
        <v>29</v>
      </c>
      <c r="E139" s="2" t="s">
        <v>30</v>
      </c>
      <c r="F139" s="2">
        <v>37217</v>
      </c>
      <c r="G139" s="2" t="s">
        <v>64</v>
      </c>
      <c r="H139" t="s">
        <v>2707</v>
      </c>
      <c r="I139" s="6">
        <v>33555</v>
      </c>
      <c r="J139" s="2" t="s">
        <v>7395</v>
      </c>
      <c r="K139" s="2">
        <v>54000</v>
      </c>
      <c r="L139" t="s">
        <v>2689</v>
      </c>
      <c r="M139" t="s">
        <v>29</v>
      </c>
      <c r="N139" t="s">
        <v>30</v>
      </c>
      <c r="O139">
        <v>37214</v>
      </c>
      <c r="P139" t="s">
        <v>7396</v>
      </c>
      <c r="Q139" s="2">
        <v>0.39</v>
      </c>
      <c r="R139" s="2">
        <v>123</v>
      </c>
      <c r="S139" s="2">
        <v>124</v>
      </c>
      <c r="T139" t="s">
        <v>7397</v>
      </c>
      <c r="U139" s="6">
        <v>23539</v>
      </c>
      <c r="V139" s="2">
        <v>47037015613</v>
      </c>
      <c r="W139" s="2" t="s">
        <v>68</v>
      </c>
      <c r="X139" s="1">
        <v>45658</v>
      </c>
      <c r="Y139" s="2">
        <v>85000</v>
      </c>
      <c r="Z139" s="2">
        <v>0</v>
      </c>
      <c r="AA139" s="2">
        <v>85000</v>
      </c>
    </row>
    <row r="140" spans="1:27" x14ac:dyDescent="0.3">
      <c r="A140" s="3">
        <v>28</v>
      </c>
      <c r="B140" s="2" t="str">
        <f>"13408001800"</f>
        <v>13408001800</v>
      </c>
      <c r="C140" s="2" t="s">
        <v>7398</v>
      </c>
      <c r="D140" t="s">
        <v>29</v>
      </c>
      <c r="E140" s="2" t="s">
        <v>30</v>
      </c>
      <c r="F140" s="2">
        <v>37217</v>
      </c>
      <c r="G140" s="2" t="s">
        <v>64</v>
      </c>
      <c r="H140" t="s">
        <v>2707</v>
      </c>
      <c r="I140" s="6">
        <v>33376</v>
      </c>
      <c r="J140" s="2" t="s">
        <v>7399</v>
      </c>
      <c r="K140" s="2">
        <v>72000</v>
      </c>
      <c r="L140" t="s">
        <v>2689</v>
      </c>
      <c r="M140" t="s">
        <v>29</v>
      </c>
      <c r="N140" t="s">
        <v>30</v>
      </c>
      <c r="O140">
        <v>37214</v>
      </c>
      <c r="P140" t="s">
        <v>7400</v>
      </c>
      <c r="Q140" s="2">
        <v>0.35</v>
      </c>
      <c r="R140" s="2">
        <v>97</v>
      </c>
      <c r="S140" s="2">
        <v>127</v>
      </c>
      <c r="T140" t="s">
        <v>7401</v>
      </c>
      <c r="U140" s="6">
        <v>22986</v>
      </c>
      <c r="V140" s="2">
        <v>47037015613</v>
      </c>
      <c r="W140" s="2" t="s">
        <v>68</v>
      </c>
      <c r="X140" s="1">
        <v>45658</v>
      </c>
      <c r="Y140" s="2">
        <v>85000</v>
      </c>
      <c r="Z140" s="2">
        <v>0</v>
      </c>
      <c r="AA140" s="2">
        <v>85000</v>
      </c>
    </row>
    <row r="141" spans="1:27" x14ac:dyDescent="0.3">
      <c r="A141" s="3">
        <v>28</v>
      </c>
      <c r="B141" s="2" t="str">
        <f>"13505000700"</f>
        <v>13505000700</v>
      </c>
      <c r="C141" s="2" t="s">
        <v>7402</v>
      </c>
      <c r="D141" t="s">
        <v>29</v>
      </c>
      <c r="E141" s="2" t="s">
        <v>30</v>
      </c>
      <c r="F141" s="2">
        <v>37217</v>
      </c>
      <c r="G141" s="2" t="s">
        <v>64</v>
      </c>
      <c r="H141" t="s">
        <v>2707</v>
      </c>
      <c r="I141" s="6">
        <v>33465</v>
      </c>
      <c r="J141" s="2" t="s">
        <v>7403</v>
      </c>
      <c r="K141" s="2">
        <v>82000</v>
      </c>
      <c r="L141" t="s">
        <v>2689</v>
      </c>
      <c r="M141" t="s">
        <v>29</v>
      </c>
      <c r="N141" t="s">
        <v>30</v>
      </c>
      <c r="O141">
        <v>37214</v>
      </c>
      <c r="P141" t="s">
        <v>7404</v>
      </c>
      <c r="Q141" s="2">
        <v>1.21</v>
      </c>
      <c r="R141" s="2">
        <v>167</v>
      </c>
      <c r="S141" s="2">
        <v>272</v>
      </c>
      <c r="T141" t="s">
        <v>7405</v>
      </c>
      <c r="U141" s="6">
        <v>27087</v>
      </c>
      <c r="V141" s="2">
        <v>47037015613</v>
      </c>
      <c r="W141" s="2" t="s">
        <v>68</v>
      </c>
      <c r="X141" s="1">
        <v>45658</v>
      </c>
      <c r="Y141" s="2">
        <v>122100</v>
      </c>
      <c r="Z141" s="2">
        <v>0</v>
      </c>
      <c r="AA141" s="2">
        <v>122100</v>
      </c>
    </row>
    <row r="142" spans="1:27" x14ac:dyDescent="0.3">
      <c r="A142" s="3">
        <v>28</v>
      </c>
      <c r="B142" s="2" t="str">
        <f>"13505000600"</f>
        <v>13505000600</v>
      </c>
      <c r="C142" s="2" t="s">
        <v>7406</v>
      </c>
      <c r="D142" t="s">
        <v>29</v>
      </c>
      <c r="E142" s="2" t="s">
        <v>30</v>
      </c>
      <c r="F142" s="2">
        <v>37217</v>
      </c>
      <c r="G142" s="2" t="s">
        <v>64</v>
      </c>
      <c r="H142" t="s">
        <v>2707</v>
      </c>
      <c r="I142" s="6">
        <v>33633</v>
      </c>
      <c r="J142" s="2" t="s">
        <v>7407</v>
      </c>
      <c r="K142" s="2">
        <v>77000</v>
      </c>
      <c r="L142" t="s">
        <v>2689</v>
      </c>
      <c r="M142" t="s">
        <v>29</v>
      </c>
      <c r="N142" t="s">
        <v>30</v>
      </c>
      <c r="O142">
        <v>37214</v>
      </c>
      <c r="P142" t="s">
        <v>7408</v>
      </c>
      <c r="Q142" s="2">
        <v>0.75</v>
      </c>
      <c r="R142" s="2">
        <v>107</v>
      </c>
      <c r="S142" s="2">
        <v>243</v>
      </c>
      <c r="T142" t="s">
        <v>7409</v>
      </c>
      <c r="U142" s="6">
        <v>23580</v>
      </c>
      <c r="V142" s="2">
        <v>47037015613</v>
      </c>
      <c r="W142" s="2" t="s">
        <v>68</v>
      </c>
      <c r="X142" s="1">
        <v>45658</v>
      </c>
      <c r="Y142" s="2">
        <v>106300</v>
      </c>
      <c r="Z142" s="2">
        <v>0</v>
      </c>
      <c r="AA142" s="2">
        <v>106300</v>
      </c>
    </row>
    <row r="143" spans="1:27" x14ac:dyDescent="0.3">
      <c r="A143" s="3">
        <v>28</v>
      </c>
      <c r="B143" s="2" t="str">
        <f>"13408002100"</f>
        <v>13408002100</v>
      </c>
      <c r="C143" s="2" t="s">
        <v>7410</v>
      </c>
      <c r="D143" t="s">
        <v>29</v>
      </c>
      <c r="E143" s="2" t="s">
        <v>30</v>
      </c>
      <c r="F143" s="2">
        <v>37217</v>
      </c>
      <c r="G143" s="2" t="s">
        <v>64</v>
      </c>
      <c r="H143" t="s">
        <v>2707</v>
      </c>
      <c r="I143" s="6">
        <v>33535</v>
      </c>
      <c r="J143" s="2" t="s">
        <v>7411</v>
      </c>
      <c r="K143" s="2">
        <v>75000</v>
      </c>
      <c r="L143" t="s">
        <v>2689</v>
      </c>
      <c r="M143" t="s">
        <v>29</v>
      </c>
      <c r="N143" t="s">
        <v>30</v>
      </c>
      <c r="O143">
        <v>37214</v>
      </c>
      <c r="P143" t="s">
        <v>7412</v>
      </c>
      <c r="Q143" s="2">
        <v>0.25</v>
      </c>
      <c r="R143" s="2">
        <v>72</v>
      </c>
      <c r="S143" s="2">
        <v>120</v>
      </c>
      <c r="T143" t="s">
        <v>7413</v>
      </c>
      <c r="U143" s="6">
        <v>24670</v>
      </c>
      <c r="V143" s="2">
        <v>47037015613</v>
      </c>
      <c r="W143" s="2" t="s">
        <v>68</v>
      </c>
      <c r="X143" s="1">
        <v>45658</v>
      </c>
      <c r="Y143" s="2">
        <v>85000</v>
      </c>
      <c r="Z143" s="2">
        <v>0</v>
      </c>
      <c r="AA143" s="2">
        <v>85000</v>
      </c>
    </row>
    <row r="144" spans="1:27" x14ac:dyDescent="0.3">
      <c r="A144" s="3">
        <v>28</v>
      </c>
      <c r="B144" s="2" t="str">
        <f>"13408003100"</f>
        <v>13408003100</v>
      </c>
      <c r="C144" s="2" t="s">
        <v>7414</v>
      </c>
      <c r="D144" t="s">
        <v>29</v>
      </c>
      <c r="E144" s="2" t="s">
        <v>30</v>
      </c>
      <c r="F144" s="2">
        <v>37217</v>
      </c>
      <c r="G144" s="2" t="s">
        <v>64</v>
      </c>
      <c r="H144" t="s">
        <v>2707</v>
      </c>
      <c r="I144" s="6">
        <v>33528</v>
      </c>
      <c r="J144" s="2" t="s">
        <v>7415</v>
      </c>
      <c r="K144" s="2">
        <v>80000</v>
      </c>
      <c r="L144" t="s">
        <v>2689</v>
      </c>
      <c r="M144" t="s">
        <v>29</v>
      </c>
      <c r="N144" t="s">
        <v>30</v>
      </c>
      <c r="O144">
        <v>37214</v>
      </c>
      <c r="P144" t="s">
        <v>7416</v>
      </c>
      <c r="Q144" s="2">
        <v>1.01</v>
      </c>
      <c r="R144" s="2">
        <v>161</v>
      </c>
      <c r="S144" s="2">
        <v>232</v>
      </c>
      <c r="T144" t="s">
        <v>7417</v>
      </c>
      <c r="U144" s="6">
        <v>25766</v>
      </c>
      <c r="V144" s="2">
        <v>47037015613</v>
      </c>
      <c r="W144" s="2" t="s">
        <v>68</v>
      </c>
      <c r="X144" s="1">
        <v>45658</v>
      </c>
      <c r="Y144" s="2">
        <v>107100</v>
      </c>
      <c r="Z144" s="2">
        <v>0</v>
      </c>
      <c r="AA144" s="2">
        <v>107100</v>
      </c>
    </row>
    <row r="145" spans="1:27" x14ac:dyDescent="0.3">
      <c r="A145" s="3">
        <v>28</v>
      </c>
      <c r="B145" s="2" t="str">
        <f>"13408002200"</f>
        <v>13408002200</v>
      </c>
      <c r="C145" s="2" t="s">
        <v>7418</v>
      </c>
      <c r="D145" t="s">
        <v>29</v>
      </c>
      <c r="E145" s="2" t="s">
        <v>30</v>
      </c>
      <c r="F145" s="2">
        <v>37217</v>
      </c>
      <c r="G145" s="2" t="s">
        <v>64</v>
      </c>
      <c r="H145" t="s">
        <v>2707</v>
      </c>
      <c r="I145" s="6">
        <v>33624</v>
      </c>
      <c r="J145" s="2" t="s">
        <v>7419</v>
      </c>
      <c r="K145" s="2" t="s">
        <v>34</v>
      </c>
      <c r="L145" t="s">
        <v>2689</v>
      </c>
      <c r="M145" t="s">
        <v>29</v>
      </c>
      <c r="N145" t="s">
        <v>30</v>
      </c>
      <c r="O145">
        <v>37214</v>
      </c>
      <c r="P145" t="s">
        <v>7420</v>
      </c>
      <c r="Q145" s="2">
        <v>0.37</v>
      </c>
      <c r="R145" s="2">
        <v>96</v>
      </c>
      <c r="S145" s="2">
        <v>138</v>
      </c>
      <c r="T145" t="s">
        <v>7421</v>
      </c>
      <c r="U145" s="6">
        <v>23609</v>
      </c>
      <c r="V145" s="2">
        <v>47037015613</v>
      </c>
      <c r="W145" s="2" t="s">
        <v>68</v>
      </c>
      <c r="X145" s="1">
        <v>45658</v>
      </c>
      <c r="Y145" s="2">
        <v>85000</v>
      </c>
      <c r="Z145" s="2">
        <v>0</v>
      </c>
      <c r="AA145" s="2">
        <v>85000</v>
      </c>
    </row>
    <row r="146" spans="1:27" x14ac:dyDescent="0.3">
      <c r="A146" s="3">
        <v>28</v>
      </c>
      <c r="B146" s="2" t="str">
        <f>"13408002400"</f>
        <v>13408002400</v>
      </c>
      <c r="C146" s="2" t="s">
        <v>7422</v>
      </c>
      <c r="D146" t="s">
        <v>29</v>
      </c>
      <c r="E146" s="2" t="s">
        <v>30</v>
      </c>
      <c r="F146" s="2">
        <v>37217</v>
      </c>
      <c r="G146" s="2" t="s">
        <v>64</v>
      </c>
      <c r="H146" t="s">
        <v>2707</v>
      </c>
      <c r="I146" s="6">
        <v>33466</v>
      </c>
      <c r="J146" s="2" t="s">
        <v>7423</v>
      </c>
      <c r="K146" s="2">
        <v>75000</v>
      </c>
      <c r="L146" t="s">
        <v>2689</v>
      </c>
      <c r="M146" t="s">
        <v>29</v>
      </c>
      <c r="N146" t="s">
        <v>30</v>
      </c>
      <c r="O146">
        <v>37214</v>
      </c>
      <c r="P146" t="s">
        <v>7424</v>
      </c>
      <c r="Q146" s="2">
        <v>0.32</v>
      </c>
      <c r="R146" s="2">
        <v>70</v>
      </c>
      <c r="S146" s="2">
        <v>207</v>
      </c>
      <c r="T146" t="s">
        <v>7425</v>
      </c>
      <c r="U146" s="6">
        <v>23141</v>
      </c>
      <c r="V146" s="2">
        <v>47037015613</v>
      </c>
      <c r="W146" s="2" t="s">
        <v>68</v>
      </c>
      <c r="X146" s="1">
        <v>45658</v>
      </c>
      <c r="Y146" s="2">
        <v>85000</v>
      </c>
      <c r="Z146" s="2">
        <v>0</v>
      </c>
      <c r="AA146" s="2">
        <v>85000</v>
      </c>
    </row>
    <row r="147" spans="1:27" x14ac:dyDescent="0.3">
      <c r="A147" s="3">
        <v>28</v>
      </c>
      <c r="B147" s="2" t="str">
        <f>"13408003000"</f>
        <v>13408003000</v>
      </c>
      <c r="C147" s="2" t="s">
        <v>7426</v>
      </c>
      <c r="D147" t="s">
        <v>29</v>
      </c>
      <c r="E147" s="2" t="s">
        <v>30</v>
      </c>
      <c r="F147" s="2">
        <v>37217</v>
      </c>
      <c r="G147" s="2" t="s">
        <v>64</v>
      </c>
      <c r="H147" t="s">
        <v>2707</v>
      </c>
      <c r="I147" s="6">
        <v>33763</v>
      </c>
      <c r="J147" s="2" t="s">
        <v>7427</v>
      </c>
      <c r="K147" s="2">
        <v>75000</v>
      </c>
      <c r="L147" t="s">
        <v>2689</v>
      </c>
      <c r="M147" t="s">
        <v>29</v>
      </c>
      <c r="N147" t="s">
        <v>30</v>
      </c>
      <c r="O147">
        <v>37214</v>
      </c>
      <c r="P147" t="s">
        <v>7428</v>
      </c>
      <c r="Q147" s="2">
        <v>1.04</v>
      </c>
      <c r="R147" s="2">
        <v>115</v>
      </c>
      <c r="S147" s="2">
        <v>298</v>
      </c>
      <c r="T147" t="s">
        <v>7429</v>
      </c>
      <c r="U147" s="6">
        <v>22998</v>
      </c>
      <c r="V147" s="2">
        <v>47037015613</v>
      </c>
      <c r="W147" s="2" t="s">
        <v>68</v>
      </c>
      <c r="X147" s="1">
        <v>45658</v>
      </c>
      <c r="Y147" s="2">
        <v>109300</v>
      </c>
      <c r="Z147" s="2">
        <v>0</v>
      </c>
      <c r="AA147" s="2">
        <v>109300</v>
      </c>
    </row>
    <row r="148" spans="1:27" x14ac:dyDescent="0.3">
      <c r="A148" s="3">
        <v>28</v>
      </c>
      <c r="B148" s="2" t="str">
        <f>"13408002500"</f>
        <v>13408002500</v>
      </c>
      <c r="C148" s="2" t="s">
        <v>7430</v>
      </c>
      <c r="D148" t="s">
        <v>29</v>
      </c>
      <c r="E148" s="2" t="s">
        <v>30</v>
      </c>
      <c r="F148" s="2">
        <v>37217</v>
      </c>
      <c r="G148" s="2" t="s">
        <v>64</v>
      </c>
      <c r="H148" t="s">
        <v>2707</v>
      </c>
      <c r="I148" s="6">
        <v>33707</v>
      </c>
      <c r="J148" s="2" t="s">
        <v>7431</v>
      </c>
      <c r="K148" s="2" t="s">
        <v>34</v>
      </c>
      <c r="L148" t="s">
        <v>2689</v>
      </c>
      <c r="M148" t="s">
        <v>29</v>
      </c>
      <c r="N148" t="s">
        <v>30</v>
      </c>
      <c r="O148">
        <v>37214</v>
      </c>
      <c r="P148" t="s">
        <v>7432</v>
      </c>
      <c r="Q148" s="2">
        <v>0.34</v>
      </c>
      <c r="R148" s="2">
        <v>74</v>
      </c>
      <c r="S148" s="2">
        <v>203</v>
      </c>
      <c r="T148" t="s">
        <v>7433</v>
      </c>
      <c r="U148" s="6">
        <v>26807</v>
      </c>
      <c r="V148" s="2">
        <v>47037015613</v>
      </c>
      <c r="W148" s="2" t="s">
        <v>68</v>
      </c>
      <c r="X148" s="1">
        <v>45658</v>
      </c>
      <c r="Y148" s="2">
        <v>85000</v>
      </c>
      <c r="Z148" s="2">
        <v>0</v>
      </c>
      <c r="AA148" s="2">
        <v>85000</v>
      </c>
    </row>
    <row r="149" spans="1:27" x14ac:dyDescent="0.3">
      <c r="A149" s="3">
        <v>28</v>
      </c>
      <c r="B149" s="2" t="str">
        <f>"13408002600"</f>
        <v>13408002600</v>
      </c>
      <c r="C149" s="2" t="s">
        <v>7434</v>
      </c>
      <c r="D149" t="s">
        <v>29</v>
      </c>
      <c r="E149" s="2" t="s">
        <v>30</v>
      </c>
      <c r="F149" s="2">
        <v>37217</v>
      </c>
      <c r="G149" s="2" t="s">
        <v>64</v>
      </c>
      <c r="H149" t="s">
        <v>2707</v>
      </c>
      <c r="I149" s="6">
        <v>33620</v>
      </c>
      <c r="J149" s="2" t="s">
        <v>7435</v>
      </c>
      <c r="K149" s="2" t="s">
        <v>34</v>
      </c>
      <c r="L149" t="s">
        <v>2689</v>
      </c>
      <c r="M149" t="s">
        <v>29</v>
      </c>
      <c r="N149" t="s">
        <v>30</v>
      </c>
      <c r="O149">
        <v>37214</v>
      </c>
      <c r="P149" t="s">
        <v>7436</v>
      </c>
      <c r="Q149" s="2">
        <v>0.28999999999999998</v>
      </c>
      <c r="R149" s="2">
        <v>72</v>
      </c>
      <c r="S149" s="2">
        <v>193</v>
      </c>
      <c r="T149" t="s">
        <v>7437</v>
      </c>
      <c r="U149" s="6">
        <v>24189</v>
      </c>
      <c r="V149" s="2">
        <v>47037015613</v>
      </c>
      <c r="W149" s="2" t="s">
        <v>68</v>
      </c>
      <c r="X149" s="1">
        <v>45658</v>
      </c>
      <c r="Y149" s="2">
        <v>85000</v>
      </c>
      <c r="Z149" s="2">
        <v>0</v>
      </c>
      <c r="AA149" s="2">
        <v>85000</v>
      </c>
    </row>
    <row r="150" spans="1:27" x14ac:dyDescent="0.3">
      <c r="A150" s="3">
        <v>28</v>
      </c>
      <c r="B150" s="2" t="str">
        <f>"13408002900"</f>
        <v>13408002900</v>
      </c>
      <c r="C150" s="2" t="s">
        <v>7185</v>
      </c>
      <c r="D150" t="s">
        <v>29</v>
      </c>
      <c r="E150" s="2" t="s">
        <v>30</v>
      </c>
      <c r="F150" s="2">
        <v>37217</v>
      </c>
      <c r="G150" s="2" t="s">
        <v>64</v>
      </c>
      <c r="H150" t="s">
        <v>2707</v>
      </c>
      <c r="I150" s="6">
        <v>33536</v>
      </c>
      <c r="J150" s="2" t="s">
        <v>7438</v>
      </c>
      <c r="K150" s="2">
        <v>81000</v>
      </c>
      <c r="L150" t="s">
        <v>2689</v>
      </c>
      <c r="M150" t="s">
        <v>29</v>
      </c>
      <c r="N150" t="s">
        <v>30</v>
      </c>
      <c r="O150">
        <v>37214</v>
      </c>
      <c r="P150" t="s">
        <v>7439</v>
      </c>
      <c r="Q150" s="2">
        <v>0.81</v>
      </c>
      <c r="R150" s="2">
        <v>107</v>
      </c>
      <c r="S150" s="2">
        <v>298</v>
      </c>
      <c r="T150" t="s">
        <v>7440</v>
      </c>
      <c r="U150" s="6">
        <v>22906</v>
      </c>
      <c r="V150" s="2">
        <v>47037015613</v>
      </c>
      <c r="W150" s="2" t="s">
        <v>68</v>
      </c>
      <c r="X150" s="1">
        <v>45658</v>
      </c>
      <c r="Y150" s="2">
        <v>106300</v>
      </c>
      <c r="Z150" s="2">
        <v>0</v>
      </c>
      <c r="AA150" s="2">
        <v>106300</v>
      </c>
    </row>
    <row r="151" spans="1:27" x14ac:dyDescent="0.3">
      <c r="A151" s="3">
        <v>28</v>
      </c>
      <c r="B151" s="2" t="str">
        <f>"13408002700"</f>
        <v>13408002700</v>
      </c>
      <c r="C151" s="2" t="s">
        <v>7441</v>
      </c>
      <c r="D151" t="s">
        <v>29</v>
      </c>
      <c r="E151" s="2" t="s">
        <v>30</v>
      </c>
      <c r="F151" s="2">
        <v>37217</v>
      </c>
      <c r="G151" s="2" t="s">
        <v>64</v>
      </c>
      <c r="H151" t="s">
        <v>2707</v>
      </c>
      <c r="I151" s="6">
        <v>33616</v>
      </c>
      <c r="J151" s="2" t="s">
        <v>7442</v>
      </c>
      <c r="K151" s="2" t="s">
        <v>34</v>
      </c>
      <c r="L151" t="s">
        <v>2689</v>
      </c>
      <c r="M151" t="s">
        <v>29</v>
      </c>
      <c r="N151" t="s">
        <v>30</v>
      </c>
      <c r="O151">
        <v>37214</v>
      </c>
      <c r="P151" t="s">
        <v>7443</v>
      </c>
      <c r="Q151" s="2">
        <v>0.28000000000000003</v>
      </c>
      <c r="R151" s="2">
        <v>45</v>
      </c>
      <c r="S151" s="2">
        <v>178</v>
      </c>
      <c r="T151" t="s">
        <v>7444</v>
      </c>
      <c r="U151" s="6">
        <v>23151</v>
      </c>
      <c r="V151" s="2">
        <v>47037015613</v>
      </c>
      <c r="W151" s="2" t="s">
        <v>68</v>
      </c>
      <c r="X151" s="1">
        <v>45658</v>
      </c>
      <c r="Y151" s="2">
        <v>85000</v>
      </c>
      <c r="Z151" s="2">
        <v>0</v>
      </c>
      <c r="AA151" s="2">
        <v>85000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84D09-4B94-49CE-97B9-A83CA48BC776}">
  <sheetPr>
    <tabColor rgb="FF002060"/>
  </sheetPr>
  <dimension ref="A1:AA129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5" t="s">
        <v>386</v>
      </c>
      <c r="B2" s="2" t="str">
        <f>"07105030000"</f>
        <v>07105030000</v>
      </c>
      <c r="C2" s="2" t="s">
        <v>387</v>
      </c>
      <c r="D2" t="s">
        <v>29</v>
      </c>
      <c r="E2" s="2" t="s">
        <v>30</v>
      </c>
      <c r="F2" s="2">
        <v>37207</v>
      </c>
      <c r="G2" s="2" t="s">
        <v>34</v>
      </c>
      <c r="H2" t="s">
        <v>32</v>
      </c>
      <c r="I2" s="6">
        <v>45734</v>
      </c>
      <c r="J2" s="2" t="s">
        <v>388</v>
      </c>
      <c r="K2" s="2">
        <v>0</v>
      </c>
      <c r="L2" t="s">
        <v>389</v>
      </c>
      <c r="M2" t="s">
        <v>29</v>
      </c>
      <c r="N2" t="s">
        <v>30</v>
      </c>
      <c r="O2">
        <v>37201</v>
      </c>
      <c r="P2" t="s">
        <v>390</v>
      </c>
      <c r="Q2" s="2">
        <v>3</v>
      </c>
      <c r="R2" s="2">
        <v>295</v>
      </c>
      <c r="S2" s="2">
        <v>443</v>
      </c>
      <c r="T2" t="s">
        <v>391</v>
      </c>
      <c r="U2" s="6">
        <v>45688</v>
      </c>
      <c r="V2" s="2">
        <v>47047037012702</v>
      </c>
      <c r="W2" s="2" t="s">
        <v>392</v>
      </c>
      <c r="X2" s="1">
        <v>25569</v>
      </c>
      <c r="Y2" s="2" t="s">
        <v>34</v>
      </c>
      <c r="Z2" s="2" t="s">
        <v>34</v>
      </c>
      <c r="AA2" s="2" t="s">
        <v>34</v>
      </c>
    </row>
    <row r="3" spans="1:27" x14ac:dyDescent="0.3">
      <c r="A3" s="5" t="s">
        <v>386</v>
      </c>
      <c r="B3" s="2" t="str">
        <f>"06014009600"</f>
        <v>06014009600</v>
      </c>
      <c r="C3" s="2" t="s">
        <v>393</v>
      </c>
      <c r="D3" t="s">
        <v>29</v>
      </c>
      <c r="E3" s="2" t="s">
        <v>30</v>
      </c>
      <c r="F3" s="2">
        <v>37207</v>
      </c>
      <c r="G3" s="2" t="s">
        <v>64</v>
      </c>
      <c r="H3" t="s">
        <v>99</v>
      </c>
      <c r="I3" s="6">
        <v>42139</v>
      </c>
      <c r="J3" s="2" t="s">
        <v>394</v>
      </c>
      <c r="K3" s="2">
        <v>553</v>
      </c>
      <c r="L3" t="s">
        <v>35</v>
      </c>
      <c r="M3" t="s">
        <v>29</v>
      </c>
      <c r="N3" t="s">
        <v>30</v>
      </c>
      <c r="O3">
        <v>37219</v>
      </c>
      <c r="P3" t="s">
        <v>395</v>
      </c>
      <c r="Q3" s="2">
        <v>7.0000000000000007E-2</v>
      </c>
      <c r="R3" s="2">
        <v>105</v>
      </c>
      <c r="S3" s="2">
        <v>137</v>
      </c>
      <c r="T3" t="s">
        <v>396</v>
      </c>
      <c r="U3" s="6">
        <v>45312</v>
      </c>
      <c r="V3" s="2">
        <v>47047037012701</v>
      </c>
      <c r="W3" s="2" t="s">
        <v>68</v>
      </c>
      <c r="X3" s="1">
        <v>45658</v>
      </c>
      <c r="Y3" s="2">
        <v>8000</v>
      </c>
      <c r="Z3" s="2">
        <v>0</v>
      </c>
      <c r="AA3" s="2">
        <v>8000</v>
      </c>
    </row>
    <row r="4" spans="1:27" x14ac:dyDescent="0.3">
      <c r="A4" s="4" t="s">
        <v>386</v>
      </c>
      <c r="B4" s="2" t="str">
        <f>"07103000100"</f>
        <v>07103000100</v>
      </c>
      <c r="C4" s="2" t="s">
        <v>397</v>
      </c>
      <c r="D4" t="s">
        <v>29</v>
      </c>
      <c r="E4" s="2" t="s">
        <v>30</v>
      </c>
      <c r="F4" s="2">
        <v>37207</v>
      </c>
      <c r="G4" s="2" t="s">
        <v>398</v>
      </c>
      <c r="H4" t="s">
        <v>32</v>
      </c>
      <c r="I4" s="6">
        <v>36662</v>
      </c>
      <c r="J4" s="2" t="s">
        <v>399</v>
      </c>
      <c r="K4" s="2">
        <v>525000</v>
      </c>
      <c r="L4" t="s">
        <v>35</v>
      </c>
      <c r="M4" t="s">
        <v>29</v>
      </c>
      <c r="N4" t="s">
        <v>30</v>
      </c>
      <c r="O4">
        <v>37219</v>
      </c>
      <c r="P4" t="s">
        <v>400</v>
      </c>
      <c r="Q4" s="2">
        <v>1</v>
      </c>
      <c r="R4" s="2">
        <v>124</v>
      </c>
      <c r="S4" s="2">
        <v>300</v>
      </c>
      <c r="T4" t="s">
        <v>401</v>
      </c>
      <c r="U4" s="6">
        <v>33142</v>
      </c>
      <c r="V4" s="2">
        <v>47037011001</v>
      </c>
      <c r="W4" s="2" t="s">
        <v>68</v>
      </c>
      <c r="X4" s="1">
        <v>45658</v>
      </c>
      <c r="Y4" s="2">
        <v>2281600</v>
      </c>
      <c r="Z4" s="2">
        <v>2042000</v>
      </c>
      <c r="AA4" s="2">
        <v>239600</v>
      </c>
    </row>
    <row r="5" spans="1:27" x14ac:dyDescent="0.3">
      <c r="A5" s="4" t="s">
        <v>386</v>
      </c>
      <c r="B5" s="2" t="str">
        <f>"08103036200"</f>
        <v>08103036200</v>
      </c>
      <c r="C5" s="2" t="s">
        <v>402</v>
      </c>
      <c r="D5" t="s">
        <v>29</v>
      </c>
      <c r="E5" s="2" t="s">
        <v>30</v>
      </c>
      <c r="F5" s="2">
        <v>37208</v>
      </c>
      <c r="G5" s="2" t="s">
        <v>64</v>
      </c>
      <c r="H5" t="s">
        <v>32</v>
      </c>
      <c r="I5" s="6">
        <v>38782</v>
      </c>
      <c r="J5" s="2" t="s">
        <v>403</v>
      </c>
      <c r="K5" s="2">
        <v>8617</v>
      </c>
      <c r="L5" t="s">
        <v>35</v>
      </c>
      <c r="M5" t="s">
        <v>29</v>
      </c>
      <c r="N5" t="s">
        <v>30</v>
      </c>
      <c r="O5">
        <v>37219</v>
      </c>
      <c r="P5" t="s">
        <v>404</v>
      </c>
      <c r="Q5" s="2">
        <v>0.17</v>
      </c>
      <c r="R5" s="2">
        <v>64</v>
      </c>
      <c r="S5" s="2">
        <v>121</v>
      </c>
      <c r="T5" t="s">
        <v>405</v>
      </c>
      <c r="U5" s="6">
        <v>26562</v>
      </c>
      <c r="V5" s="2">
        <v>47037013700</v>
      </c>
      <c r="W5" s="2" t="s">
        <v>68</v>
      </c>
      <c r="X5" s="1">
        <v>45658</v>
      </c>
      <c r="Y5" s="2">
        <v>190000</v>
      </c>
      <c r="Z5" s="2">
        <v>0</v>
      </c>
      <c r="AA5" s="2">
        <v>190000</v>
      </c>
    </row>
    <row r="6" spans="1:27" x14ac:dyDescent="0.3">
      <c r="A6" s="4" t="s">
        <v>386</v>
      </c>
      <c r="B6" s="2" t="str">
        <f>"07004010400"</f>
        <v>07004010400</v>
      </c>
      <c r="C6" s="2" t="s">
        <v>406</v>
      </c>
      <c r="D6" t="s">
        <v>29</v>
      </c>
      <c r="E6" s="2" t="s">
        <v>30</v>
      </c>
      <c r="F6" s="2">
        <v>37207</v>
      </c>
      <c r="G6" s="2" t="s">
        <v>64</v>
      </c>
      <c r="H6" t="s">
        <v>32</v>
      </c>
      <c r="I6" s="6">
        <v>45553</v>
      </c>
      <c r="J6" s="2" t="s">
        <v>407</v>
      </c>
      <c r="K6" s="2" t="s">
        <v>34</v>
      </c>
      <c r="L6" t="s">
        <v>85</v>
      </c>
      <c r="M6" t="s">
        <v>29</v>
      </c>
      <c r="N6" t="s">
        <v>30</v>
      </c>
      <c r="O6">
        <v>37219</v>
      </c>
      <c r="P6" t="s">
        <v>408</v>
      </c>
      <c r="Q6" s="2">
        <v>0.44</v>
      </c>
      <c r="R6" s="2">
        <v>56</v>
      </c>
      <c r="S6" s="2">
        <v>484</v>
      </c>
      <c r="T6" t="s">
        <v>409</v>
      </c>
      <c r="U6" s="6">
        <v>31569</v>
      </c>
      <c r="V6" s="2">
        <v>47037012702</v>
      </c>
      <c r="W6" s="2" t="s">
        <v>68</v>
      </c>
      <c r="X6" s="1">
        <v>45658</v>
      </c>
      <c r="Y6" s="2">
        <v>152900</v>
      </c>
      <c r="Z6" s="2">
        <v>0</v>
      </c>
      <c r="AA6" s="2">
        <v>152900</v>
      </c>
    </row>
    <row r="7" spans="1:27" x14ac:dyDescent="0.3">
      <c r="A7" s="4" t="s">
        <v>386</v>
      </c>
      <c r="B7" s="2" t="str">
        <f>"07004018800"</f>
        <v>07004018800</v>
      </c>
      <c r="C7" s="2" t="s">
        <v>410</v>
      </c>
      <c r="D7" t="s">
        <v>29</v>
      </c>
      <c r="E7" s="2" t="s">
        <v>30</v>
      </c>
      <c r="F7" s="2">
        <v>37207</v>
      </c>
      <c r="G7" s="2" t="s">
        <v>64</v>
      </c>
      <c r="H7" t="s">
        <v>32</v>
      </c>
      <c r="I7" s="6">
        <v>45553</v>
      </c>
      <c r="J7" s="2" t="s">
        <v>407</v>
      </c>
      <c r="K7" s="2" t="s">
        <v>34</v>
      </c>
      <c r="L7" t="s">
        <v>85</v>
      </c>
      <c r="M7" t="s">
        <v>29</v>
      </c>
      <c r="N7" t="s">
        <v>30</v>
      </c>
      <c r="O7">
        <v>37219</v>
      </c>
      <c r="P7" t="s">
        <v>411</v>
      </c>
      <c r="Q7" s="2">
        <v>0.44</v>
      </c>
      <c r="R7" s="2">
        <v>56</v>
      </c>
      <c r="S7" s="2">
        <v>509</v>
      </c>
      <c r="T7" t="s">
        <v>409</v>
      </c>
      <c r="U7" s="6">
        <v>31569</v>
      </c>
      <c r="V7" s="2">
        <v>47037012702</v>
      </c>
      <c r="W7" s="2" t="s">
        <v>68</v>
      </c>
      <c r="X7" s="1">
        <v>45658</v>
      </c>
      <c r="Y7" s="2">
        <v>152900</v>
      </c>
      <c r="Z7" s="2">
        <v>0</v>
      </c>
      <c r="AA7" s="2">
        <v>152900</v>
      </c>
    </row>
    <row r="8" spans="1:27" x14ac:dyDescent="0.3">
      <c r="A8" s="4" t="s">
        <v>386</v>
      </c>
      <c r="B8" s="2" t="str">
        <f>"07004018900"</f>
        <v>07004018900</v>
      </c>
      <c r="C8" s="2" t="s">
        <v>412</v>
      </c>
      <c r="D8" t="s">
        <v>29</v>
      </c>
      <c r="E8" s="2" t="s">
        <v>30</v>
      </c>
      <c r="F8" s="2">
        <v>37207</v>
      </c>
      <c r="G8" s="2" t="s">
        <v>64</v>
      </c>
      <c r="H8" t="s">
        <v>32</v>
      </c>
      <c r="I8" s="6">
        <v>45553</v>
      </c>
      <c r="J8" s="2" t="s">
        <v>407</v>
      </c>
      <c r="K8" s="2">
        <v>0</v>
      </c>
      <c r="L8" t="s">
        <v>85</v>
      </c>
      <c r="M8" t="s">
        <v>29</v>
      </c>
      <c r="N8" t="s">
        <v>30</v>
      </c>
      <c r="O8">
        <v>37219</v>
      </c>
      <c r="P8" t="s">
        <v>413</v>
      </c>
      <c r="Q8" s="2">
        <v>0.44</v>
      </c>
      <c r="R8" s="2">
        <v>56</v>
      </c>
      <c r="S8" s="2">
        <v>533</v>
      </c>
      <c r="T8" t="s">
        <v>409</v>
      </c>
      <c r="U8" s="6">
        <v>31569</v>
      </c>
      <c r="V8" s="2">
        <v>47037012702</v>
      </c>
      <c r="W8" s="2" t="s">
        <v>68</v>
      </c>
      <c r="X8" s="1">
        <v>45658</v>
      </c>
      <c r="Y8" s="2">
        <v>152900</v>
      </c>
      <c r="Z8" s="2">
        <v>0</v>
      </c>
      <c r="AA8" s="2">
        <v>152900</v>
      </c>
    </row>
    <row r="9" spans="1:27" x14ac:dyDescent="0.3">
      <c r="A9" s="4" t="s">
        <v>386</v>
      </c>
      <c r="B9" s="2" t="str">
        <f>"05906005300"</f>
        <v>05906005300</v>
      </c>
      <c r="C9" s="2" t="s">
        <v>414</v>
      </c>
      <c r="D9" t="s">
        <v>29</v>
      </c>
      <c r="E9" s="2" t="s">
        <v>30</v>
      </c>
      <c r="F9" s="2">
        <v>37207</v>
      </c>
      <c r="G9" s="2" t="s">
        <v>64</v>
      </c>
      <c r="H9" t="s">
        <v>32</v>
      </c>
      <c r="I9" s="6">
        <v>42327</v>
      </c>
      <c r="J9" s="2" t="s">
        <v>415</v>
      </c>
      <c r="K9" s="2">
        <v>0</v>
      </c>
      <c r="L9" t="s">
        <v>35</v>
      </c>
      <c r="M9" t="s">
        <v>29</v>
      </c>
      <c r="N9" t="s">
        <v>30</v>
      </c>
      <c r="O9">
        <v>37219</v>
      </c>
      <c r="P9" t="s">
        <v>416</v>
      </c>
      <c r="Q9" s="2">
        <v>0.52</v>
      </c>
      <c r="R9" s="2">
        <v>77</v>
      </c>
      <c r="S9" s="2">
        <v>247</v>
      </c>
      <c r="T9" t="s">
        <v>417</v>
      </c>
      <c r="U9" s="6">
        <v>26441</v>
      </c>
      <c r="V9" s="2">
        <v>47037012701</v>
      </c>
      <c r="W9" s="2" t="s">
        <v>68</v>
      </c>
      <c r="X9" s="1">
        <v>45658</v>
      </c>
      <c r="Y9" s="2">
        <v>86500</v>
      </c>
      <c r="Z9" s="2">
        <v>0</v>
      </c>
      <c r="AA9" s="2">
        <v>86500</v>
      </c>
    </row>
    <row r="10" spans="1:27" x14ac:dyDescent="0.3">
      <c r="A10" s="4" t="s">
        <v>386</v>
      </c>
      <c r="B10" s="2" t="str">
        <f>"05900006001"</f>
        <v>05900006001</v>
      </c>
      <c r="C10" s="2" t="s">
        <v>183</v>
      </c>
      <c r="D10" t="s">
        <v>29</v>
      </c>
      <c r="E10" s="2" t="s">
        <v>30</v>
      </c>
      <c r="F10" s="2">
        <v>37207</v>
      </c>
      <c r="G10" s="2" t="s">
        <v>64</v>
      </c>
      <c r="H10" t="s">
        <v>32</v>
      </c>
      <c r="I10" s="6">
        <v>42327</v>
      </c>
      <c r="J10" s="2" t="s">
        <v>415</v>
      </c>
      <c r="K10" s="2">
        <v>0</v>
      </c>
      <c r="L10" t="s">
        <v>35</v>
      </c>
      <c r="M10" t="s">
        <v>29</v>
      </c>
      <c r="N10" t="s">
        <v>30</v>
      </c>
      <c r="O10">
        <v>37219</v>
      </c>
      <c r="P10" t="s">
        <v>418</v>
      </c>
      <c r="Q10" s="2">
        <v>23.09</v>
      </c>
      <c r="R10" s="2">
        <v>0</v>
      </c>
      <c r="S10" s="2">
        <v>0</v>
      </c>
      <c r="T10" t="s">
        <v>419</v>
      </c>
      <c r="U10" s="6">
        <v>27394</v>
      </c>
      <c r="V10" s="2">
        <v>47037012701</v>
      </c>
      <c r="W10" s="2" t="s">
        <v>68</v>
      </c>
      <c r="X10" s="1">
        <v>45658</v>
      </c>
      <c r="Y10" s="2">
        <v>686600</v>
      </c>
      <c r="Z10" s="2">
        <v>0</v>
      </c>
      <c r="AA10" s="2">
        <v>686600</v>
      </c>
    </row>
    <row r="11" spans="1:27" x14ac:dyDescent="0.3">
      <c r="A11" s="4" t="s">
        <v>386</v>
      </c>
      <c r="B11" s="2" t="str">
        <f>"07004016100"</f>
        <v>07004016100</v>
      </c>
      <c r="C11" s="2" t="s">
        <v>420</v>
      </c>
      <c r="D11" t="s">
        <v>29</v>
      </c>
      <c r="E11" s="2" t="s">
        <v>30</v>
      </c>
      <c r="F11" s="2">
        <v>37207</v>
      </c>
      <c r="G11" s="2" t="s">
        <v>64</v>
      </c>
      <c r="H11" t="s">
        <v>32</v>
      </c>
      <c r="I11" s="6">
        <v>35291</v>
      </c>
      <c r="J11" s="2" t="s">
        <v>421</v>
      </c>
      <c r="K11" s="2">
        <v>302</v>
      </c>
      <c r="L11" t="s">
        <v>35</v>
      </c>
      <c r="M11" t="s">
        <v>29</v>
      </c>
      <c r="N11" t="s">
        <v>30</v>
      </c>
      <c r="O11">
        <v>37219</v>
      </c>
      <c r="P11" t="s">
        <v>422</v>
      </c>
      <c r="Q11" s="2">
        <v>0.08</v>
      </c>
      <c r="R11" s="2">
        <v>25</v>
      </c>
      <c r="S11" s="2">
        <v>125</v>
      </c>
      <c r="T11" t="s">
        <v>423</v>
      </c>
      <c r="U11" s="6">
        <v>17722</v>
      </c>
      <c r="V11" s="2">
        <v>47037012702</v>
      </c>
      <c r="W11" s="2" t="s">
        <v>68</v>
      </c>
      <c r="X11" s="1">
        <v>45658</v>
      </c>
      <c r="Y11" s="2">
        <v>30000</v>
      </c>
      <c r="Z11" s="2">
        <v>0</v>
      </c>
      <c r="AA11" s="2">
        <v>30000</v>
      </c>
    </row>
    <row r="12" spans="1:27" x14ac:dyDescent="0.3">
      <c r="A12" s="4" t="s">
        <v>386</v>
      </c>
      <c r="B12" s="2" t="str">
        <f>"07008005100"</f>
        <v>07008005100</v>
      </c>
      <c r="C12" s="2" t="s">
        <v>424</v>
      </c>
      <c r="D12" t="s">
        <v>29</v>
      </c>
      <c r="E12" s="2" t="s">
        <v>30</v>
      </c>
      <c r="F12" s="2">
        <v>37207</v>
      </c>
      <c r="G12" s="2" t="s">
        <v>64</v>
      </c>
      <c r="H12" t="s">
        <v>32</v>
      </c>
      <c r="I12" s="6">
        <v>35291</v>
      </c>
      <c r="J12" s="2" t="s">
        <v>425</v>
      </c>
      <c r="K12" s="2">
        <v>239</v>
      </c>
      <c r="L12" t="s">
        <v>35</v>
      </c>
      <c r="M12" t="s">
        <v>29</v>
      </c>
      <c r="N12" t="s">
        <v>30</v>
      </c>
      <c r="O12">
        <v>37219</v>
      </c>
      <c r="P12" t="s">
        <v>426</v>
      </c>
      <c r="Q12" s="2">
        <v>0.06</v>
      </c>
      <c r="R12" s="2">
        <v>25</v>
      </c>
      <c r="S12" s="2">
        <v>125</v>
      </c>
      <c r="T12" t="s">
        <v>427</v>
      </c>
      <c r="U12" s="6">
        <v>26924</v>
      </c>
      <c r="V12" s="2">
        <v>47037012702</v>
      </c>
      <c r="W12" s="2" t="s">
        <v>68</v>
      </c>
      <c r="X12" s="1">
        <v>45658</v>
      </c>
      <c r="Y12" s="2">
        <v>30000</v>
      </c>
      <c r="Z12" s="2">
        <v>0</v>
      </c>
      <c r="AA12" s="2">
        <v>30000</v>
      </c>
    </row>
    <row r="13" spans="1:27" x14ac:dyDescent="0.3">
      <c r="A13" s="4" t="s">
        <v>386</v>
      </c>
      <c r="B13" s="2" t="str">
        <f>"07008004000"</f>
        <v>07008004000</v>
      </c>
      <c r="C13" s="2" t="s">
        <v>424</v>
      </c>
      <c r="D13" t="s">
        <v>29</v>
      </c>
      <c r="E13" s="2" t="s">
        <v>30</v>
      </c>
      <c r="F13" s="2">
        <v>37207</v>
      </c>
      <c r="G13" s="2" t="s">
        <v>64</v>
      </c>
      <c r="H13" t="s">
        <v>32</v>
      </c>
      <c r="I13" s="6">
        <v>35291</v>
      </c>
      <c r="J13" s="2" t="s">
        <v>428</v>
      </c>
      <c r="K13" s="2">
        <v>249</v>
      </c>
      <c r="L13" t="s">
        <v>35</v>
      </c>
      <c r="M13" t="s">
        <v>29</v>
      </c>
      <c r="N13" t="s">
        <v>30</v>
      </c>
      <c r="O13">
        <v>37219</v>
      </c>
      <c r="P13" t="s">
        <v>429</v>
      </c>
      <c r="Q13" s="2">
        <v>0.13</v>
      </c>
      <c r="R13" s="2">
        <v>50</v>
      </c>
      <c r="S13" s="2">
        <v>125</v>
      </c>
      <c r="T13" t="s">
        <v>427</v>
      </c>
      <c r="U13" s="6">
        <v>26924</v>
      </c>
      <c r="V13" s="2">
        <v>47037012702</v>
      </c>
      <c r="W13" s="2" t="s">
        <v>68</v>
      </c>
      <c r="X13" s="1">
        <v>45658</v>
      </c>
      <c r="Y13" s="2">
        <v>30000</v>
      </c>
      <c r="Z13" s="2">
        <v>0</v>
      </c>
      <c r="AA13" s="2">
        <v>30000</v>
      </c>
    </row>
    <row r="14" spans="1:27" x14ac:dyDescent="0.3">
      <c r="A14" s="4" t="s">
        <v>386</v>
      </c>
      <c r="B14" s="2" t="str">
        <f>"05916024800"</f>
        <v>05916024800</v>
      </c>
      <c r="C14" s="2" t="s">
        <v>430</v>
      </c>
      <c r="D14" t="s">
        <v>29</v>
      </c>
      <c r="E14" s="2" t="s">
        <v>30</v>
      </c>
      <c r="F14" s="2">
        <v>37207</v>
      </c>
      <c r="G14" s="2" t="s">
        <v>64</v>
      </c>
      <c r="H14" t="s">
        <v>32</v>
      </c>
      <c r="I14" s="6">
        <v>42292</v>
      </c>
      <c r="J14" s="2" t="s">
        <v>431</v>
      </c>
      <c r="K14" s="2">
        <v>0</v>
      </c>
      <c r="L14" t="s">
        <v>35</v>
      </c>
      <c r="M14" t="s">
        <v>29</v>
      </c>
      <c r="N14" t="s">
        <v>30</v>
      </c>
      <c r="O14">
        <v>37219</v>
      </c>
      <c r="P14" t="s">
        <v>432</v>
      </c>
      <c r="Q14" s="2">
        <v>28.35</v>
      </c>
      <c r="R14" s="2">
        <v>0</v>
      </c>
      <c r="S14" s="2">
        <v>0</v>
      </c>
      <c r="T14" t="s">
        <v>433</v>
      </c>
      <c r="U14" s="6">
        <v>43437</v>
      </c>
      <c r="V14" s="2">
        <v>47037012701</v>
      </c>
      <c r="W14" s="2" t="s">
        <v>68</v>
      </c>
      <c r="X14" s="1">
        <v>45658</v>
      </c>
      <c r="Y14" s="2">
        <v>4037900</v>
      </c>
      <c r="Z14" s="2">
        <v>0</v>
      </c>
      <c r="AA14" s="2">
        <v>4037900</v>
      </c>
    </row>
    <row r="15" spans="1:27" x14ac:dyDescent="0.3">
      <c r="A15" s="4" t="s">
        <v>386</v>
      </c>
      <c r="B15" s="2" t="str">
        <f>"08103034900"</f>
        <v>08103034900</v>
      </c>
      <c r="C15" s="2" t="s">
        <v>434</v>
      </c>
      <c r="D15" t="s">
        <v>29</v>
      </c>
      <c r="E15" s="2" t="s">
        <v>30</v>
      </c>
      <c r="F15" s="2">
        <v>37208</v>
      </c>
      <c r="G15" s="2" t="s">
        <v>64</v>
      </c>
      <c r="H15" t="s">
        <v>99</v>
      </c>
      <c r="I15" s="6">
        <v>28948</v>
      </c>
      <c r="J15" s="2" t="s">
        <v>435</v>
      </c>
      <c r="K15" s="2">
        <v>143</v>
      </c>
      <c r="L15" t="s">
        <v>35</v>
      </c>
      <c r="M15" t="s">
        <v>29</v>
      </c>
      <c r="N15" t="s">
        <v>30</v>
      </c>
      <c r="O15">
        <v>37219</v>
      </c>
      <c r="P15" t="s">
        <v>436</v>
      </c>
      <c r="Q15" s="2">
        <v>0.06</v>
      </c>
      <c r="R15" s="2">
        <v>97</v>
      </c>
      <c r="S15" s="2">
        <v>41</v>
      </c>
      <c r="T15" t="s">
        <v>437</v>
      </c>
      <c r="U15" s="6">
        <v>24173</v>
      </c>
      <c r="V15" s="2">
        <v>47037013700</v>
      </c>
      <c r="W15" s="2" t="s">
        <v>68</v>
      </c>
      <c r="X15" s="1">
        <v>45658</v>
      </c>
      <c r="Y15" s="2">
        <v>171000</v>
      </c>
      <c r="Z15" s="2">
        <v>0</v>
      </c>
      <c r="AA15" s="2">
        <v>171000</v>
      </c>
    </row>
    <row r="16" spans="1:27" x14ac:dyDescent="0.3">
      <c r="A16" s="4" t="s">
        <v>386</v>
      </c>
      <c r="B16" s="2" t="str">
        <f>"06007002900"</f>
        <v>06007002900</v>
      </c>
      <c r="C16" s="2" t="s">
        <v>438</v>
      </c>
      <c r="D16" t="s">
        <v>29</v>
      </c>
      <c r="E16" s="2" t="s">
        <v>30</v>
      </c>
      <c r="F16" s="2">
        <v>37207</v>
      </c>
      <c r="G16" s="2" t="s">
        <v>64</v>
      </c>
      <c r="H16" t="s">
        <v>99</v>
      </c>
      <c r="I16" s="6">
        <v>40198</v>
      </c>
      <c r="J16" s="2" t="s">
        <v>439</v>
      </c>
      <c r="K16" s="2">
        <v>474</v>
      </c>
      <c r="L16" t="s">
        <v>35</v>
      </c>
      <c r="M16" t="s">
        <v>29</v>
      </c>
      <c r="N16" t="s">
        <v>30</v>
      </c>
      <c r="O16">
        <v>37219</v>
      </c>
      <c r="P16" t="s">
        <v>440</v>
      </c>
      <c r="Q16" s="2">
        <v>0.11</v>
      </c>
      <c r="R16" s="2">
        <v>170</v>
      </c>
      <c r="S16" s="2">
        <v>153</v>
      </c>
      <c r="T16" t="s">
        <v>441</v>
      </c>
      <c r="U16" s="6">
        <v>23664</v>
      </c>
      <c r="V16" s="2">
        <v>47037011001</v>
      </c>
      <c r="W16" s="2" t="s">
        <v>68</v>
      </c>
      <c r="X16" s="1">
        <v>45658</v>
      </c>
      <c r="Y16" s="2">
        <v>10000</v>
      </c>
      <c r="Z16" s="2">
        <v>0</v>
      </c>
      <c r="AA16" s="2">
        <v>10000</v>
      </c>
    </row>
    <row r="17" spans="1:27" x14ac:dyDescent="0.3">
      <c r="A17" s="4" t="s">
        <v>386</v>
      </c>
      <c r="B17" s="2" t="str">
        <f>"06011001700"</f>
        <v>06011001700</v>
      </c>
      <c r="C17" s="2" t="s">
        <v>442</v>
      </c>
      <c r="D17" t="s">
        <v>29</v>
      </c>
      <c r="E17" s="2" t="s">
        <v>30</v>
      </c>
      <c r="F17" s="2">
        <v>37207</v>
      </c>
      <c r="G17" s="2" t="s">
        <v>64</v>
      </c>
      <c r="H17" t="s">
        <v>99</v>
      </c>
      <c r="I17" s="6">
        <v>35655</v>
      </c>
      <c r="J17" s="2" t="s">
        <v>443</v>
      </c>
      <c r="K17" s="2">
        <v>304</v>
      </c>
      <c r="L17" t="s">
        <v>35</v>
      </c>
      <c r="M17" t="s">
        <v>29</v>
      </c>
      <c r="N17" t="s">
        <v>30</v>
      </c>
      <c r="O17">
        <v>37219</v>
      </c>
      <c r="P17" t="s">
        <v>444</v>
      </c>
      <c r="Q17" s="2">
        <v>0.05</v>
      </c>
      <c r="R17" s="2">
        <v>101</v>
      </c>
      <c r="S17" s="2">
        <v>38</v>
      </c>
      <c r="T17" t="s">
        <v>445</v>
      </c>
      <c r="U17" s="6">
        <v>22843</v>
      </c>
      <c r="V17" s="2">
        <v>47037011001</v>
      </c>
      <c r="W17" s="2" t="s">
        <v>68</v>
      </c>
      <c r="X17" s="1">
        <v>45658</v>
      </c>
      <c r="Y17" s="2">
        <v>2500</v>
      </c>
      <c r="Z17" s="2">
        <v>0</v>
      </c>
      <c r="AA17" s="2">
        <v>2500</v>
      </c>
    </row>
    <row r="18" spans="1:27" x14ac:dyDescent="0.3">
      <c r="A18" s="4" t="s">
        <v>386</v>
      </c>
      <c r="B18" s="2" t="str">
        <f>"05914020500"</f>
        <v>05914020500</v>
      </c>
      <c r="C18" s="2" t="s">
        <v>446</v>
      </c>
      <c r="D18" t="s">
        <v>29</v>
      </c>
      <c r="E18" s="2" t="s">
        <v>30</v>
      </c>
      <c r="F18" s="2">
        <v>37207</v>
      </c>
      <c r="G18" s="2" t="s">
        <v>64</v>
      </c>
      <c r="H18" t="s">
        <v>99</v>
      </c>
      <c r="I18" s="6">
        <v>29678</v>
      </c>
      <c r="J18" s="2" t="s">
        <v>447</v>
      </c>
      <c r="K18" s="2">
        <v>136</v>
      </c>
      <c r="L18" t="s">
        <v>35</v>
      </c>
      <c r="M18" t="s">
        <v>29</v>
      </c>
      <c r="N18" t="s">
        <v>30</v>
      </c>
      <c r="O18">
        <v>37219</v>
      </c>
      <c r="P18" t="s">
        <v>448</v>
      </c>
      <c r="Q18" s="2">
        <v>0.05</v>
      </c>
      <c r="R18" s="2">
        <v>10</v>
      </c>
      <c r="S18" s="2">
        <v>80</v>
      </c>
      <c r="T18" t="s">
        <v>449</v>
      </c>
      <c r="U18" s="6">
        <v>23400</v>
      </c>
      <c r="V18" s="2">
        <v>47037012702</v>
      </c>
      <c r="W18" s="2" t="s">
        <v>68</v>
      </c>
      <c r="X18" s="1">
        <v>45658</v>
      </c>
      <c r="Y18" s="2">
        <v>900</v>
      </c>
      <c r="Z18" s="2">
        <v>0</v>
      </c>
      <c r="AA18" s="2">
        <v>900</v>
      </c>
    </row>
    <row r="19" spans="1:27" x14ac:dyDescent="0.3">
      <c r="A19" s="4" t="s">
        <v>386</v>
      </c>
      <c r="B19" s="2" t="str">
        <f>"08102012100"</f>
        <v>08102012100</v>
      </c>
      <c r="C19" s="2" t="s">
        <v>450</v>
      </c>
      <c r="D19" t="s">
        <v>29</v>
      </c>
      <c r="E19" s="2" t="s">
        <v>30</v>
      </c>
      <c r="F19" s="2">
        <v>37208</v>
      </c>
      <c r="G19" s="2" t="s">
        <v>41</v>
      </c>
      <c r="H19" t="s">
        <v>99</v>
      </c>
      <c r="I19" s="6">
        <v>41297</v>
      </c>
      <c r="J19" s="2" t="s">
        <v>451</v>
      </c>
      <c r="K19" s="2">
        <v>330382</v>
      </c>
      <c r="L19" t="s">
        <v>35</v>
      </c>
      <c r="M19" t="s">
        <v>29</v>
      </c>
      <c r="N19" t="s">
        <v>30</v>
      </c>
      <c r="O19">
        <v>37219</v>
      </c>
      <c r="P19" t="s">
        <v>452</v>
      </c>
      <c r="Q19" s="2">
        <v>2.88</v>
      </c>
      <c r="R19" s="2">
        <v>0</v>
      </c>
      <c r="S19" s="2">
        <v>0</v>
      </c>
      <c r="T19" t="s">
        <v>453</v>
      </c>
      <c r="U19" s="6">
        <v>2113</v>
      </c>
      <c r="V19" s="2">
        <v>47037013700</v>
      </c>
      <c r="W19" s="2" t="s">
        <v>68</v>
      </c>
      <c r="X19" s="1">
        <v>45658</v>
      </c>
      <c r="Y19" s="2">
        <v>2358500</v>
      </c>
      <c r="Z19" s="2">
        <v>0</v>
      </c>
      <c r="AA19" s="2">
        <v>2358500</v>
      </c>
    </row>
    <row r="20" spans="1:27" x14ac:dyDescent="0.3">
      <c r="A20" s="4" t="s">
        <v>386</v>
      </c>
      <c r="B20" s="2" t="str">
        <f>"05916017200"</f>
        <v>05916017200</v>
      </c>
      <c r="C20" s="2" t="s">
        <v>454</v>
      </c>
      <c r="D20" t="s">
        <v>29</v>
      </c>
      <c r="E20" s="2" t="s">
        <v>30</v>
      </c>
      <c r="F20" s="2">
        <v>37207</v>
      </c>
      <c r="G20" s="2" t="s">
        <v>64</v>
      </c>
      <c r="H20" t="s">
        <v>99</v>
      </c>
      <c r="I20" s="6">
        <v>41198</v>
      </c>
      <c r="J20" s="2" t="s">
        <v>455</v>
      </c>
      <c r="K20" s="2">
        <v>757</v>
      </c>
      <c r="L20" t="s">
        <v>35</v>
      </c>
      <c r="M20" t="s">
        <v>29</v>
      </c>
      <c r="N20" t="s">
        <v>30</v>
      </c>
      <c r="O20">
        <v>37219</v>
      </c>
      <c r="P20" t="s">
        <v>456</v>
      </c>
      <c r="Q20" s="2">
        <v>0.17</v>
      </c>
      <c r="R20" s="2">
        <v>50</v>
      </c>
      <c r="S20" s="2">
        <v>150</v>
      </c>
      <c r="T20" t="s">
        <v>457</v>
      </c>
      <c r="U20" s="6">
        <v>18791</v>
      </c>
      <c r="V20" s="2">
        <v>47037012701</v>
      </c>
      <c r="W20" s="2" t="s">
        <v>68</v>
      </c>
      <c r="X20" s="1">
        <v>45658</v>
      </c>
      <c r="Y20" s="2">
        <v>21600</v>
      </c>
      <c r="Z20" s="2">
        <v>0</v>
      </c>
      <c r="AA20" s="2">
        <v>21600</v>
      </c>
    </row>
    <row r="21" spans="1:27" x14ac:dyDescent="0.3">
      <c r="A21" s="4" t="s">
        <v>386</v>
      </c>
      <c r="B21" s="2" t="str">
        <f>"05916021500"</f>
        <v>05916021500</v>
      </c>
      <c r="C21" s="2" t="s">
        <v>458</v>
      </c>
      <c r="D21" t="s">
        <v>29</v>
      </c>
      <c r="E21" s="2" t="s">
        <v>30</v>
      </c>
      <c r="F21" s="2">
        <v>37207</v>
      </c>
      <c r="G21" s="2" t="s">
        <v>64</v>
      </c>
      <c r="H21" t="s">
        <v>99</v>
      </c>
      <c r="I21" s="6">
        <v>29300</v>
      </c>
      <c r="J21" s="2" t="s">
        <v>459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460</v>
      </c>
      <c r="Q21" s="2">
        <v>0.03</v>
      </c>
      <c r="R21" s="2">
        <v>18</v>
      </c>
      <c r="S21" s="2">
        <v>110</v>
      </c>
      <c r="T21" t="s">
        <v>461</v>
      </c>
      <c r="U21" s="6">
        <v>25976</v>
      </c>
      <c r="V21" s="2">
        <v>47037012701</v>
      </c>
      <c r="W21" s="2" t="s">
        <v>68</v>
      </c>
      <c r="X21" s="1">
        <v>45658</v>
      </c>
      <c r="Y21" s="2">
        <v>300</v>
      </c>
      <c r="Z21" s="2">
        <v>0</v>
      </c>
      <c r="AA21" s="2">
        <v>300</v>
      </c>
    </row>
    <row r="22" spans="1:27" x14ac:dyDescent="0.3">
      <c r="A22" s="4" t="s">
        <v>386</v>
      </c>
      <c r="B22" s="2" t="str">
        <f>"05916016300"</f>
        <v>05916016300</v>
      </c>
      <c r="C22" s="2" t="s">
        <v>462</v>
      </c>
      <c r="D22" t="s">
        <v>29</v>
      </c>
      <c r="E22" s="2" t="s">
        <v>30</v>
      </c>
      <c r="F22" s="2">
        <v>37207</v>
      </c>
      <c r="G22" s="2" t="s">
        <v>64</v>
      </c>
      <c r="H22" t="s">
        <v>99</v>
      </c>
      <c r="I22" s="6">
        <v>41444</v>
      </c>
      <c r="J22" s="2" t="s">
        <v>463</v>
      </c>
      <c r="K22" s="2">
        <v>442</v>
      </c>
      <c r="L22" t="s">
        <v>35</v>
      </c>
      <c r="M22" t="s">
        <v>29</v>
      </c>
      <c r="N22" t="s">
        <v>30</v>
      </c>
      <c r="O22">
        <v>37219</v>
      </c>
      <c r="P22" t="s">
        <v>456</v>
      </c>
      <c r="Q22" s="2">
        <v>0.17</v>
      </c>
      <c r="R22" s="2">
        <v>50</v>
      </c>
      <c r="S22" s="2">
        <v>150</v>
      </c>
      <c r="T22" t="s">
        <v>464</v>
      </c>
      <c r="U22" s="6">
        <v>18268</v>
      </c>
      <c r="V22" s="2">
        <v>47037012701</v>
      </c>
      <c r="W22" s="2" t="s">
        <v>68</v>
      </c>
      <c r="X22" s="1">
        <v>45658</v>
      </c>
      <c r="Y22" s="2">
        <v>21600</v>
      </c>
      <c r="Z22" s="2">
        <v>0</v>
      </c>
      <c r="AA22" s="2">
        <v>21600</v>
      </c>
    </row>
    <row r="23" spans="1:27" x14ac:dyDescent="0.3">
      <c r="A23" s="4" t="s">
        <v>386</v>
      </c>
      <c r="B23" s="2" t="str">
        <f>"07110004500"</f>
        <v>07110004500</v>
      </c>
      <c r="C23" s="2" t="s">
        <v>465</v>
      </c>
      <c r="D23" t="s">
        <v>29</v>
      </c>
      <c r="E23" s="2" t="s">
        <v>30</v>
      </c>
      <c r="F23" s="2">
        <v>37207</v>
      </c>
      <c r="G23" s="2" t="s">
        <v>41</v>
      </c>
      <c r="H23" t="s">
        <v>99</v>
      </c>
      <c r="I23" s="6">
        <v>41262</v>
      </c>
      <c r="J23" s="2" t="s">
        <v>466</v>
      </c>
      <c r="K23" s="2">
        <v>90416</v>
      </c>
      <c r="L23" t="s">
        <v>35</v>
      </c>
      <c r="M23" t="s">
        <v>29</v>
      </c>
      <c r="N23" t="s">
        <v>30</v>
      </c>
      <c r="O23">
        <v>37219</v>
      </c>
      <c r="P23" t="s">
        <v>467</v>
      </c>
      <c r="Q23" s="2">
        <v>1.43</v>
      </c>
      <c r="R23" s="2">
        <v>235</v>
      </c>
      <c r="S23" s="2">
        <v>286</v>
      </c>
      <c r="T23" t="s">
        <v>468</v>
      </c>
      <c r="U23" s="6">
        <v>25479</v>
      </c>
      <c r="V23" s="2">
        <v>47037012702</v>
      </c>
      <c r="W23" s="2" t="s">
        <v>68</v>
      </c>
      <c r="X23" s="1">
        <v>45658</v>
      </c>
      <c r="Y23" s="2">
        <v>1580000</v>
      </c>
      <c r="Z23" s="2">
        <v>0</v>
      </c>
      <c r="AA23" s="2">
        <v>1580000</v>
      </c>
    </row>
    <row r="24" spans="1:27" x14ac:dyDescent="0.3">
      <c r="A24" s="4" t="s">
        <v>386</v>
      </c>
      <c r="B24" s="2" t="str">
        <f>"07008005200"</f>
        <v>07008005200</v>
      </c>
      <c r="C24" s="2" t="s">
        <v>424</v>
      </c>
      <c r="D24" t="s">
        <v>29</v>
      </c>
      <c r="E24" s="2" t="s">
        <v>30</v>
      </c>
      <c r="F24" s="2">
        <v>37207</v>
      </c>
      <c r="G24" s="2" t="s">
        <v>64</v>
      </c>
      <c r="H24" t="s">
        <v>99</v>
      </c>
      <c r="I24" s="6">
        <v>35389</v>
      </c>
      <c r="J24" s="2" t="s">
        <v>469</v>
      </c>
      <c r="K24" s="2">
        <v>438</v>
      </c>
      <c r="L24" t="s">
        <v>35</v>
      </c>
      <c r="M24" t="s">
        <v>29</v>
      </c>
      <c r="N24" t="s">
        <v>30</v>
      </c>
      <c r="O24">
        <v>37219</v>
      </c>
      <c r="P24" t="s">
        <v>470</v>
      </c>
      <c r="Q24" s="2">
        <v>0.06</v>
      </c>
      <c r="R24" s="2">
        <v>25</v>
      </c>
      <c r="S24" s="2">
        <v>125</v>
      </c>
      <c r="T24" t="s">
        <v>427</v>
      </c>
      <c r="U24" s="6">
        <v>26924</v>
      </c>
      <c r="V24" s="2">
        <v>47037012702</v>
      </c>
      <c r="W24" s="2" t="s">
        <v>68</v>
      </c>
      <c r="X24" s="1">
        <v>45658</v>
      </c>
      <c r="Y24" s="2">
        <v>30000</v>
      </c>
      <c r="Z24" s="2">
        <v>0</v>
      </c>
      <c r="AA24" s="2">
        <v>30000</v>
      </c>
    </row>
    <row r="25" spans="1:27" x14ac:dyDescent="0.3">
      <c r="A25" s="4" t="s">
        <v>386</v>
      </c>
      <c r="B25" s="2" t="str">
        <f>"07008006700"</f>
        <v>07008006700</v>
      </c>
      <c r="C25" s="2" t="s">
        <v>424</v>
      </c>
      <c r="D25" t="s">
        <v>29</v>
      </c>
      <c r="E25" s="2" t="s">
        <v>30</v>
      </c>
      <c r="F25" s="2">
        <v>37207</v>
      </c>
      <c r="G25" s="2" t="s">
        <v>64</v>
      </c>
      <c r="H25" t="s">
        <v>99</v>
      </c>
      <c r="I25" s="6">
        <v>33374</v>
      </c>
      <c r="J25" s="2" t="s">
        <v>471</v>
      </c>
      <c r="K25" s="2">
        <v>1326</v>
      </c>
      <c r="L25" t="s">
        <v>35</v>
      </c>
      <c r="M25" t="s">
        <v>29</v>
      </c>
      <c r="N25" t="s">
        <v>30</v>
      </c>
      <c r="O25">
        <v>37219</v>
      </c>
      <c r="P25" t="s">
        <v>472</v>
      </c>
      <c r="Q25" s="2">
        <v>0.1</v>
      </c>
      <c r="R25" s="2">
        <v>19</v>
      </c>
      <c r="S25" s="2">
        <v>125</v>
      </c>
      <c r="T25" t="s">
        <v>473</v>
      </c>
      <c r="U25" s="6">
        <v>33380</v>
      </c>
      <c r="V25" s="2">
        <v>47037012702</v>
      </c>
      <c r="W25" s="2" t="s">
        <v>68</v>
      </c>
      <c r="X25" s="1">
        <v>45658</v>
      </c>
      <c r="Y25" s="2">
        <v>108000</v>
      </c>
      <c r="Z25" s="2">
        <v>0</v>
      </c>
      <c r="AA25" s="2">
        <v>108000</v>
      </c>
    </row>
    <row r="26" spans="1:27" x14ac:dyDescent="0.3">
      <c r="A26" s="4" t="s">
        <v>386</v>
      </c>
      <c r="B26" s="2" t="str">
        <f>"07105022901"</f>
        <v>07105022901</v>
      </c>
      <c r="C26" s="2" t="s">
        <v>474</v>
      </c>
      <c r="D26" t="s">
        <v>29</v>
      </c>
      <c r="E26" s="2" t="s">
        <v>30</v>
      </c>
      <c r="F26" s="2">
        <v>37207</v>
      </c>
      <c r="G26" s="2" t="s">
        <v>64</v>
      </c>
      <c r="H26" t="s">
        <v>99</v>
      </c>
      <c r="I26" s="6">
        <v>39982</v>
      </c>
      <c r="J26" s="2" t="s">
        <v>475</v>
      </c>
      <c r="K26" s="2">
        <v>39500</v>
      </c>
      <c r="L26" t="s">
        <v>35</v>
      </c>
      <c r="M26" t="s">
        <v>29</v>
      </c>
      <c r="N26" t="s">
        <v>30</v>
      </c>
      <c r="O26">
        <v>37219</v>
      </c>
      <c r="P26" t="s">
        <v>476</v>
      </c>
      <c r="Q26" s="2">
        <v>7.0000000000000007E-2</v>
      </c>
      <c r="R26" s="2">
        <v>90</v>
      </c>
      <c r="S26" s="2">
        <v>145</v>
      </c>
      <c r="T26" t="s">
        <v>477</v>
      </c>
      <c r="U26" s="6">
        <v>27039</v>
      </c>
      <c r="V26" s="2">
        <v>47037012702</v>
      </c>
      <c r="W26" s="2" t="s">
        <v>68</v>
      </c>
      <c r="X26" s="1">
        <v>45658</v>
      </c>
      <c r="Y26" s="2">
        <v>8000</v>
      </c>
      <c r="Z26" s="2">
        <v>0</v>
      </c>
      <c r="AA26" s="2">
        <v>8000</v>
      </c>
    </row>
    <row r="27" spans="1:27" x14ac:dyDescent="0.3">
      <c r="A27" s="4" t="s">
        <v>386</v>
      </c>
      <c r="B27" s="2" t="str">
        <f>"07008009300"</f>
        <v>07008009300</v>
      </c>
      <c r="C27" s="2" t="s">
        <v>478</v>
      </c>
      <c r="D27" t="s">
        <v>29</v>
      </c>
      <c r="E27" s="2" t="s">
        <v>30</v>
      </c>
      <c r="F27" s="2">
        <v>37207</v>
      </c>
      <c r="G27" s="2" t="s">
        <v>64</v>
      </c>
      <c r="H27" t="s">
        <v>99</v>
      </c>
      <c r="I27" s="6">
        <v>28880</v>
      </c>
      <c r="J27" s="2" t="s">
        <v>479</v>
      </c>
      <c r="K27" s="2">
        <v>204</v>
      </c>
      <c r="L27" t="s">
        <v>35</v>
      </c>
      <c r="M27" t="s">
        <v>29</v>
      </c>
      <c r="N27" t="s">
        <v>30</v>
      </c>
      <c r="O27">
        <v>37219</v>
      </c>
      <c r="P27" t="s">
        <v>480</v>
      </c>
      <c r="Q27" s="2">
        <v>0.08</v>
      </c>
      <c r="R27" s="2">
        <v>25</v>
      </c>
      <c r="S27" s="2">
        <v>125</v>
      </c>
      <c r="T27" t="s">
        <v>481</v>
      </c>
      <c r="U27" s="6">
        <v>1003</v>
      </c>
      <c r="V27" s="2">
        <v>47037012702</v>
      </c>
      <c r="W27" s="2" t="s">
        <v>68</v>
      </c>
      <c r="X27" s="1">
        <v>45658</v>
      </c>
      <c r="Y27" s="2">
        <v>102000</v>
      </c>
      <c r="Z27" s="2">
        <v>0</v>
      </c>
      <c r="AA27" s="2">
        <v>102000</v>
      </c>
    </row>
    <row r="28" spans="1:27" x14ac:dyDescent="0.3">
      <c r="A28" s="4" t="s">
        <v>386</v>
      </c>
      <c r="B28" s="2" t="str">
        <f>"07008001700"</f>
        <v>07008001700</v>
      </c>
      <c r="C28" s="2" t="s">
        <v>482</v>
      </c>
      <c r="D28" t="s">
        <v>29</v>
      </c>
      <c r="E28" s="2" t="s">
        <v>30</v>
      </c>
      <c r="F28" s="2">
        <v>37207</v>
      </c>
      <c r="G28" s="2" t="s">
        <v>64</v>
      </c>
      <c r="H28" t="s">
        <v>99</v>
      </c>
      <c r="I28" s="6">
        <v>36553</v>
      </c>
      <c r="J28" s="2" t="s">
        <v>483</v>
      </c>
      <c r="K28" s="2">
        <v>1027</v>
      </c>
      <c r="L28" t="s">
        <v>35</v>
      </c>
      <c r="M28" t="s">
        <v>29</v>
      </c>
      <c r="N28" t="s">
        <v>30</v>
      </c>
      <c r="O28">
        <v>37219</v>
      </c>
      <c r="P28" t="s">
        <v>484</v>
      </c>
      <c r="Q28" s="2">
        <v>0.06</v>
      </c>
      <c r="R28" s="2">
        <v>29</v>
      </c>
      <c r="S28" s="2">
        <v>120</v>
      </c>
      <c r="T28" t="s">
        <v>485</v>
      </c>
      <c r="U28" s="6">
        <v>33261</v>
      </c>
      <c r="V28" s="2">
        <v>47037012702</v>
      </c>
      <c r="W28" s="2" t="s">
        <v>68</v>
      </c>
      <c r="X28" s="1">
        <v>45658</v>
      </c>
      <c r="Y28" s="2">
        <v>8000</v>
      </c>
      <c r="Z28" s="2">
        <v>0</v>
      </c>
      <c r="AA28" s="2">
        <v>8000</v>
      </c>
    </row>
    <row r="29" spans="1:27" x14ac:dyDescent="0.3">
      <c r="A29" s="4" t="s">
        <v>386</v>
      </c>
      <c r="B29" s="2" t="str">
        <f>"06009001400"</f>
        <v>06009001400</v>
      </c>
      <c r="C29" s="2" t="s">
        <v>458</v>
      </c>
      <c r="D29" t="s">
        <v>29</v>
      </c>
      <c r="E29" s="2" t="s">
        <v>30</v>
      </c>
      <c r="F29" s="2">
        <v>37207</v>
      </c>
      <c r="G29" s="2" t="s">
        <v>64</v>
      </c>
      <c r="H29" t="s">
        <v>99</v>
      </c>
      <c r="I29" s="6">
        <v>39708</v>
      </c>
      <c r="J29" s="2" t="s">
        <v>486</v>
      </c>
      <c r="K29" s="2">
        <v>710</v>
      </c>
      <c r="L29" t="s">
        <v>35</v>
      </c>
      <c r="M29" t="s">
        <v>29</v>
      </c>
      <c r="N29" t="s">
        <v>30</v>
      </c>
      <c r="O29">
        <v>37219</v>
      </c>
      <c r="P29" t="s">
        <v>487</v>
      </c>
      <c r="Q29" s="2">
        <v>0.09</v>
      </c>
      <c r="R29" s="2">
        <v>0</v>
      </c>
      <c r="S29" s="2">
        <v>85</v>
      </c>
      <c r="T29" t="s">
        <v>488</v>
      </c>
      <c r="U29" s="6">
        <v>31107</v>
      </c>
      <c r="V29" s="2">
        <v>47037012701</v>
      </c>
      <c r="W29" s="2" t="s">
        <v>68</v>
      </c>
      <c r="X29" s="1">
        <v>45658</v>
      </c>
      <c r="Y29" s="2">
        <v>300</v>
      </c>
      <c r="Z29" s="2">
        <v>0</v>
      </c>
      <c r="AA29" s="2">
        <v>300</v>
      </c>
    </row>
    <row r="30" spans="1:27" x14ac:dyDescent="0.3">
      <c r="A30" s="4" t="s">
        <v>386</v>
      </c>
      <c r="B30" s="2" t="str">
        <f>"06013007800"</f>
        <v>06013007800</v>
      </c>
      <c r="C30" s="2" t="s">
        <v>489</v>
      </c>
      <c r="D30" t="s">
        <v>29</v>
      </c>
      <c r="E30" s="2" t="s">
        <v>30</v>
      </c>
      <c r="F30" s="2">
        <v>37207</v>
      </c>
      <c r="G30" s="2" t="s">
        <v>64</v>
      </c>
      <c r="H30" t="s">
        <v>99</v>
      </c>
      <c r="I30" s="6">
        <v>32898</v>
      </c>
      <c r="J30" s="2" t="s">
        <v>490</v>
      </c>
      <c r="K30" s="2">
        <v>239</v>
      </c>
      <c r="L30" t="s">
        <v>35</v>
      </c>
      <c r="M30" t="s">
        <v>29</v>
      </c>
      <c r="N30" t="s">
        <v>30</v>
      </c>
      <c r="O30">
        <v>37219</v>
      </c>
      <c r="P30" t="s">
        <v>491</v>
      </c>
      <c r="Q30" s="2">
        <v>0.08</v>
      </c>
      <c r="R30" s="2">
        <v>0</v>
      </c>
      <c r="S30" s="2">
        <v>133</v>
      </c>
      <c r="T30" t="s">
        <v>492</v>
      </c>
      <c r="U30" s="6">
        <v>24957</v>
      </c>
      <c r="V30" s="2">
        <v>47037012701</v>
      </c>
      <c r="W30" s="2" t="s">
        <v>68</v>
      </c>
      <c r="X30" s="1">
        <v>45658</v>
      </c>
      <c r="Y30" s="2">
        <v>300</v>
      </c>
      <c r="Z30" s="2">
        <v>0</v>
      </c>
      <c r="AA30" s="2">
        <v>300</v>
      </c>
    </row>
    <row r="31" spans="1:27" x14ac:dyDescent="0.3">
      <c r="A31" s="4" t="s">
        <v>386</v>
      </c>
      <c r="B31" s="2" t="str">
        <f>"05900012400"</f>
        <v>05900012400</v>
      </c>
      <c r="C31" s="2" t="s">
        <v>493</v>
      </c>
      <c r="D31" t="s">
        <v>29</v>
      </c>
      <c r="E31" s="2" t="s">
        <v>30</v>
      </c>
      <c r="F31" s="2">
        <v>37207</v>
      </c>
      <c r="G31" s="2" t="s">
        <v>64</v>
      </c>
      <c r="H31" t="s">
        <v>99</v>
      </c>
      <c r="I31" s="6">
        <v>41444</v>
      </c>
      <c r="J31" s="2" t="s">
        <v>494</v>
      </c>
      <c r="K31" s="2">
        <v>2368</v>
      </c>
      <c r="L31" t="s">
        <v>35</v>
      </c>
      <c r="M31" t="s">
        <v>29</v>
      </c>
      <c r="N31" t="s">
        <v>30</v>
      </c>
      <c r="O31">
        <v>37219</v>
      </c>
      <c r="P31" t="s">
        <v>495</v>
      </c>
      <c r="Q31" s="2">
        <v>0.54</v>
      </c>
      <c r="R31" s="2">
        <v>155</v>
      </c>
      <c r="S31" s="2">
        <v>123</v>
      </c>
      <c r="T31" t="s">
        <v>496</v>
      </c>
      <c r="U31" s="6">
        <v>21766</v>
      </c>
      <c r="V31" s="2">
        <v>47037012701</v>
      </c>
      <c r="W31" s="2" t="s">
        <v>68</v>
      </c>
      <c r="X31" s="1">
        <v>45658</v>
      </c>
      <c r="Y31" s="2">
        <v>142300</v>
      </c>
      <c r="Z31" s="2">
        <v>0</v>
      </c>
      <c r="AA31" s="2">
        <v>142300</v>
      </c>
    </row>
    <row r="32" spans="1:27" x14ac:dyDescent="0.3">
      <c r="A32" s="4" t="s">
        <v>386</v>
      </c>
      <c r="B32" s="2" t="str">
        <f>"05911014800"</f>
        <v>05911014800</v>
      </c>
      <c r="C32" s="2" t="s">
        <v>497</v>
      </c>
      <c r="D32" t="s">
        <v>29</v>
      </c>
      <c r="E32" s="2" t="s">
        <v>30</v>
      </c>
      <c r="F32" s="2">
        <v>37207</v>
      </c>
      <c r="G32" s="2" t="s">
        <v>64</v>
      </c>
      <c r="H32" t="s">
        <v>99</v>
      </c>
      <c r="I32" s="6">
        <v>35655</v>
      </c>
      <c r="J32" s="2" t="s">
        <v>498</v>
      </c>
      <c r="K32" s="2" t="s">
        <v>34</v>
      </c>
      <c r="L32" t="s">
        <v>35</v>
      </c>
      <c r="M32" t="s">
        <v>29</v>
      </c>
      <c r="N32" t="s">
        <v>30</v>
      </c>
      <c r="O32">
        <v>37219</v>
      </c>
      <c r="P32" t="s">
        <v>499</v>
      </c>
      <c r="Q32" s="2">
        <v>0.11</v>
      </c>
      <c r="R32" s="2">
        <v>102</v>
      </c>
      <c r="S32" s="2">
        <v>91</v>
      </c>
      <c r="T32" t="s">
        <v>449</v>
      </c>
      <c r="U32" s="6">
        <v>23378</v>
      </c>
      <c r="V32" s="2">
        <v>47037012701</v>
      </c>
      <c r="W32" s="2" t="s">
        <v>68</v>
      </c>
      <c r="X32" s="1">
        <v>45658</v>
      </c>
      <c r="Y32" s="2">
        <v>2000</v>
      </c>
      <c r="Z32" s="2">
        <v>0</v>
      </c>
      <c r="AA32" s="2">
        <v>2000</v>
      </c>
    </row>
    <row r="33" spans="1:27" x14ac:dyDescent="0.3">
      <c r="A33" s="4" t="s">
        <v>386</v>
      </c>
      <c r="B33" s="2" t="str">
        <f>"05900017200"</f>
        <v>05900017200</v>
      </c>
      <c r="C33" s="2" t="s">
        <v>500</v>
      </c>
      <c r="D33" t="s">
        <v>29</v>
      </c>
      <c r="E33" s="2" t="s">
        <v>30</v>
      </c>
      <c r="F33" s="2">
        <v>37207</v>
      </c>
      <c r="G33" s="2" t="s">
        <v>147</v>
      </c>
      <c r="H33" t="s">
        <v>501</v>
      </c>
      <c r="I33" s="6">
        <v>26885</v>
      </c>
      <c r="J33" s="2" t="s">
        <v>502</v>
      </c>
      <c r="K33" s="2" t="s">
        <v>34</v>
      </c>
      <c r="L33" t="s">
        <v>35</v>
      </c>
      <c r="M33" t="s">
        <v>29</v>
      </c>
      <c r="N33" t="s">
        <v>30</v>
      </c>
      <c r="O33">
        <v>37219</v>
      </c>
      <c r="P33" t="s">
        <v>503</v>
      </c>
      <c r="Q33" s="2">
        <v>1.82</v>
      </c>
      <c r="R33" s="2">
        <v>0</v>
      </c>
      <c r="S33" s="2">
        <v>0</v>
      </c>
      <c r="T33" t="s">
        <v>502</v>
      </c>
      <c r="U33" s="6">
        <v>26885</v>
      </c>
      <c r="V33" s="2">
        <v>47037012701</v>
      </c>
      <c r="W33" s="2" t="s">
        <v>68</v>
      </c>
      <c r="X33" s="1">
        <v>45658</v>
      </c>
      <c r="Y33" s="2">
        <v>204700</v>
      </c>
      <c r="Z33" s="2">
        <v>0</v>
      </c>
      <c r="AA33" s="2">
        <v>204700</v>
      </c>
    </row>
    <row r="34" spans="1:27" x14ac:dyDescent="0.3">
      <c r="A34" s="4" t="s">
        <v>386</v>
      </c>
      <c r="B34" s="2" t="str">
        <f>"07102020200"</f>
        <v>07102020200</v>
      </c>
      <c r="C34" s="2" t="s">
        <v>504</v>
      </c>
      <c r="D34" t="s">
        <v>29</v>
      </c>
      <c r="E34" s="2" t="s">
        <v>30</v>
      </c>
      <c r="F34" s="2">
        <v>37207</v>
      </c>
      <c r="G34" s="2" t="s">
        <v>505</v>
      </c>
      <c r="H34" t="s">
        <v>506</v>
      </c>
      <c r="I34" s="6">
        <v>45280</v>
      </c>
      <c r="J34" s="2" t="s">
        <v>507</v>
      </c>
      <c r="K34" s="2" t="s">
        <v>34</v>
      </c>
      <c r="L34" t="s">
        <v>508</v>
      </c>
      <c r="M34" t="s">
        <v>29</v>
      </c>
      <c r="N34" t="s">
        <v>30</v>
      </c>
      <c r="O34">
        <v>37219</v>
      </c>
      <c r="P34" t="s">
        <v>509</v>
      </c>
      <c r="Q34" s="2">
        <v>1.36</v>
      </c>
      <c r="R34" s="2">
        <v>133</v>
      </c>
      <c r="S34" s="2">
        <v>219</v>
      </c>
      <c r="T34" t="s">
        <v>510</v>
      </c>
      <c r="U34" s="6">
        <v>36677</v>
      </c>
      <c r="V34" s="2">
        <v>47037012701</v>
      </c>
      <c r="W34" s="2" t="s">
        <v>68</v>
      </c>
      <c r="X34" s="1">
        <v>45658</v>
      </c>
      <c r="Y34" s="2">
        <v>9198500</v>
      </c>
      <c r="Z34" s="2">
        <v>7510100</v>
      </c>
      <c r="AA34" s="2">
        <v>1688400</v>
      </c>
    </row>
    <row r="35" spans="1:27" x14ac:dyDescent="0.3">
      <c r="A35" s="4" t="s">
        <v>386</v>
      </c>
      <c r="B35" s="2" t="str">
        <f>"07102007600"</f>
        <v>07102007600</v>
      </c>
      <c r="C35" s="2" t="s">
        <v>511</v>
      </c>
      <c r="D35" t="s">
        <v>29</v>
      </c>
      <c r="E35" s="2" t="s">
        <v>30</v>
      </c>
      <c r="F35" s="2">
        <v>37207</v>
      </c>
      <c r="G35" s="2" t="s">
        <v>505</v>
      </c>
      <c r="H35" t="s">
        <v>512</v>
      </c>
      <c r="I35" s="6">
        <v>45656</v>
      </c>
      <c r="J35" s="2" t="s">
        <v>513</v>
      </c>
      <c r="K35" s="2" t="s">
        <v>34</v>
      </c>
      <c r="L35" t="s">
        <v>514</v>
      </c>
      <c r="M35" t="s">
        <v>29</v>
      </c>
      <c r="N35" t="s">
        <v>30</v>
      </c>
      <c r="O35">
        <v>37219</v>
      </c>
      <c r="P35" t="s">
        <v>515</v>
      </c>
      <c r="Q35" s="2">
        <v>0.59</v>
      </c>
      <c r="R35" s="2">
        <v>118</v>
      </c>
      <c r="S35" s="2">
        <v>175</v>
      </c>
      <c r="T35" t="s">
        <v>516</v>
      </c>
      <c r="U35" s="6">
        <v>45499</v>
      </c>
      <c r="V35" s="2">
        <v>47037010103</v>
      </c>
      <c r="W35" s="2" t="s">
        <v>68</v>
      </c>
      <c r="X35" s="1">
        <v>45658</v>
      </c>
      <c r="Y35" s="2">
        <v>4349100</v>
      </c>
      <c r="Z35" s="2">
        <v>3629500</v>
      </c>
      <c r="AA35" s="2">
        <v>719600</v>
      </c>
    </row>
    <row r="36" spans="1:27" x14ac:dyDescent="0.3">
      <c r="A36" s="4" t="s">
        <v>386</v>
      </c>
      <c r="B36" s="2" t="str">
        <f>"07110001800"</f>
        <v>07110001800</v>
      </c>
      <c r="C36" s="2" t="s">
        <v>517</v>
      </c>
      <c r="D36" t="s">
        <v>29</v>
      </c>
      <c r="E36" s="2" t="s">
        <v>30</v>
      </c>
      <c r="F36" s="2">
        <v>37207</v>
      </c>
      <c r="G36" s="2" t="s">
        <v>41</v>
      </c>
      <c r="H36" t="s">
        <v>518</v>
      </c>
      <c r="I36" s="6">
        <v>44516</v>
      </c>
      <c r="J36" s="2" t="s">
        <v>519</v>
      </c>
      <c r="K36" s="2">
        <v>9000000</v>
      </c>
      <c r="L36" t="s">
        <v>520</v>
      </c>
      <c r="M36" t="s">
        <v>29</v>
      </c>
      <c r="N36" t="s">
        <v>30</v>
      </c>
      <c r="O36">
        <v>37210</v>
      </c>
      <c r="P36" t="s">
        <v>521</v>
      </c>
      <c r="Q36" s="2">
        <v>0.94</v>
      </c>
      <c r="R36" s="2">
        <v>138</v>
      </c>
      <c r="S36" s="2">
        <v>295</v>
      </c>
      <c r="T36" t="s">
        <v>522</v>
      </c>
      <c r="U36" s="6">
        <v>12768</v>
      </c>
      <c r="V36" s="2">
        <v>47037012702</v>
      </c>
      <c r="W36" s="2" t="s">
        <v>68</v>
      </c>
      <c r="X36" s="1">
        <v>45658</v>
      </c>
      <c r="Y36" s="2">
        <v>618800</v>
      </c>
      <c r="Z36" s="2">
        <v>0</v>
      </c>
      <c r="AA36" s="2">
        <v>618800</v>
      </c>
    </row>
    <row r="37" spans="1:27" x14ac:dyDescent="0.3">
      <c r="A37" s="4" t="s">
        <v>386</v>
      </c>
      <c r="B37" s="2" t="str">
        <f>"07106005300"</f>
        <v>07106005300</v>
      </c>
      <c r="C37" s="2" t="s">
        <v>523</v>
      </c>
      <c r="D37" t="s">
        <v>29</v>
      </c>
      <c r="E37" s="2" t="s">
        <v>30</v>
      </c>
      <c r="F37" s="2">
        <v>37207</v>
      </c>
      <c r="G37" s="2" t="s">
        <v>524</v>
      </c>
      <c r="H37" t="s">
        <v>518</v>
      </c>
      <c r="I37" s="6">
        <v>44516</v>
      </c>
      <c r="J37" s="2" t="s">
        <v>519</v>
      </c>
      <c r="K37" s="2">
        <v>9000000</v>
      </c>
      <c r="L37" t="s">
        <v>520</v>
      </c>
      <c r="M37" t="s">
        <v>29</v>
      </c>
      <c r="N37" t="s">
        <v>30</v>
      </c>
      <c r="O37">
        <v>37210</v>
      </c>
      <c r="P37" t="s">
        <v>525</v>
      </c>
      <c r="Q37" s="2">
        <v>13</v>
      </c>
      <c r="R37" s="2">
        <v>0</v>
      </c>
      <c r="S37" s="2">
        <v>0</v>
      </c>
      <c r="T37" t="s">
        <v>526</v>
      </c>
      <c r="U37" s="6">
        <v>16319</v>
      </c>
      <c r="V37" s="2">
        <v>47037012702</v>
      </c>
      <c r="W37" s="2" t="s">
        <v>68</v>
      </c>
      <c r="X37" s="1">
        <v>45658</v>
      </c>
      <c r="Y37" s="2">
        <v>2369900</v>
      </c>
      <c r="Z37" s="2">
        <v>0</v>
      </c>
      <c r="AA37" s="2">
        <v>2369900</v>
      </c>
    </row>
    <row r="38" spans="1:27" x14ac:dyDescent="0.3">
      <c r="A38" s="4" t="s">
        <v>386</v>
      </c>
      <c r="B38" s="2" t="str">
        <f>"07015003800"</f>
        <v>07015003800</v>
      </c>
      <c r="C38" s="2" t="s">
        <v>434</v>
      </c>
      <c r="D38" t="s">
        <v>29</v>
      </c>
      <c r="E38" s="2" t="s">
        <v>30</v>
      </c>
      <c r="F38" s="2">
        <v>37208</v>
      </c>
      <c r="G38" s="2" t="s">
        <v>527</v>
      </c>
      <c r="H38" t="s">
        <v>528</v>
      </c>
      <c r="I38" s="6">
        <v>5118</v>
      </c>
      <c r="J38" s="2" t="s">
        <v>529</v>
      </c>
      <c r="K38" s="2" t="s">
        <v>34</v>
      </c>
      <c r="L38" t="s">
        <v>35</v>
      </c>
      <c r="M38" t="s">
        <v>29</v>
      </c>
      <c r="N38" t="s">
        <v>30</v>
      </c>
      <c r="O38">
        <v>37219</v>
      </c>
      <c r="P38" t="s">
        <v>530</v>
      </c>
      <c r="Q38" s="2">
        <v>5.68</v>
      </c>
      <c r="R38" s="2">
        <v>0</v>
      </c>
      <c r="S38" s="2">
        <v>0</v>
      </c>
      <c r="T38" t="s">
        <v>529</v>
      </c>
      <c r="U38" s="6">
        <v>5118</v>
      </c>
      <c r="V38" s="2">
        <v>47037013700</v>
      </c>
      <c r="W38" s="2" t="s">
        <v>68</v>
      </c>
      <c r="X38" s="1">
        <v>45658</v>
      </c>
      <c r="Y38" s="2">
        <v>578400</v>
      </c>
      <c r="Z38" s="2">
        <v>0</v>
      </c>
      <c r="AA38" s="2">
        <v>578400</v>
      </c>
    </row>
    <row r="39" spans="1:27" x14ac:dyDescent="0.3">
      <c r="A39" s="4" t="s">
        <v>386</v>
      </c>
      <c r="B39" s="2" t="str">
        <f>"06007011700"</f>
        <v>06007011700</v>
      </c>
      <c r="C39" s="2" t="s">
        <v>531</v>
      </c>
      <c r="D39" t="s">
        <v>29</v>
      </c>
      <c r="E39" s="2" t="s">
        <v>30</v>
      </c>
      <c r="F39" s="2">
        <v>37207</v>
      </c>
      <c r="G39" s="2" t="s">
        <v>152</v>
      </c>
      <c r="H39" t="s">
        <v>176</v>
      </c>
      <c r="I39" s="6">
        <v>20523</v>
      </c>
      <c r="J39" s="2" t="s">
        <v>532</v>
      </c>
      <c r="K39" s="2" t="s">
        <v>34</v>
      </c>
      <c r="L39" t="s">
        <v>178</v>
      </c>
      <c r="M39" t="s">
        <v>29</v>
      </c>
      <c r="N39" t="s">
        <v>30</v>
      </c>
      <c r="O39">
        <v>37246</v>
      </c>
      <c r="P39" t="s">
        <v>533</v>
      </c>
      <c r="Q39" s="2">
        <v>0.55000000000000004</v>
      </c>
      <c r="R39" s="2">
        <v>330</v>
      </c>
      <c r="S39" s="2">
        <v>140</v>
      </c>
      <c r="T39" t="s">
        <v>532</v>
      </c>
      <c r="U39" s="6">
        <v>20523</v>
      </c>
      <c r="V39" s="2">
        <v>47037011001</v>
      </c>
      <c r="W39" s="2" t="s">
        <v>68</v>
      </c>
      <c r="X39" s="1">
        <v>45658</v>
      </c>
      <c r="Y39" s="2">
        <v>16500</v>
      </c>
      <c r="Z39" s="2">
        <v>0</v>
      </c>
      <c r="AA39" s="2">
        <v>16500</v>
      </c>
    </row>
    <row r="40" spans="1:27" x14ac:dyDescent="0.3">
      <c r="A40" s="4" t="s">
        <v>386</v>
      </c>
      <c r="B40" s="2" t="str">
        <f>"05913002400"</f>
        <v>05913002400</v>
      </c>
      <c r="C40" s="2" t="s">
        <v>534</v>
      </c>
      <c r="D40" t="s">
        <v>29</v>
      </c>
      <c r="E40" s="2" t="s">
        <v>30</v>
      </c>
      <c r="F40" s="2">
        <v>37218</v>
      </c>
      <c r="G40" s="2" t="s">
        <v>152</v>
      </c>
      <c r="H40" t="s">
        <v>176</v>
      </c>
      <c r="I40" s="6">
        <v>21397</v>
      </c>
      <c r="J40" s="2" t="s">
        <v>535</v>
      </c>
      <c r="K40" s="2" t="s">
        <v>34</v>
      </c>
      <c r="L40" t="s">
        <v>178</v>
      </c>
      <c r="M40" t="s">
        <v>29</v>
      </c>
      <c r="N40" t="s">
        <v>30</v>
      </c>
      <c r="O40">
        <v>37246</v>
      </c>
      <c r="P40" t="s">
        <v>536</v>
      </c>
      <c r="Q40" s="2">
        <v>0.66</v>
      </c>
      <c r="R40" s="2">
        <v>217</v>
      </c>
      <c r="S40" s="2">
        <v>80</v>
      </c>
      <c r="T40" t="s">
        <v>535</v>
      </c>
      <c r="U40" s="6">
        <v>21397</v>
      </c>
      <c r="V40" s="2">
        <v>47037012801</v>
      </c>
      <c r="W40" s="2" t="s">
        <v>68</v>
      </c>
      <c r="X40" s="1">
        <v>45658</v>
      </c>
      <c r="Y40" s="2">
        <v>98700</v>
      </c>
      <c r="Z40" s="2">
        <v>0</v>
      </c>
      <c r="AA40" s="2">
        <v>98700</v>
      </c>
    </row>
    <row r="41" spans="1:27" x14ac:dyDescent="0.3">
      <c r="A41" s="4" t="s">
        <v>386</v>
      </c>
      <c r="B41" s="2" t="str">
        <f>"08107009400"</f>
        <v>08107009400</v>
      </c>
      <c r="C41" s="2" t="s">
        <v>537</v>
      </c>
      <c r="D41" t="s">
        <v>29</v>
      </c>
      <c r="E41" s="2" t="s">
        <v>30</v>
      </c>
      <c r="F41" s="2">
        <v>37208</v>
      </c>
      <c r="G41" s="2" t="s">
        <v>152</v>
      </c>
      <c r="H41" t="s">
        <v>176</v>
      </c>
      <c r="I41" s="6">
        <v>19854</v>
      </c>
      <c r="J41" s="2" t="s">
        <v>538</v>
      </c>
      <c r="K41" s="2" t="s">
        <v>34</v>
      </c>
      <c r="L41" t="s">
        <v>178</v>
      </c>
      <c r="M41" t="s">
        <v>29</v>
      </c>
      <c r="N41" t="s">
        <v>30</v>
      </c>
      <c r="O41">
        <v>37246</v>
      </c>
      <c r="P41" t="s">
        <v>539</v>
      </c>
      <c r="Q41" s="2">
        <v>0.16</v>
      </c>
      <c r="R41" s="2">
        <v>65</v>
      </c>
      <c r="S41" s="2">
        <v>100</v>
      </c>
      <c r="T41" t="s">
        <v>538</v>
      </c>
      <c r="U41" s="6">
        <v>19854</v>
      </c>
      <c r="V41" s="2">
        <v>47037013700</v>
      </c>
      <c r="W41" s="2" t="s">
        <v>68</v>
      </c>
      <c r="X41" s="1">
        <v>45658</v>
      </c>
      <c r="Y41" s="2">
        <v>182800</v>
      </c>
      <c r="Z41" s="2">
        <v>0</v>
      </c>
      <c r="AA41" s="2">
        <v>182800</v>
      </c>
    </row>
    <row r="42" spans="1:27" x14ac:dyDescent="0.3">
      <c r="A42" s="4" t="s">
        <v>386</v>
      </c>
      <c r="B42" s="2" t="str">
        <f>"07102000300"</f>
        <v>07102000300</v>
      </c>
      <c r="C42" s="2" t="s">
        <v>540</v>
      </c>
      <c r="D42" t="s">
        <v>29</v>
      </c>
      <c r="E42" s="2" t="s">
        <v>30</v>
      </c>
      <c r="F42" s="2">
        <v>37207</v>
      </c>
      <c r="G42" s="2" t="s">
        <v>64</v>
      </c>
      <c r="H42" t="s">
        <v>176</v>
      </c>
      <c r="I42" s="6">
        <v>41201</v>
      </c>
      <c r="J42" s="2" t="s">
        <v>541</v>
      </c>
      <c r="K42" s="2">
        <v>325000</v>
      </c>
      <c r="L42" t="s">
        <v>542</v>
      </c>
      <c r="M42" t="s">
        <v>29</v>
      </c>
      <c r="N42" t="s">
        <v>30</v>
      </c>
      <c r="O42">
        <v>37246</v>
      </c>
      <c r="P42" t="s">
        <v>543</v>
      </c>
      <c r="Q42" s="2">
        <v>7.02</v>
      </c>
      <c r="R42" s="2">
        <v>0</v>
      </c>
      <c r="S42" s="2">
        <v>0</v>
      </c>
      <c r="T42" t="s">
        <v>544</v>
      </c>
      <c r="U42" s="6">
        <v>35207</v>
      </c>
      <c r="V42" s="2">
        <v>47037012701</v>
      </c>
      <c r="W42" s="2" t="s">
        <v>68</v>
      </c>
      <c r="X42" s="1">
        <v>45658</v>
      </c>
      <c r="Y42" s="2">
        <v>333400</v>
      </c>
      <c r="Z42" s="2">
        <v>0</v>
      </c>
      <c r="AA42" s="2">
        <v>333400</v>
      </c>
    </row>
    <row r="43" spans="1:27" x14ac:dyDescent="0.3">
      <c r="A43" s="4" t="s">
        <v>386</v>
      </c>
      <c r="B43" s="2" t="str">
        <f>"08104022300"</f>
        <v>08104022300</v>
      </c>
      <c r="C43" s="2" t="s">
        <v>545</v>
      </c>
      <c r="D43" t="s">
        <v>29</v>
      </c>
      <c r="E43" s="2" t="s">
        <v>30</v>
      </c>
      <c r="F43" s="2">
        <v>37228</v>
      </c>
      <c r="G43" s="2" t="s">
        <v>152</v>
      </c>
      <c r="H43" t="s">
        <v>176</v>
      </c>
      <c r="I43" s="6">
        <v>27198</v>
      </c>
      <c r="J43" s="2" t="s">
        <v>546</v>
      </c>
      <c r="K43" s="2">
        <v>93654</v>
      </c>
      <c r="L43" t="s">
        <v>178</v>
      </c>
      <c r="M43" t="s">
        <v>29</v>
      </c>
      <c r="N43" t="s">
        <v>30</v>
      </c>
      <c r="O43">
        <v>37246</v>
      </c>
      <c r="P43" t="s">
        <v>547</v>
      </c>
      <c r="Q43" s="2">
        <v>2.15</v>
      </c>
      <c r="R43" s="2">
        <v>253</v>
      </c>
      <c r="S43" s="2">
        <v>349</v>
      </c>
      <c r="T43" t="s">
        <v>548</v>
      </c>
      <c r="U43" s="6">
        <v>26604</v>
      </c>
      <c r="V43" s="2">
        <v>47037013700</v>
      </c>
      <c r="W43" s="2" t="s">
        <v>68</v>
      </c>
      <c r="X43" s="1">
        <v>45658</v>
      </c>
      <c r="Y43" s="2">
        <v>1966700</v>
      </c>
      <c r="Z43" s="2">
        <v>0</v>
      </c>
      <c r="AA43" s="2">
        <v>1966700</v>
      </c>
    </row>
    <row r="44" spans="1:27" x14ac:dyDescent="0.3">
      <c r="A44" s="4" t="s">
        <v>386</v>
      </c>
      <c r="B44" s="2" t="str">
        <f>"06000002500"</f>
        <v>06000002500</v>
      </c>
      <c r="C44" s="2" t="s">
        <v>549</v>
      </c>
      <c r="D44" t="s">
        <v>29</v>
      </c>
      <c r="E44" s="2" t="s">
        <v>30</v>
      </c>
      <c r="F44" s="2">
        <v>37207</v>
      </c>
      <c r="G44" s="2" t="s">
        <v>200</v>
      </c>
      <c r="H44" t="s">
        <v>550</v>
      </c>
      <c r="I44" s="6">
        <v>30511</v>
      </c>
      <c r="J44" s="2" t="s">
        <v>551</v>
      </c>
      <c r="K44" s="2">
        <v>48776</v>
      </c>
      <c r="L44" t="s">
        <v>35</v>
      </c>
      <c r="M44" t="s">
        <v>29</v>
      </c>
      <c r="N44" t="s">
        <v>30</v>
      </c>
      <c r="O44">
        <v>37219</v>
      </c>
      <c r="P44" t="s">
        <v>552</v>
      </c>
      <c r="Q44" s="2">
        <v>27.48</v>
      </c>
      <c r="R44" s="2">
        <v>0</v>
      </c>
      <c r="S44" s="2">
        <v>0</v>
      </c>
      <c r="T44" t="s">
        <v>553</v>
      </c>
      <c r="U44" s="6">
        <v>30550</v>
      </c>
      <c r="V44" s="2">
        <v>47037012701</v>
      </c>
      <c r="W44" s="2" t="s">
        <v>68</v>
      </c>
      <c r="X44" s="1">
        <v>45658</v>
      </c>
      <c r="Y44" s="2">
        <v>1394400</v>
      </c>
      <c r="Z44" s="2">
        <v>0</v>
      </c>
      <c r="AA44" s="2">
        <v>1394400</v>
      </c>
    </row>
    <row r="45" spans="1:27" x14ac:dyDescent="0.3">
      <c r="A45" s="4" t="s">
        <v>386</v>
      </c>
      <c r="B45" s="2" t="str">
        <f>"08103025000"</f>
        <v>08103025000</v>
      </c>
      <c r="C45" s="2" t="s">
        <v>554</v>
      </c>
      <c r="D45" t="s">
        <v>29</v>
      </c>
      <c r="E45" s="2" t="s">
        <v>30</v>
      </c>
      <c r="F45" s="2">
        <v>37208</v>
      </c>
      <c r="G45" s="2" t="s">
        <v>64</v>
      </c>
      <c r="H45" t="s">
        <v>555</v>
      </c>
      <c r="I45" s="6">
        <v>17435</v>
      </c>
      <c r="J45" s="2" t="s">
        <v>556</v>
      </c>
      <c r="K45" s="2" t="s">
        <v>34</v>
      </c>
      <c r="L45" t="s">
        <v>35</v>
      </c>
      <c r="M45" t="s">
        <v>29</v>
      </c>
      <c r="N45" t="s">
        <v>30</v>
      </c>
      <c r="O45">
        <v>37219</v>
      </c>
      <c r="P45" t="s">
        <v>557</v>
      </c>
      <c r="Q45" s="2">
        <v>9.91</v>
      </c>
      <c r="R45" s="2">
        <v>0</v>
      </c>
      <c r="S45" s="2">
        <v>0</v>
      </c>
      <c r="T45" t="s">
        <v>556</v>
      </c>
      <c r="U45" s="6">
        <v>17435</v>
      </c>
      <c r="V45" s="2">
        <v>47037013700</v>
      </c>
      <c r="W45" s="2" t="s">
        <v>68</v>
      </c>
      <c r="X45" s="1">
        <v>45658</v>
      </c>
      <c r="Y45" s="2">
        <v>800900</v>
      </c>
      <c r="Z45" s="2">
        <v>0</v>
      </c>
      <c r="AA45" s="2">
        <v>800900</v>
      </c>
    </row>
    <row r="46" spans="1:27" x14ac:dyDescent="0.3">
      <c r="A46" s="4" t="s">
        <v>386</v>
      </c>
      <c r="B46" s="2" t="str">
        <f>"08103027900"</f>
        <v>08103027900</v>
      </c>
      <c r="C46" s="2" t="s">
        <v>558</v>
      </c>
      <c r="D46" t="s">
        <v>29</v>
      </c>
      <c r="E46" s="2" t="s">
        <v>30</v>
      </c>
      <c r="F46" s="2">
        <v>37208</v>
      </c>
      <c r="G46" s="2" t="s">
        <v>200</v>
      </c>
      <c r="H46" t="s">
        <v>555</v>
      </c>
      <c r="I46" s="6">
        <v>17435</v>
      </c>
      <c r="J46" s="2" t="s">
        <v>556</v>
      </c>
      <c r="K46" s="2" t="s">
        <v>34</v>
      </c>
      <c r="L46" t="s">
        <v>35</v>
      </c>
      <c r="M46" t="s">
        <v>29</v>
      </c>
      <c r="N46" t="s">
        <v>30</v>
      </c>
      <c r="O46">
        <v>37219</v>
      </c>
      <c r="P46" t="s">
        <v>559</v>
      </c>
      <c r="Q46" s="2">
        <v>3.14</v>
      </c>
      <c r="R46" s="2">
        <v>0</v>
      </c>
      <c r="S46" s="2">
        <v>0</v>
      </c>
      <c r="T46" t="s">
        <v>556</v>
      </c>
      <c r="U46" s="6">
        <v>17435</v>
      </c>
      <c r="V46" s="2">
        <v>47037013700</v>
      </c>
      <c r="W46" s="2" t="s">
        <v>68</v>
      </c>
      <c r="X46" s="1">
        <v>45658</v>
      </c>
      <c r="Y46" s="2">
        <v>268900</v>
      </c>
      <c r="Z46" s="2">
        <v>0</v>
      </c>
      <c r="AA46" s="2">
        <v>268900</v>
      </c>
    </row>
    <row r="47" spans="1:27" x14ac:dyDescent="0.3">
      <c r="A47" s="4" t="s">
        <v>386</v>
      </c>
      <c r="B47" s="2" t="str">
        <f>"08103027800"</f>
        <v>08103027800</v>
      </c>
      <c r="C47" s="2" t="s">
        <v>560</v>
      </c>
      <c r="D47" t="s">
        <v>29</v>
      </c>
      <c r="E47" s="2" t="s">
        <v>30</v>
      </c>
      <c r="F47" s="2">
        <v>37208</v>
      </c>
      <c r="G47" s="2" t="s">
        <v>200</v>
      </c>
      <c r="H47" t="s">
        <v>555</v>
      </c>
      <c r="I47" s="6">
        <v>17519</v>
      </c>
      <c r="J47" s="2" t="s">
        <v>561</v>
      </c>
      <c r="K47" s="2" t="s">
        <v>34</v>
      </c>
      <c r="L47" t="s">
        <v>35</v>
      </c>
      <c r="M47" t="s">
        <v>29</v>
      </c>
      <c r="N47" t="s">
        <v>30</v>
      </c>
      <c r="O47">
        <v>37219</v>
      </c>
      <c r="P47" t="s">
        <v>562</v>
      </c>
      <c r="Q47" s="2">
        <v>0.71</v>
      </c>
      <c r="R47" s="2">
        <v>202</v>
      </c>
      <c r="S47" s="2">
        <v>158</v>
      </c>
      <c r="T47" t="s">
        <v>556</v>
      </c>
      <c r="U47" s="6">
        <v>17519</v>
      </c>
      <c r="V47" s="2">
        <v>47037013700</v>
      </c>
      <c r="W47" s="2" t="s">
        <v>68</v>
      </c>
      <c r="X47" s="1">
        <v>45658</v>
      </c>
      <c r="Y47" s="2">
        <v>209000</v>
      </c>
      <c r="Z47" s="2">
        <v>0</v>
      </c>
      <c r="AA47" s="2">
        <v>209000</v>
      </c>
    </row>
    <row r="48" spans="1:27" x14ac:dyDescent="0.3">
      <c r="A48" s="4" t="s">
        <v>386</v>
      </c>
      <c r="B48" s="2" t="str">
        <f>"08103025100"</f>
        <v>08103025100</v>
      </c>
      <c r="C48" s="2" t="s">
        <v>563</v>
      </c>
      <c r="D48" t="s">
        <v>29</v>
      </c>
      <c r="E48" s="2" t="s">
        <v>30</v>
      </c>
      <c r="F48" s="2">
        <v>37208</v>
      </c>
      <c r="G48" s="2" t="s">
        <v>64</v>
      </c>
      <c r="H48" t="s">
        <v>555</v>
      </c>
      <c r="I48" s="6">
        <v>17435</v>
      </c>
      <c r="J48" s="2" t="s">
        <v>556</v>
      </c>
      <c r="K48" s="2" t="s">
        <v>34</v>
      </c>
      <c r="L48" t="s">
        <v>35</v>
      </c>
      <c r="M48" t="s">
        <v>29</v>
      </c>
      <c r="N48" t="s">
        <v>30</v>
      </c>
      <c r="O48">
        <v>37219</v>
      </c>
      <c r="P48" t="s">
        <v>564</v>
      </c>
      <c r="Q48" s="2">
        <v>1.19</v>
      </c>
      <c r="R48" s="2">
        <v>325</v>
      </c>
      <c r="S48" s="2">
        <v>158</v>
      </c>
      <c r="T48" t="s">
        <v>556</v>
      </c>
      <c r="U48" s="6">
        <v>17435</v>
      </c>
      <c r="V48" s="2">
        <v>47037013700</v>
      </c>
      <c r="W48" s="2" t="s">
        <v>68</v>
      </c>
      <c r="X48" s="1">
        <v>45658</v>
      </c>
      <c r="Y48" s="2">
        <v>215200</v>
      </c>
      <c r="Z48" s="2">
        <v>0</v>
      </c>
      <c r="AA48" s="2">
        <v>215200</v>
      </c>
    </row>
    <row r="49" spans="1:27" x14ac:dyDescent="0.3">
      <c r="A49" s="4" t="s">
        <v>386</v>
      </c>
      <c r="B49" s="2" t="str">
        <f>"08103027700"</f>
        <v>08103027700</v>
      </c>
      <c r="C49" s="2" t="s">
        <v>565</v>
      </c>
      <c r="D49" t="s">
        <v>29</v>
      </c>
      <c r="E49" s="2" t="s">
        <v>30</v>
      </c>
      <c r="F49" s="2">
        <v>37208</v>
      </c>
      <c r="G49" s="2" t="s">
        <v>200</v>
      </c>
      <c r="H49" t="s">
        <v>555</v>
      </c>
      <c r="I49" s="6">
        <v>27019</v>
      </c>
      <c r="J49" s="2" t="s">
        <v>566</v>
      </c>
      <c r="K49" s="2" t="s">
        <v>34</v>
      </c>
      <c r="L49" t="s">
        <v>35</v>
      </c>
      <c r="M49" t="s">
        <v>29</v>
      </c>
      <c r="N49" t="s">
        <v>30</v>
      </c>
      <c r="O49">
        <v>37219</v>
      </c>
      <c r="P49" t="s">
        <v>567</v>
      </c>
      <c r="Q49" s="2">
        <v>0.18</v>
      </c>
      <c r="R49" s="2">
        <v>50</v>
      </c>
      <c r="S49" s="2">
        <v>158</v>
      </c>
      <c r="T49" t="s">
        <v>566</v>
      </c>
      <c r="U49" s="6">
        <v>27019</v>
      </c>
      <c r="V49" s="2">
        <v>47037013700</v>
      </c>
      <c r="W49" s="2" t="s">
        <v>68</v>
      </c>
      <c r="X49" s="1">
        <v>45658</v>
      </c>
      <c r="Y49" s="2">
        <v>190000</v>
      </c>
      <c r="Z49" s="2">
        <v>0</v>
      </c>
      <c r="AA49" s="2">
        <v>190000</v>
      </c>
    </row>
    <row r="50" spans="1:27" x14ac:dyDescent="0.3">
      <c r="A50" s="4" t="s">
        <v>386</v>
      </c>
      <c r="B50" s="2" t="str">
        <f>"08103027600"</f>
        <v>08103027600</v>
      </c>
      <c r="C50" s="2" t="s">
        <v>568</v>
      </c>
      <c r="D50" t="s">
        <v>29</v>
      </c>
      <c r="E50" s="2" t="s">
        <v>30</v>
      </c>
      <c r="F50" s="2">
        <v>37208</v>
      </c>
      <c r="G50" s="2" t="s">
        <v>200</v>
      </c>
      <c r="H50" t="s">
        <v>555</v>
      </c>
      <c r="I50" s="6">
        <v>17435</v>
      </c>
      <c r="J50" s="2" t="s">
        <v>556</v>
      </c>
      <c r="K50" s="2" t="s">
        <v>34</v>
      </c>
      <c r="L50" t="s">
        <v>35</v>
      </c>
      <c r="M50" t="s">
        <v>29</v>
      </c>
      <c r="N50" t="s">
        <v>30</v>
      </c>
      <c r="O50">
        <v>37219</v>
      </c>
      <c r="P50" t="s">
        <v>569</v>
      </c>
      <c r="Q50" s="2">
        <v>0.35</v>
      </c>
      <c r="R50" s="2">
        <v>100</v>
      </c>
      <c r="S50" s="2">
        <v>158</v>
      </c>
      <c r="T50" t="s">
        <v>556</v>
      </c>
      <c r="U50" s="6">
        <v>17435</v>
      </c>
      <c r="V50" s="2">
        <v>47037013700</v>
      </c>
      <c r="W50" s="2" t="s">
        <v>68</v>
      </c>
      <c r="X50" s="1">
        <v>45658</v>
      </c>
      <c r="Y50" s="2">
        <v>209000</v>
      </c>
      <c r="Z50" s="2">
        <v>0</v>
      </c>
      <c r="AA50" s="2">
        <v>209000</v>
      </c>
    </row>
    <row r="51" spans="1:27" x14ac:dyDescent="0.3">
      <c r="A51" s="4" t="s">
        <v>386</v>
      </c>
      <c r="B51" s="2" t="str">
        <f>"08103024900"</f>
        <v>08103024900</v>
      </c>
      <c r="C51" s="2" t="s">
        <v>570</v>
      </c>
      <c r="D51" t="s">
        <v>29</v>
      </c>
      <c r="E51" s="2" t="s">
        <v>30</v>
      </c>
      <c r="F51" s="2">
        <v>37208</v>
      </c>
      <c r="G51" s="2" t="s">
        <v>64</v>
      </c>
      <c r="H51" t="s">
        <v>555</v>
      </c>
      <c r="I51" s="6">
        <v>17435</v>
      </c>
      <c r="J51" s="2" t="s">
        <v>556</v>
      </c>
      <c r="K51" s="2" t="s">
        <v>34</v>
      </c>
      <c r="L51" t="s">
        <v>35</v>
      </c>
      <c r="M51" t="s">
        <v>29</v>
      </c>
      <c r="N51" t="s">
        <v>30</v>
      </c>
      <c r="O51">
        <v>37219</v>
      </c>
      <c r="P51" t="s">
        <v>571</v>
      </c>
      <c r="Q51" s="2">
        <v>5.56</v>
      </c>
      <c r="R51" s="2">
        <v>0</v>
      </c>
      <c r="S51" s="2">
        <v>0</v>
      </c>
      <c r="T51" t="s">
        <v>556</v>
      </c>
      <c r="U51" s="6">
        <v>17435</v>
      </c>
      <c r="V51" s="2">
        <v>47037013700</v>
      </c>
      <c r="W51" s="2" t="s">
        <v>68</v>
      </c>
      <c r="X51" s="1">
        <v>45658</v>
      </c>
      <c r="Y51" s="2">
        <v>507300</v>
      </c>
      <c r="Z51" s="2">
        <v>0</v>
      </c>
      <c r="AA51" s="2">
        <v>507300</v>
      </c>
    </row>
    <row r="52" spans="1:27" x14ac:dyDescent="0.3">
      <c r="A52" s="4" t="s">
        <v>386</v>
      </c>
      <c r="B52" s="2" t="str">
        <f>"08103028000"</f>
        <v>08103028000</v>
      </c>
      <c r="C52" s="2" t="s">
        <v>558</v>
      </c>
      <c r="D52" t="s">
        <v>29</v>
      </c>
      <c r="E52" s="2" t="s">
        <v>30</v>
      </c>
      <c r="F52" s="2">
        <v>37208</v>
      </c>
      <c r="G52" s="2" t="s">
        <v>200</v>
      </c>
      <c r="H52" t="s">
        <v>555</v>
      </c>
      <c r="I52" s="6">
        <v>13129</v>
      </c>
      <c r="J52" s="2" t="s">
        <v>572</v>
      </c>
      <c r="K52" s="2" t="s">
        <v>34</v>
      </c>
      <c r="L52" t="s">
        <v>35</v>
      </c>
      <c r="M52" t="s">
        <v>29</v>
      </c>
      <c r="N52" t="s">
        <v>30</v>
      </c>
      <c r="O52">
        <v>37219</v>
      </c>
      <c r="P52" t="s">
        <v>573</v>
      </c>
      <c r="Q52" s="2">
        <v>8.81</v>
      </c>
      <c r="R52" s="2">
        <v>0</v>
      </c>
      <c r="S52" s="2">
        <v>0</v>
      </c>
      <c r="T52" t="s">
        <v>572</v>
      </c>
      <c r="U52" s="6">
        <v>13129</v>
      </c>
      <c r="V52" s="2">
        <v>47037013700</v>
      </c>
      <c r="W52" s="2" t="s">
        <v>68</v>
      </c>
      <c r="X52" s="1">
        <v>45658</v>
      </c>
      <c r="Y52" s="2">
        <v>427700</v>
      </c>
      <c r="Z52" s="2">
        <v>0</v>
      </c>
      <c r="AA52" s="2">
        <v>427700</v>
      </c>
    </row>
    <row r="53" spans="1:27" x14ac:dyDescent="0.3">
      <c r="A53" s="4" t="s">
        <v>386</v>
      </c>
      <c r="B53" s="2" t="str">
        <f>"07101007400"</f>
        <v>07101007400</v>
      </c>
      <c r="C53" s="2" t="s">
        <v>574</v>
      </c>
      <c r="D53" t="s">
        <v>29</v>
      </c>
      <c r="E53" s="2" t="s">
        <v>30</v>
      </c>
      <c r="F53" s="2">
        <v>37207</v>
      </c>
      <c r="G53" s="2" t="s">
        <v>64</v>
      </c>
      <c r="H53" t="s">
        <v>211</v>
      </c>
      <c r="I53" s="6">
        <v>27429</v>
      </c>
      <c r="J53" s="2" t="s">
        <v>575</v>
      </c>
      <c r="K53" s="2">
        <v>208</v>
      </c>
      <c r="L53" t="s">
        <v>35</v>
      </c>
      <c r="M53" t="s">
        <v>29</v>
      </c>
      <c r="N53" t="s">
        <v>30</v>
      </c>
      <c r="O53">
        <v>37219</v>
      </c>
      <c r="P53" t="s">
        <v>576</v>
      </c>
      <c r="Q53" s="2">
        <v>0.04</v>
      </c>
      <c r="R53" s="2">
        <v>30</v>
      </c>
      <c r="S53" s="2">
        <v>78</v>
      </c>
      <c r="T53" t="s">
        <v>577</v>
      </c>
      <c r="U53" s="6">
        <v>155</v>
      </c>
      <c r="V53" s="2">
        <v>47037012701</v>
      </c>
      <c r="W53" s="2" t="s">
        <v>68</v>
      </c>
      <c r="X53" s="1">
        <v>45658</v>
      </c>
      <c r="Y53" s="2">
        <v>8000</v>
      </c>
      <c r="Z53" s="2">
        <v>0</v>
      </c>
      <c r="AA53" s="2">
        <v>8000</v>
      </c>
    </row>
    <row r="54" spans="1:27" x14ac:dyDescent="0.3">
      <c r="A54" s="4" t="s">
        <v>386</v>
      </c>
      <c r="B54" s="2" t="str">
        <f>"07004015900"</f>
        <v>07004015900</v>
      </c>
      <c r="C54" s="2" t="s">
        <v>420</v>
      </c>
      <c r="D54" t="s">
        <v>29</v>
      </c>
      <c r="E54" s="2" t="s">
        <v>30</v>
      </c>
      <c r="F54" s="2">
        <v>37207</v>
      </c>
      <c r="G54" s="2" t="s">
        <v>64</v>
      </c>
      <c r="H54" t="s">
        <v>211</v>
      </c>
      <c r="I54" s="6">
        <v>27739</v>
      </c>
      <c r="J54" s="2" t="s">
        <v>578</v>
      </c>
      <c r="K54" s="2">
        <v>229</v>
      </c>
      <c r="L54" t="s">
        <v>35</v>
      </c>
      <c r="M54" t="s">
        <v>29</v>
      </c>
      <c r="N54" t="s">
        <v>30</v>
      </c>
      <c r="O54">
        <v>37219</v>
      </c>
      <c r="P54" t="s">
        <v>579</v>
      </c>
      <c r="Q54" s="2">
        <v>0.06</v>
      </c>
      <c r="R54" s="2">
        <v>25</v>
      </c>
      <c r="S54" s="2">
        <v>125</v>
      </c>
      <c r="T54" t="s">
        <v>580</v>
      </c>
      <c r="U54" s="6">
        <v>26611</v>
      </c>
      <c r="V54" s="2">
        <v>47037012702</v>
      </c>
      <c r="W54" s="2" t="s">
        <v>68</v>
      </c>
      <c r="X54" s="1">
        <v>45658</v>
      </c>
      <c r="Y54" s="2">
        <v>30000</v>
      </c>
      <c r="Z54" s="2">
        <v>0</v>
      </c>
      <c r="AA54" s="2">
        <v>30000</v>
      </c>
    </row>
    <row r="55" spans="1:27" x14ac:dyDescent="0.3">
      <c r="A55" s="4" t="s">
        <v>386</v>
      </c>
      <c r="B55" s="2" t="str">
        <f>"07004015800"</f>
        <v>07004015800</v>
      </c>
      <c r="C55" s="2" t="s">
        <v>420</v>
      </c>
      <c r="D55" t="s">
        <v>29</v>
      </c>
      <c r="E55" s="2" t="s">
        <v>30</v>
      </c>
      <c r="F55" s="2">
        <v>37207</v>
      </c>
      <c r="G55" s="2" t="s">
        <v>64</v>
      </c>
      <c r="H55" t="s">
        <v>211</v>
      </c>
      <c r="I55" s="6">
        <v>27739</v>
      </c>
      <c r="J55" s="2" t="s">
        <v>581</v>
      </c>
      <c r="K55" s="2">
        <v>229</v>
      </c>
      <c r="L55" t="s">
        <v>35</v>
      </c>
      <c r="M55" t="s">
        <v>29</v>
      </c>
      <c r="N55" t="s">
        <v>30</v>
      </c>
      <c r="O55">
        <v>37219</v>
      </c>
      <c r="P55" t="s">
        <v>582</v>
      </c>
      <c r="Q55" s="2">
        <v>0.08</v>
      </c>
      <c r="R55" s="2">
        <v>25</v>
      </c>
      <c r="S55" s="2">
        <v>125</v>
      </c>
      <c r="T55" t="s">
        <v>580</v>
      </c>
      <c r="U55" s="6">
        <v>26611</v>
      </c>
      <c r="V55" s="2">
        <v>47037012702</v>
      </c>
      <c r="W55" s="2" t="s">
        <v>68</v>
      </c>
      <c r="X55" s="1">
        <v>45658</v>
      </c>
      <c r="Y55" s="2">
        <v>30000</v>
      </c>
      <c r="Z55" s="2">
        <v>0</v>
      </c>
      <c r="AA55" s="2">
        <v>30000</v>
      </c>
    </row>
    <row r="56" spans="1:27" x14ac:dyDescent="0.3">
      <c r="A56" s="4" t="s">
        <v>386</v>
      </c>
      <c r="B56" s="2" t="str">
        <f>"07004015700"</f>
        <v>07004015700</v>
      </c>
      <c r="C56" s="2" t="s">
        <v>420</v>
      </c>
      <c r="D56" t="s">
        <v>29</v>
      </c>
      <c r="E56" s="2" t="s">
        <v>30</v>
      </c>
      <c r="F56" s="2">
        <v>37207</v>
      </c>
      <c r="G56" s="2" t="s">
        <v>64</v>
      </c>
      <c r="H56" t="s">
        <v>211</v>
      </c>
      <c r="I56" s="6">
        <v>27431</v>
      </c>
      <c r="J56" s="2" t="s">
        <v>583</v>
      </c>
      <c r="K56" s="2">
        <v>208</v>
      </c>
      <c r="L56" t="s">
        <v>35</v>
      </c>
      <c r="M56" t="s">
        <v>29</v>
      </c>
      <c r="N56" t="s">
        <v>30</v>
      </c>
      <c r="O56">
        <v>37219</v>
      </c>
      <c r="P56" t="s">
        <v>584</v>
      </c>
      <c r="Q56" s="2">
        <v>0.06</v>
      </c>
      <c r="R56" s="2">
        <v>25</v>
      </c>
      <c r="S56" s="2">
        <v>125</v>
      </c>
      <c r="T56" t="s">
        <v>585</v>
      </c>
      <c r="U56" s="6">
        <v>1262</v>
      </c>
      <c r="V56" s="2">
        <v>47037012702</v>
      </c>
      <c r="W56" s="2" t="s">
        <v>68</v>
      </c>
      <c r="X56" s="1">
        <v>45658</v>
      </c>
      <c r="Y56" s="2">
        <v>30000</v>
      </c>
      <c r="Z56" s="2">
        <v>0</v>
      </c>
      <c r="AA56" s="2">
        <v>30000</v>
      </c>
    </row>
    <row r="57" spans="1:27" x14ac:dyDescent="0.3">
      <c r="A57" s="4" t="s">
        <v>386</v>
      </c>
      <c r="B57" s="2" t="str">
        <f>"07008003300"</f>
        <v>07008003300</v>
      </c>
      <c r="C57" s="2" t="s">
        <v>420</v>
      </c>
      <c r="D57" t="s">
        <v>29</v>
      </c>
      <c r="E57" s="2" t="s">
        <v>30</v>
      </c>
      <c r="F57" s="2">
        <v>37207</v>
      </c>
      <c r="G57" s="2" t="s">
        <v>64</v>
      </c>
      <c r="H57" t="s">
        <v>211</v>
      </c>
      <c r="I57" s="6">
        <v>27431</v>
      </c>
      <c r="J57" s="2" t="s">
        <v>586</v>
      </c>
      <c r="K57" s="2">
        <v>208</v>
      </c>
      <c r="L57" t="s">
        <v>35</v>
      </c>
      <c r="M57" t="s">
        <v>29</v>
      </c>
      <c r="N57" t="s">
        <v>30</v>
      </c>
      <c r="O57">
        <v>37219</v>
      </c>
      <c r="P57" t="s">
        <v>587</v>
      </c>
      <c r="Q57" s="2">
        <v>0.08</v>
      </c>
      <c r="R57" s="2">
        <v>25</v>
      </c>
      <c r="S57" s="2">
        <v>125</v>
      </c>
      <c r="T57" t="s">
        <v>585</v>
      </c>
      <c r="U57" s="6">
        <v>1262</v>
      </c>
      <c r="V57" s="2">
        <v>47037012702</v>
      </c>
      <c r="W57" s="2" t="s">
        <v>68</v>
      </c>
      <c r="X57" s="1">
        <v>45658</v>
      </c>
      <c r="Y57" s="2">
        <v>30000</v>
      </c>
      <c r="Z57" s="2">
        <v>0</v>
      </c>
      <c r="AA57" s="2">
        <v>30000</v>
      </c>
    </row>
    <row r="58" spans="1:27" x14ac:dyDescent="0.3">
      <c r="A58" s="4" t="s">
        <v>386</v>
      </c>
      <c r="B58" s="2" t="str">
        <f>"07109011500"</f>
        <v>07109011500</v>
      </c>
      <c r="C58" s="2" t="s">
        <v>588</v>
      </c>
      <c r="D58" t="s">
        <v>29</v>
      </c>
      <c r="E58" s="2" t="s">
        <v>30</v>
      </c>
      <c r="F58" s="2">
        <v>37207</v>
      </c>
      <c r="G58" s="2" t="s">
        <v>64</v>
      </c>
      <c r="H58" t="s">
        <v>211</v>
      </c>
      <c r="I58" s="6">
        <v>27739</v>
      </c>
      <c r="J58" s="2" t="s">
        <v>589</v>
      </c>
      <c r="K58" s="2">
        <v>204</v>
      </c>
      <c r="L58" t="s">
        <v>35</v>
      </c>
      <c r="M58" t="s">
        <v>29</v>
      </c>
      <c r="N58" t="s">
        <v>30</v>
      </c>
      <c r="O58">
        <v>37219</v>
      </c>
      <c r="P58" t="s">
        <v>590</v>
      </c>
      <c r="Q58" s="2">
        <v>0.14000000000000001</v>
      </c>
      <c r="R58" s="2">
        <v>40</v>
      </c>
      <c r="S58" s="2">
        <v>140</v>
      </c>
      <c r="T58" t="s">
        <v>591</v>
      </c>
      <c r="U58" s="6">
        <v>26938</v>
      </c>
      <c r="V58" s="2">
        <v>47037012702</v>
      </c>
      <c r="W58" s="2" t="s">
        <v>68</v>
      </c>
      <c r="X58" s="1">
        <v>45658</v>
      </c>
      <c r="Y58" s="2">
        <v>117000</v>
      </c>
      <c r="Z58" s="2">
        <v>0</v>
      </c>
      <c r="AA58" s="2">
        <v>117000</v>
      </c>
    </row>
    <row r="59" spans="1:27" x14ac:dyDescent="0.3">
      <c r="A59" s="4" t="s">
        <v>386</v>
      </c>
      <c r="B59" s="2" t="str">
        <f>"07109011400"</f>
        <v>07109011400</v>
      </c>
      <c r="C59" s="2" t="s">
        <v>588</v>
      </c>
      <c r="D59" t="s">
        <v>29</v>
      </c>
      <c r="E59" s="2" t="s">
        <v>30</v>
      </c>
      <c r="F59" s="2">
        <v>37207</v>
      </c>
      <c r="G59" s="2" t="s">
        <v>64</v>
      </c>
      <c r="H59" t="s">
        <v>211</v>
      </c>
      <c r="I59" s="6">
        <v>27739</v>
      </c>
      <c r="J59" s="2" t="s">
        <v>592</v>
      </c>
      <c r="K59" s="2">
        <v>417</v>
      </c>
      <c r="L59" t="s">
        <v>35</v>
      </c>
      <c r="M59" t="s">
        <v>29</v>
      </c>
      <c r="N59" t="s">
        <v>30</v>
      </c>
      <c r="O59">
        <v>37219</v>
      </c>
      <c r="P59" t="s">
        <v>593</v>
      </c>
      <c r="Q59" s="2">
        <v>0.14000000000000001</v>
      </c>
      <c r="R59" s="2">
        <v>40</v>
      </c>
      <c r="S59" s="2">
        <v>140</v>
      </c>
      <c r="T59" t="s">
        <v>591</v>
      </c>
      <c r="U59" s="6">
        <v>26938</v>
      </c>
      <c r="V59" s="2">
        <v>47037012702</v>
      </c>
      <c r="W59" s="2" t="s">
        <v>68</v>
      </c>
      <c r="X59" s="1">
        <v>45658</v>
      </c>
      <c r="Y59" s="2">
        <v>117000</v>
      </c>
      <c r="Z59" s="2">
        <v>0</v>
      </c>
      <c r="AA59" s="2">
        <v>117000</v>
      </c>
    </row>
    <row r="60" spans="1:27" x14ac:dyDescent="0.3">
      <c r="A60" s="4" t="s">
        <v>386</v>
      </c>
      <c r="B60" s="2" t="str">
        <f>"07109011300"</f>
        <v>07109011300</v>
      </c>
      <c r="C60" s="2" t="s">
        <v>588</v>
      </c>
      <c r="D60" t="s">
        <v>29</v>
      </c>
      <c r="E60" s="2" t="s">
        <v>30</v>
      </c>
      <c r="F60" s="2">
        <v>37207</v>
      </c>
      <c r="G60" s="2" t="s">
        <v>64</v>
      </c>
      <c r="H60" t="s">
        <v>211</v>
      </c>
      <c r="I60" s="6">
        <v>27739</v>
      </c>
      <c r="J60" s="2" t="s">
        <v>594</v>
      </c>
      <c r="K60" s="2">
        <v>0</v>
      </c>
      <c r="L60" t="s">
        <v>35</v>
      </c>
      <c r="M60" t="s">
        <v>29</v>
      </c>
      <c r="N60" t="s">
        <v>30</v>
      </c>
      <c r="O60">
        <v>37219</v>
      </c>
      <c r="P60" t="s">
        <v>595</v>
      </c>
      <c r="Q60" s="2">
        <v>0.14000000000000001</v>
      </c>
      <c r="R60" s="2">
        <v>40</v>
      </c>
      <c r="S60" s="2">
        <v>140</v>
      </c>
      <c r="T60" t="s">
        <v>591</v>
      </c>
      <c r="U60" s="6">
        <v>26938</v>
      </c>
      <c r="V60" s="2">
        <v>47037012702</v>
      </c>
      <c r="W60" s="2" t="s">
        <v>68</v>
      </c>
      <c r="X60" s="1">
        <v>45658</v>
      </c>
      <c r="Y60" s="2">
        <v>117000</v>
      </c>
      <c r="Z60" s="2">
        <v>0</v>
      </c>
      <c r="AA60" s="2">
        <v>117000</v>
      </c>
    </row>
    <row r="61" spans="1:27" x14ac:dyDescent="0.3">
      <c r="A61" s="4" t="s">
        <v>386</v>
      </c>
      <c r="B61" s="2" t="str">
        <f>"07000000400"</f>
        <v>07000000400</v>
      </c>
      <c r="C61" s="2" t="s">
        <v>223</v>
      </c>
      <c r="D61" t="s">
        <v>29</v>
      </c>
      <c r="E61" s="2" t="s">
        <v>30</v>
      </c>
      <c r="F61" s="2">
        <v>37218</v>
      </c>
      <c r="G61" s="2" t="s">
        <v>64</v>
      </c>
      <c r="H61" t="s">
        <v>211</v>
      </c>
      <c r="I61" s="6">
        <v>38862</v>
      </c>
      <c r="J61" s="2" t="s">
        <v>224</v>
      </c>
      <c r="K61" s="2">
        <v>50000</v>
      </c>
      <c r="L61" t="s">
        <v>35</v>
      </c>
      <c r="M61" t="s">
        <v>29</v>
      </c>
      <c r="N61" t="s">
        <v>30</v>
      </c>
      <c r="O61">
        <v>37219</v>
      </c>
      <c r="P61" t="s">
        <v>596</v>
      </c>
      <c r="Q61" s="2">
        <v>10.9</v>
      </c>
      <c r="R61" s="2">
        <v>0</v>
      </c>
      <c r="S61" s="2">
        <v>0</v>
      </c>
      <c r="T61" t="s">
        <v>226</v>
      </c>
      <c r="U61" s="6">
        <v>25890</v>
      </c>
      <c r="V61" s="2">
        <v>47037012801</v>
      </c>
      <c r="W61" s="2" t="s">
        <v>68</v>
      </c>
      <c r="X61" s="1">
        <v>45658</v>
      </c>
      <c r="Y61" s="2">
        <v>393800</v>
      </c>
      <c r="Z61" s="2">
        <v>0</v>
      </c>
      <c r="AA61" s="2">
        <v>393800</v>
      </c>
    </row>
    <row r="62" spans="1:27" x14ac:dyDescent="0.3">
      <c r="A62" s="4" t="s">
        <v>386</v>
      </c>
      <c r="B62" s="2" t="str">
        <f>"07000000600"</f>
        <v>07000000600</v>
      </c>
      <c r="C62" s="2" t="s">
        <v>597</v>
      </c>
      <c r="D62" t="s">
        <v>29</v>
      </c>
      <c r="E62" s="2" t="s">
        <v>30</v>
      </c>
      <c r="F62" s="2">
        <v>37218</v>
      </c>
      <c r="G62" s="2" t="s">
        <v>152</v>
      </c>
      <c r="H62" t="s">
        <v>598</v>
      </c>
      <c r="I62" s="6">
        <v>15465</v>
      </c>
      <c r="J62" s="2" t="s">
        <v>599</v>
      </c>
      <c r="K62" s="2" t="s">
        <v>34</v>
      </c>
      <c r="L62" t="s">
        <v>35</v>
      </c>
      <c r="M62" t="s">
        <v>29</v>
      </c>
      <c r="N62" t="s">
        <v>30</v>
      </c>
      <c r="O62">
        <v>37219</v>
      </c>
      <c r="P62" t="s">
        <v>600</v>
      </c>
      <c r="Q62" s="2">
        <v>70.930000000000007</v>
      </c>
      <c r="R62" s="2">
        <v>0</v>
      </c>
      <c r="S62" s="2">
        <v>0</v>
      </c>
      <c r="T62" t="s">
        <v>601</v>
      </c>
      <c r="U62" s="6">
        <v>29812</v>
      </c>
      <c r="V62" s="2">
        <v>47037012801</v>
      </c>
      <c r="W62" s="2" t="s">
        <v>68</v>
      </c>
      <c r="X62" s="1">
        <v>45658</v>
      </c>
      <c r="Y62" s="2">
        <v>1225700</v>
      </c>
      <c r="Z62" s="2">
        <v>0</v>
      </c>
      <c r="AA62" s="2">
        <v>1225700</v>
      </c>
    </row>
    <row r="63" spans="1:27" x14ac:dyDescent="0.3">
      <c r="A63" s="4" t="s">
        <v>386</v>
      </c>
      <c r="B63" s="2" t="str">
        <f>"07015004300"</f>
        <v>07015004300</v>
      </c>
      <c r="C63" s="2" t="s">
        <v>602</v>
      </c>
      <c r="D63" t="s">
        <v>29</v>
      </c>
      <c r="E63" s="2" t="s">
        <v>30</v>
      </c>
      <c r="F63" s="2">
        <v>37228</v>
      </c>
      <c r="G63" s="2" t="s">
        <v>200</v>
      </c>
      <c r="H63" t="s">
        <v>603</v>
      </c>
      <c r="I63" s="6">
        <v>27092</v>
      </c>
      <c r="J63" s="2" t="s">
        <v>604</v>
      </c>
      <c r="K63" s="2" t="s">
        <v>34</v>
      </c>
      <c r="L63" t="s">
        <v>35</v>
      </c>
      <c r="M63" t="s">
        <v>29</v>
      </c>
      <c r="N63" t="s">
        <v>30</v>
      </c>
      <c r="O63">
        <v>37219</v>
      </c>
      <c r="P63" t="s">
        <v>605</v>
      </c>
      <c r="Q63" s="2">
        <v>6.79</v>
      </c>
      <c r="R63" s="2">
        <v>0</v>
      </c>
      <c r="S63" s="2">
        <v>0</v>
      </c>
      <c r="T63" t="s">
        <v>606</v>
      </c>
      <c r="U63" s="6">
        <v>36182</v>
      </c>
      <c r="V63" s="2">
        <v>47037013700</v>
      </c>
      <c r="W63" s="2" t="s">
        <v>68</v>
      </c>
      <c r="X63" s="1">
        <v>45658</v>
      </c>
      <c r="Y63" s="2">
        <v>9485000</v>
      </c>
      <c r="Z63" s="2">
        <v>0</v>
      </c>
      <c r="AA63" s="2">
        <v>9485000</v>
      </c>
    </row>
    <row r="64" spans="1:27" x14ac:dyDescent="0.3">
      <c r="A64" s="4" t="s">
        <v>386</v>
      </c>
      <c r="B64" s="2" t="str">
        <f>"08102017300"</f>
        <v>08102017300</v>
      </c>
      <c r="C64" s="2" t="s">
        <v>607</v>
      </c>
      <c r="D64" t="s">
        <v>29</v>
      </c>
      <c r="E64" s="2" t="s">
        <v>30</v>
      </c>
      <c r="F64" s="2">
        <v>37208</v>
      </c>
      <c r="G64" s="2" t="s">
        <v>608</v>
      </c>
      <c r="H64" t="s">
        <v>603</v>
      </c>
      <c r="I64" s="6">
        <v>27092</v>
      </c>
      <c r="J64" s="2" t="s">
        <v>604</v>
      </c>
      <c r="K64" s="2" t="s">
        <v>34</v>
      </c>
      <c r="L64" t="s">
        <v>35</v>
      </c>
      <c r="M64" t="s">
        <v>29</v>
      </c>
      <c r="N64" t="s">
        <v>30</v>
      </c>
      <c r="O64">
        <v>37219</v>
      </c>
      <c r="P64" t="s">
        <v>609</v>
      </c>
      <c r="Q64" s="2">
        <v>19.170000000000002</v>
      </c>
      <c r="R64" s="2">
        <v>0</v>
      </c>
      <c r="S64" s="2">
        <v>0</v>
      </c>
      <c r="T64" t="s">
        <v>610</v>
      </c>
      <c r="U64" s="6">
        <v>34180</v>
      </c>
      <c r="V64" s="2">
        <v>47037013700</v>
      </c>
      <c r="W64" s="2" t="s">
        <v>68</v>
      </c>
      <c r="X64" s="1">
        <v>45658</v>
      </c>
      <c r="Y64" s="2">
        <v>1216400</v>
      </c>
      <c r="Z64" s="2">
        <v>0</v>
      </c>
      <c r="AA64" s="2">
        <v>1216400</v>
      </c>
    </row>
    <row r="65" spans="1:27" x14ac:dyDescent="0.3">
      <c r="A65" s="4" t="s">
        <v>386</v>
      </c>
      <c r="B65" s="2" t="str">
        <f>"07014020600"</f>
        <v>07014020600</v>
      </c>
      <c r="C65" s="2" t="s">
        <v>611</v>
      </c>
      <c r="D65" t="s">
        <v>29</v>
      </c>
      <c r="E65" s="2" t="s">
        <v>30</v>
      </c>
      <c r="F65" s="2">
        <v>37228</v>
      </c>
      <c r="G65" s="2" t="s">
        <v>200</v>
      </c>
      <c r="H65" t="s">
        <v>603</v>
      </c>
      <c r="I65" s="6">
        <v>27092</v>
      </c>
      <c r="J65" s="2" t="s">
        <v>604</v>
      </c>
      <c r="K65" s="2" t="s">
        <v>34</v>
      </c>
      <c r="L65" t="s">
        <v>35</v>
      </c>
      <c r="M65" t="s">
        <v>29</v>
      </c>
      <c r="N65" t="s">
        <v>30</v>
      </c>
      <c r="O65">
        <v>37219</v>
      </c>
      <c r="P65" t="s">
        <v>612</v>
      </c>
      <c r="Q65" s="2">
        <v>13.22</v>
      </c>
      <c r="R65" s="2">
        <v>0</v>
      </c>
      <c r="S65" s="2">
        <v>0</v>
      </c>
      <c r="T65" t="s">
        <v>613</v>
      </c>
      <c r="U65" s="6">
        <v>43544</v>
      </c>
      <c r="V65" s="2">
        <v>47037013700</v>
      </c>
      <c r="W65" s="2" t="s">
        <v>68</v>
      </c>
      <c r="X65" s="1">
        <v>45658</v>
      </c>
      <c r="Y65" s="2">
        <v>13910000</v>
      </c>
      <c r="Z65" s="2">
        <v>0</v>
      </c>
      <c r="AA65" s="2">
        <v>13910000</v>
      </c>
    </row>
    <row r="66" spans="1:27" x14ac:dyDescent="0.3">
      <c r="A66" s="4" t="s">
        <v>386</v>
      </c>
      <c r="B66" s="2" t="str">
        <f>"07014000200"</f>
        <v>07014000200</v>
      </c>
      <c r="C66" s="2" t="s">
        <v>614</v>
      </c>
      <c r="D66" t="s">
        <v>29</v>
      </c>
      <c r="E66" s="2" t="s">
        <v>30</v>
      </c>
      <c r="F66" s="2">
        <v>37228</v>
      </c>
      <c r="G66" s="2" t="s">
        <v>608</v>
      </c>
      <c r="H66" t="s">
        <v>603</v>
      </c>
      <c r="I66" s="6">
        <v>29307</v>
      </c>
      <c r="J66" s="2" t="s">
        <v>615</v>
      </c>
      <c r="K66" s="2" t="s">
        <v>34</v>
      </c>
      <c r="L66" t="s">
        <v>35</v>
      </c>
      <c r="M66" t="s">
        <v>29</v>
      </c>
      <c r="N66" t="s">
        <v>30</v>
      </c>
      <c r="O66">
        <v>37219</v>
      </c>
      <c r="P66" t="s">
        <v>616</v>
      </c>
      <c r="Q66" s="2">
        <v>77.08</v>
      </c>
      <c r="R66" s="2">
        <v>0</v>
      </c>
      <c r="S66" s="2">
        <v>0</v>
      </c>
      <c r="T66" t="s">
        <v>615</v>
      </c>
      <c r="U66" s="6">
        <v>29307</v>
      </c>
      <c r="V66" s="2">
        <v>47037013700</v>
      </c>
      <c r="W66" s="2" t="s">
        <v>68</v>
      </c>
      <c r="X66" s="1">
        <v>45658</v>
      </c>
      <c r="Y66" s="2">
        <v>3686100</v>
      </c>
      <c r="Z66" s="2">
        <v>0</v>
      </c>
      <c r="AA66" s="2">
        <v>3686100</v>
      </c>
    </row>
    <row r="67" spans="1:27" x14ac:dyDescent="0.3">
      <c r="A67" s="4" t="s">
        <v>386</v>
      </c>
      <c r="B67" s="2" t="str">
        <f>"07013015300"</f>
        <v>07013015300</v>
      </c>
      <c r="C67" s="2" t="s">
        <v>617</v>
      </c>
      <c r="D67" t="s">
        <v>29</v>
      </c>
      <c r="E67" s="2" t="s">
        <v>30</v>
      </c>
      <c r="F67" s="2">
        <v>37228</v>
      </c>
      <c r="G67" s="2" t="s">
        <v>41</v>
      </c>
      <c r="H67" t="s">
        <v>603</v>
      </c>
      <c r="I67" s="6">
        <v>36829</v>
      </c>
      <c r="J67" s="2" t="s">
        <v>618</v>
      </c>
      <c r="K67" s="2">
        <v>306000</v>
      </c>
      <c r="L67" t="s">
        <v>35</v>
      </c>
      <c r="M67" t="s">
        <v>29</v>
      </c>
      <c r="N67" t="s">
        <v>30</v>
      </c>
      <c r="O67">
        <v>37219</v>
      </c>
      <c r="P67" t="s">
        <v>619</v>
      </c>
      <c r="Q67" s="2">
        <v>2.34</v>
      </c>
      <c r="R67" s="2">
        <v>0</v>
      </c>
      <c r="S67" s="2">
        <v>0</v>
      </c>
      <c r="T67" t="s">
        <v>620</v>
      </c>
      <c r="U67" s="6">
        <v>28842</v>
      </c>
      <c r="V67" s="2">
        <v>47037013700</v>
      </c>
      <c r="W67" s="2" t="s">
        <v>68</v>
      </c>
      <c r="X67" s="1">
        <v>45658</v>
      </c>
      <c r="Y67" s="2">
        <v>2491700</v>
      </c>
      <c r="Z67" s="2">
        <v>0</v>
      </c>
      <c r="AA67" s="2">
        <v>2491700</v>
      </c>
    </row>
    <row r="68" spans="1:27" x14ac:dyDescent="0.3">
      <c r="A68" s="4" t="s">
        <v>386</v>
      </c>
      <c r="B68" s="2" t="str">
        <f>"08102017400"</f>
        <v>08102017400</v>
      </c>
      <c r="C68" s="2" t="s">
        <v>621</v>
      </c>
      <c r="D68" t="s">
        <v>29</v>
      </c>
      <c r="E68" s="2" t="s">
        <v>30</v>
      </c>
      <c r="F68" s="2">
        <v>37228</v>
      </c>
      <c r="G68" s="2" t="s">
        <v>200</v>
      </c>
      <c r="H68" t="s">
        <v>603</v>
      </c>
      <c r="I68" s="6">
        <v>27092</v>
      </c>
      <c r="J68" s="2" t="s">
        <v>604</v>
      </c>
      <c r="K68" s="2" t="s">
        <v>34</v>
      </c>
      <c r="L68" t="s">
        <v>35</v>
      </c>
      <c r="M68" t="s">
        <v>29</v>
      </c>
      <c r="N68" t="s">
        <v>30</v>
      </c>
      <c r="O68">
        <v>37219</v>
      </c>
      <c r="P68" t="s">
        <v>622</v>
      </c>
      <c r="Q68" s="2">
        <v>83.27</v>
      </c>
      <c r="R68" s="2">
        <v>0</v>
      </c>
      <c r="S68" s="2">
        <v>0</v>
      </c>
      <c r="T68" t="s">
        <v>623</v>
      </c>
      <c r="U68" s="6">
        <v>28394</v>
      </c>
      <c r="V68" s="2">
        <v>47037013700</v>
      </c>
      <c r="W68" s="2" t="s">
        <v>68</v>
      </c>
      <c r="X68" s="1">
        <v>45658</v>
      </c>
      <c r="Y68" s="2">
        <v>3964700</v>
      </c>
      <c r="Z68" s="2">
        <v>0</v>
      </c>
      <c r="AA68" s="2">
        <v>3964700</v>
      </c>
    </row>
    <row r="69" spans="1:27" x14ac:dyDescent="0.3">
      <c r="A69" s="4" t="s">
        <v>386</v>
      </c>
      <c r="B69" s="2" t="str">
        <f>"07000003700"</f>
        <v>07000003700</v>
      </c>
      <c r="C69" s="2" t="s">
        <v>624</v>
      </c>
      <c r="D69" t="s">
        <v>29</v>
      </c>
      <c r="E69" s="2" t="s">
        <v>30</v>
      </c>
      <c r="F69" s="2">
        <v>37218</v>
      </c>
      <c r="G69" s="2" t="s">
        <v>200</v>
      </c>
      <c r="H69" t="s">
        <v>625</v>
      </c>
      <c r="I69" s="6">
        <v>3693</v>
      </c>
      <c r="J69" s="2" t="s">
        <v>626</v>
      </c>
      <c r="K69" s="2" t="s">
        <v>34</v>
      </c>
      <c r="L69" t="s">
        <v>35</v>
      </c>
      <c r="M69" t="s">
        <v>29</v>
      </c>
      <c r="N69" t="s">
        <v>30</v>
      </c>
      <c r="O69">
        <v>37219</v>
      </c>
      <c r="P69" t="s">
        <v>627</v>
      </c>
      <c r="Q69" s="2">
        <v>63.5</v>
      </c>
      <c r="R69" s="2">
        <v>0</v>
      </c>
      <c r="S69" s="2">
        <v>0</v>
      </c>
      <c r="T69" t="s">
        <v>628</v>
      </c>
      <c r="U69" s="6">
        <v>27740</v>
      </c>
      <c r="V69" s="2">
        <v>47037012801</v>
      </c>
      <c r="W69" s="2" t="s">
        <v>68</v>
      </c>
      <c r="X69" s="1">
        <v>45658</v>
      </c>
      <c r="Y69" s="2">
        <v>1219200</v>
      </c>
      <c r="Z69" s="2">
        <v>0</v>
      </c>
      <c r="AA69" s="2">
        <v>1219200</v>
      </c>
    </row>
    <row r="70" spans="1:27" x14ac:dyDescent="0.3">
      <c r="A70" s="4" t="s">
        <v>386</v>
      </c>
      <c r="B70" s="2" t="str">
        <f>"06000007100"</f>
        <v>06000007100</v>
      </c>
      <c r="C70" s="2" t="s">
        <v>517</v>
      </c>
      <c r="D70" t="s">
        <v>29</v>
      </c>
      <c r="E70" s="2" t="s">
        <v>30</v>
      </c>
      <c r="F70" s="2">
        <v>37207</v>
      </c>
      <c r="G70" s="2" t="s">
        <v>64</v>
      </c>
      <c r="H70" t="s">
        <v>629</v>
      </c>
      <c r="I70" s="6">
        <v>32777</v>
      </c>
      <c r="J70" s="2" t="s">
        <v>630</v>
      </c>
      <c r="K70" s="2" t="s">
        <v>34</v>
      </c>
      <c r="L70" t="s">
        <v>35</v>
      </c>
      <c r="M70" t="s">
        <v>29</v>
      </c>
      <c r="N70" t="s">
        <v>30</v>
      </c>
      <c r="O70">
        <v>37219</v>
      </c>
      <c r="P70" t="s">
        <v>631</v>
      </c>
      <c r="Q70" s="2">
        <v>53.44</v>
      </c>
      <c r="R70" s="2">
        <v>0</v>
      </c>
      <c r="S70" s="2">
        <v>0</v>
      </c>
      <c r="T70" t="s">
        <v>278</v>
      </c>
      <c r="U70" s="6">
        <v>36580</v>
      </c>
      <c r="V70" s="2">
        <v>47037012701</v>
      </c>
      <c r="W70" s="2" t="s">
        <v>68</v>
      </c>
      <c r="X70" s="1">
        <v>45658</v>
      </c>
      <c r="Y70" s="2">
        <v>1756600</v>
      </c>
      <c r="Z70" s="2">
        <v>0</v>
      </c>
      <c r="AA70" s="2">
        <v>1756600</v>
      </c>
    </row>
    <row r="71" spans="1:27" x14ac:dyDescent="0.3">
      <c r="A71" s="4" t="s">
        <v>386</v>
      </c>
      <c r="B71" s="2" t="str">
        <f>"07105003100"</f>
        <v>07105003100</v>
      </c>
      <c r="C71" s="2" t="s">
        <v>632</v>
      </c>
      <c r="D71" t="s">
        <v>29</v>
      </c>
      <c r="E71" s="2" t="s">
        <v>30</v>
      </c>
      <c r="F71" s="2">
        <v>37207</v>
      </c>
      <c r="G71" s="2" t="s">
        <v>253</v>
      </c>
      <c r="H71" t="s">
        <v>633</v>
      </c>
      <c r="I71" s="6">
        <v>14269</v>
      </c>
      <c r="J71" s="2" t="s">
        <v>634</v>
      </c>
      <c r="K71" s="2" t="s">
        <v>34</v>
      </c>
      <c r="L71" t="s">
        <v>35</v>
      </c>
      <c r="M71" t="s">
        <v>29</v>
      </c>
      <c r="N71" t="s">
        <v>30</v>
      </c>
      <c r="O71">
        <v>37219</v>
      </c>
      <c r="P71" t="s">
        <v>635</v>
      </c>
      <c r="Q71" s="2">
        <v>15.52</v>
      </c>
      <c r="R71" s="2">
        <v>0</v>
      </c>
      <c r="S71" s="2">
        <v>0</v>
      </c>
      <c r="T71" t="s">
        <v>636</v>
      </c>
      <c r="U71" s="6">
        <v>35366</v>
      </c>
      <c r="V71" s="2">
        <v>47037012702</v>
      </c>
      <c r="W71" s="2" t="s">
        <v>68</v>
      </c>
      <c r="X71" s="1">
        <v>45658</v>
      </c>
      <c r="Y71" s="2">
        <v>1059900</v>
      </c>
      <c r="Z71" s="2">
        <v>0</v>
      </c>
      <c r="AA71" s="2">
        <v>1059900</v>
      </c>
    </row>
    <row r="72" spans="1:27" x14ac:dyDescent="0.3">
      <c r="A72" s="4" t="s">
        <v>386</v>
      </c>
      <c r="B72" s="2" t="str">
        <f>"05909007700"</f>
        <v>05909007700</v>
      </c>
      <c r="C72" s="2" t="s">
        <v>637</v>
      </c>
      <c r="D72" t="s">
        <v>29</v>
      </c>
      <c r="E72" s="2" t="s">
        <v>30</v>
      </c>
      <c r="F72" s="2">
        <v>37218</v>
      </c>
      <c r="G72" s="2" t="s">
        <v>253</v>
      </c>
      <c r="H72" t="s">
        <v>638</v>
      </c>
      <c r="I72" s="6">
        <v>22461</v>
      </c>
      <c r="J72" s="2" t="s">
        <v>639</v>
      </c>
      <c r="K72" s="2" t="s">
        <v>34</v>
      </c>
      <c r="L72" t="s">
        <v>35</v>
      </c>
      <c r="M72" t="s">
        <v>29</v>
      </c>
      <c r="N72" t="s">
        <v>30</v>
      </c>
      <c r="O72">
        <v>37219</v>
      </c>
      <c r="P72" t="s">
        <v>640</v>
      </c>
      <c r="Q72" s="2">
        <v>11.5</v>
      </c>
      <c r="R72" s="2">
        <v>0</v>
      </c>
      <c r="S72" s="2">
        <v>0</v>
      </c>
      <c r="T72" t="s">
        <v>639</v>
      </c>
      <c r="U72" s="6">
        <v>22461</v>
      </c>
      <c r="V72" s="2">
        <v>47037010105</v>
      </c>
      <c r="W72" s="2" t="s">
        <v>68</v>
      </c>
      <c r="X72" s="1">
        <v>45658</v>
      </c>
      <c r="Y72" s="2">
        <v>378500</v>
      </c>
      <c r="Z72" s="2">
        <v>0</v>
      </c>
      <c r="AA72" s="2">
        <v>378500</v>
      </c>
    </row>
    <row r="73" spans="1:27" x14ac:dyDescent="0.3">
      <c r="A73" s="4" t="s">
        <v>386</v>
      </c>
      <c r="B73" s="2" t="str">
        <f>"07111000400"</f>
        <v>07111000400</v>
      </c>
      <c r="C73" s="2" t="s">
        <v>641</v>
      </c>
      <c r="D73" t="s">
        <v>29</v>
      </c>
      <c r="E73" s="2" t="s">
        <v>30</v>
      </c>
      <c r="F73" s="2">
        <v>37207</v>
      </c>
      <c r="G73" s="2" t="s">
        <v>253</v>
      </c>
      <c r="H73" t="s">
        <v>642</v>
      </c>
      <c r="I73" s="6">
        <v>15101</v>
      </c>
      <c r="J73" s="2" t="s">
        <v>643</v>
      </c>
      <c r="K73" s="2" t="s">
        <v>34</v>
      </c>
      <c r="L73" t="s">
        <v>35</v>
      </c>
      <c r="M73" t="s">
        <v>29</v>
      </c>
      <c r="N73" t="s">
        <v>30</v>
      </c>
      <c r="O73">
        <v>37219</v>
      </c>
      <c r="P73" t="s">
        <v>644</v>
      </c>
      <c r="Q73" s="2">
        <v>10</v>
      </c>
      <c r="R73" s="2">
        <v>0</v>
      </c>
      <c r="S73" s="2">
        <v>0</v>
      </c>
      <c r="T73" t="s">
        <v>643</v>
      </c>
      <c r="U73" s="6">
        <v>15101</v>
      </c>
      <c r="V73" s="2">
        <v>47037011300</v>
      </c>
      <c r="W73" s="2" t="s">
        <v>68</v>
      </c>
      <c r="X73" s="1">
        <v>45658</v>
      </c>
      <c r="Y73" s="2">
        <v>5097000</v>
      </c>
      <c r="Z73" s="2">
        <v>0</v>
      </c>
      <c r="AA73" s="2">
        <v>5097000</v>
      </c>
    </row>
    <row r="74" spans="1:27" x14ac:dyDescent="0.3">
      <c r="A74" s="4" t="s">
        <v>386</v>
      </c>
      <c r="B74" s="2" t="str">
        <f>"05910000700"</f>
        <v>05910000700</v>
      </c>
      <c r="C74" s="2" t="s">
        <v>645</v>
      </c>
      <c r="D74" t="s">
        <v>29</v>
      </c>
      <c r="E74" s="2" t="s">
        <v>30</v>
      </c>
      <c r="F74" s="2">
        <v>37218</v>
      </c>
      <c r="G74" s="2" t="s">
        <v>64</v>
      </c>
      <c r="H74" t="s">
        <v>280</v>
      </c>
      <c r="I74" s="6">
        <v>40591</v>
      </c>
      <c r="J74" s="2" t="s">
        <v>646</v>
      </c>
      <c r="K74" s="2">
        <v>0</v>
      </c>
      <c r="L74" t="s">
        <v>35</v>
      </c>
      <c r="M74" t="s">
        <v>29</v>
      </c>
      <c r="N74" t="s">
        <v>30</v>
      </c>
      <c r="O74">
        <v>37219</v>
      </c>
      <c r="P74" t="s">
        <v>647</v>
      </c>
      <c r="Q74" s="2">
        <v>0.48</v>
      </c>
      <c r="R74" s="2">
        <v>107</v>
      </c>
      <c r="S74" s="2">
        <v>195</v>
      </c>
      <c r="T74" t="s">
        <v>648</v>
      </c>
      <c r="U74" s="6">
        <v>31565</v>
      </c>
      <c r="V74" s="2">
        <v>47037012801</v>
      </c>
      <c r="W74" s="2" t="s">
        <v>68</v>
      </c>
      <c r="X74" s="1">
        <v>45658</v>
      </c>
      <c r="Y74" s="2">
        <v>7000</v>
      </c>
      <c r="Z74" s="2">
        <v>0</v>
      </c>
      <c r="AA74" s="2">
        <v>7000</v>
      </c>
    </row>
    <row r="75" spans="1:27" x14ac:dyDescent="0.3">
      <c r="A75" s="4" t="s">
        <v>386</v>
      </c>
      <c r="B75" s="2" t="str">
        <f>"05910003400"</f>
        <v>05910003400</v>
      </c>
      <c r="C75" s="2" t="s">
        <v>649</v>
      </c>
      <c r="D75" t="s">
        <v>29</v>
      </c>
      <c r="E75" s="2" t="s">
        <v>30</v>
      </c>
      <c r="F75" s="2">
        <v>37207</v>
      </c>
      <c r="G75" s="2" t="s">
        <v>64</v>
      </c>
      <c r="H75" t="s">
        <v>280</v>
      </c>
      <c r="I75" s="6">
        <v>42880</v>
      </c>
      <c r="J75" s="2" t="s">
        <v>650</v>
      </c>
      <c r="K75" s="2">
        <v>0</v>
      </c>
      <c r="L75" t="s">
        <v>651</v>
      </c>
      <c r="M75" t="s">
        <v>29</v>
      </c>
      <c r="N75" t="s">
        <v>30</v>
      </c>
      <c r="O75">
        <v>37208</v>
      </c>
      <c r="P75" t="s">
        <v>652</v>
      </c>
      <c r="Q75" s="2">
        <v>0.36</v>
      </c>
      <c r="R75" s="2">
        <v>112</v>
      </c>
      <c r="S75" s="2">
        <v>128</v>
      </c>
      <c r="T75" t="s">
        <v>653</v>
      </c>
      <c r="U75" s="6">
        <v>24847</v>
      </c>
      <c r="V75" s="2">
        <v>47037012701</v>
      </c>
      <c r="W75" s="2" t="s">
        <v>68</v>
      </c>
      <c r="X75" s="1">
        <v>45658</v>
      </c>
      <c r="Y75" s="2">
        <v>83600</v>
      </c>
      <c r="Z75" s="2">
        <v>0</v>
      </c>
      <c r="AA75" s="2">
        <v>83600</v>
      </c>
    </row>
    <row r="76" spans="1:27" x14ac:dyDescent="0.3">
      <c r="A76" s="4" t="s">
        <v>386</v>
      </c>
      <c r="B76" s="2" t="str">
        <f>"05910024500"</f>
        <v>05910024500</v>
      </c>
      <c r="C76" s="2" t="s">
        <v>654</v>
      </c>
      <c r="D76" t="s">
        <v>29</v>
      </c>
      <c r="E76" s="2" t="s">
        <v>30</v>
      </c>
      <c r="F76" s="2">
        <v>37207</v>
      </c>
      <c r="G76" s="2" t="s">
        <v>64</v>
      </c>
      <c r="H76" t="s">
        <v>280</v>
      </c>
      <c r="I76" s="6">
        <v>40703</v>
      </c>
      <c r="J76" s="2" t="s">
        <v>655</v>
      </c>
      <c r="K76" s="2">
        <v>0</v>
      </c>
      <c r="L76" t="s">
        <v>35</v>
      </c>
      <c r="M76" t="s">
        <v>29</v>
      </c>
      <c r="N76" t="s">
        <v>30</v>
      </c>
      <c r="O76">
        <v>37219</v>
      </c>
      <c r="P76" t="s">
        <v>656</v>
      </c>
      <c r="Q76" s="2">
        <v>0.55000000000000004</v>
      </c>
      <c r="R76" s="2">
        <v>162</v>
      </c>
      <c r="S76" s="2">
        <v>150</v>
      </c>
      <c r="T76" t="s">
        <v>657</v>
      </c>
      <c r="U76" s="6">
        <v>25911</v>
      </c>
      <c r="V76" s="2">
        <v>47037012701</v>
      </c>
      <c r="W76" s="2" t="s">
        <v>68</v>
      </c>
      <c r="X76" s="1">
        <v>45658</v>
      </c>
      <c r="Y76" s="2">
        <v>86500</v>
      </c>
      <c r="Z76" s="2">
        <v>0</v>
      </c>
      <c r="AA76" s="2">
        <v>86500</v>
      </c>
    </row>
    <row r="77" spans="1:27" x14ac:dyDescent="0.3">
      <c r="A77" s="4" t="s">
        <v>386</v>
      </c>
      <c r="B77" s="2" t="str">
        <f>"05914001200"</f>
        <v>05914001200</v>
      </c>
      <c r="C77" s="2" t="s">
        <v>658</v>
      </c>
      <c r="D77" t="s">
        <v>29</v>
      </c>
      <c r="E77" s="2" t="s">
        <v>30</v>
      </c>
      <c r="F77" s="2">
        <v>37218</v>
      </c>
      <c r="G77" s="2" t="s">
        <v>64</v>
      </c>
      <c r="H77" t="s">
        <v>280</v>
      </c>
      <c r="I77" s="6">
        <v>40709</v>
      </c>
      <c r="J77" s="2" t="s">
        <v>659</v>
      </c>
      <c r="K77" s="2">
        <v>0</v>
      </c>
      <c r="L77" t="s">
        <v>35</v>
      </c>
      <c r="M77" t="s">
        <v>29</v>
      </c>
      <c r="N77" t="s">
        <v>30</v>
      </c>
      <c r="O77">
        <v>37219</v>
      </c>
      <c r="P77" t="s">
        <v>660</v>
      </c>
      <c r="Q77" s="2">
        <v>1.03</v>
      </c>
      <c r="R77" s="2">
        <v>95</v>
      </c>
      <c r="S77" s="2">
        <v>389</v>
      </c>
      <c r="T77" t="s">
        <v>661</v>
      </c>
      <c r="U77" s="6">
        <v>25094</v>
      </c>
      <c r="V77" s="2">
        <v>47037012801</v>
      </c>
      <c r="W77" s="2" t="s">
        <v>68</v>
      </c>
      <c r="X77" s="1">
        <v>45658</v>
      </c>
      <c r="Y77" s="2">
        <v>7200</v>
      </c>
      <c r="Z77" s="2">
        <v>0</v>
      </c>
      <c r="AA77" s="2">
        <v>7200</v>
      </c>
    </row>
    <row r="78" spans="1:27" x14ac:dyDescent="0.3">
      <c r="A78" s="4" t="s">
        <v>386</v>
      </c>
      <c r="B78" s="2" t="str">
        <f>"05914001300"</f>
        <v>05914001300</v>
      </c>
      <c r="C78" s="2" t="s">
        <v>662</v>
      </c>
      <c r="D78" t="s">
        <v>29</v>
      </c>
      <c r="E78" s="2" t="s">
        <v>30</v>
      </c>
      <c r="F78" s="2">
        <v>37218</v>
      </c>
      <c r="G78" s="2" t="s">
        <v>64</v>
      </c>
      <c r="H78" t="s">
        <v>280</v>
      </c>
      <c r="I78" s="6">
        <v>41535</v>
      </c>
      <c r="J78" s="2" t="s">
        <v>663</v>
      </c>
      <c r="K78" s="2" t="s">
        <v>34</v>
      </c>
      <c r="L78" t="s">
        <v>35</v>
      </c>
      <c r="M78" t="s">
        <v>29</v>
      </c>
      <c r="N78" t="s">
        <v>30</v>
      </c>
      <c r="O78">
        <v>37219</v>
      </c>
      <c r="P78" t="s">
        <v>664</v>
      </c>
      <c r="Q78" s="2">
        <v>1.1299999999999999</v>
      </c>
      <c r="R78" s="2">
        <v>110</v>
      </c>
      <c r="S78" s="2">
        <v>472</v>
      </c>
      <c r="T78" t="s">
        <v>665</v>
      </c>
      <c r="U78" s="6">
        <v>27015</v>
      </c>
      <c r="V78" s="2">
        <v>47037012801</v>
      </c>
      <c r="W78" s="2" t="s">
        <v>68</v>
      </c>
      <c r="X78" s="1">
        <v>45658</v>
      </c>
      <c r="Y78" s="2">
        <v>56100</v>
      </c>
      <c r="Z78" s="2">
        <v>0</v>
      </c>
      <c r="AA78" s="2">
        <v>56100</v>
      </c>
    </row>
    <row r="79" spans="1:27" x14ac:dyDescent="0.3">
      <c r="A79" s="4" t="s">
        <v>386</v>
      </c>
      <c r="B79" s="2" t="str">
        <f>"05914004800"</f>
        <v>05914004800</v>
      </c>
      <c r="C79" s="2" t="s">
        <v>666</v>
      </c>
      <c r="D79" t="s">
        <v>29</v>
      </c>
      <c r="E79" s="2" t="s">
        <v>30</v>
      </c>
      <c r="F79" s="2">
        <v>37218</v>
      </c>
      <c r="G79" s="2" t="s">
        <v>64</v>
      </c>
      <c r="H79" t="s">
        <v>280</v>
      </c>
      <c r="I79" s="6">
        <v>40655</v>
      </c>
      <c r="J79" s="2" t="s">
        <v>667</v>
      </c>
      <c r="K79" s="2">
        <v>0</v>
      </c>
      <c r="L79" t="s">
        <v>35</v>
      </c>
      <c r="M79" t="s">
        <v>29</v>
      </c>
      <c r="N79" t="s">
        <v>30</v>
      </c>
      <c r="O79">
        <v>37219</v>
      </c>
      <c r="P79" t="s">
        <v>668</v>
      </c>
      <c r="Q79" s="2">
        <v>0.87</v>
      </c>
      <c r="R79" s="2">
        <v>224</v>
      </c>
      <c r="S79" s="2">
        <v>224</v>
      </c>
      <c r="T79" t="s">
        <v>669</v>
      </c>
      <c r="U79" s="6">
        <v>25281</v>
      </c>
      <c r="V79" s="2">
        <v>47037012801</v>
      </c>
      <c r="W79" s="2" t="s">
        <v>68</v>
      </c>
      <c r="X79" s="1">
        <v>45658</v>
      </c>
      <c r="Y79" s="2">
        <v>7000</v>
      </c>
      <c r="Z79" s="2">
        <v>0</v>
      </c>
      <c r="AA79" s="2">
        <v>7000</v>
      </c>
    </row>
    <row r="80" spans="1:27" x14ac:dyDescent="0.3">
      <c r="A80" s="4" t="s">
        <v>386</v>
      </c>
      <c r="B80" s="2" t="str">
        <f>"05914001400"</f>
        <v>05914001400</v>
      </c>
      <c r="C80" s="2" t="s">
        <v>670</v>
      </c>
      <c r="D80" t="s">
        <v>29</v>
      </c>
      <c r="E80" s="2" t="s">
        <v>30</v>
      </c>
      <c r="F80" s="2">
        <v>37218</v>
      </c>
      <c r="G80" s="2" t="s">
        <v>64</v>
      </c>
      <c r="H80" t="s">
        <v>280</v>
      </c>
      <c r="I80" s="6">
        <v>43103</v>
      </c>
      <c r="J80" s="2" t="s">
        <v>671</v>
      </c>
      <c r="K80" s="2">
        <v>0</v>
      </c>
      <c r="L80" t="s">
        <v>85</v>
      </c>
      <c r="M80" t="s">
        <v>29</v>
      </c>
      <c r="N80" t="s">
        <v>30</v>
      </c>
      <c r="O80">
        <v>37219</v>
      </c>
      <c r="P80" t="s">
        <v>672</v>
      </c>
      <c r="Q80" s="2">
        <v>1.03</v>
      </c>
      <c r="R80" s="2">
        <v>120</v>
      </c>
      <c r="S80" s="2">
        <v>472</v>
      </c>
      <c r="T80" t="s">
        <v>673</v>
      </c>
      <c r="U80" s="6">
        <v>26855</v>
      </c>
      <c r="V80" s="2">
        <v>47037012801</v>
      </c>
      <c r="W80" s="2" t="s">
        <v>68</v>
      </c>
      <c r="X80" s="1">
        <v>45658</v>
      </c>
      <c r="Y80" s="2">
        <v>20600</v>
      </c>
      <c r="Z80" s="2">
        <v>0</v>
      </c>
      <c r="AA80" s="2">
        <v>20600</v>
      </c>
    </row>
    <row r="81" spans="1:27" x14ac:dyDescent="0.3">
      <c r="A81" s="4" t="s">
        <v>386</v>
      </c>
      <c r="B81" s="2" t="str">
        <f>"05914001800"</f>
        <v>05914001800</v>
      </c>
      <c r="C81" s="2" t="s">
        <v>674</v>
      </c>
      <c r="D81" t="s">
        <v>29</v>
      </c>
      <c r="E81" s="2" t="s">
        <v>30</v>
      </c>
      <c r="F81" s="2">
        <v>37218</v>
      </c>
      <c r="G81" s="2" t="s">
        <v>64</v>
      </c>
      <c r="H81" t="s">
        <v>280</v>
      </c>
      <c r="I81" s="6">
        <v>40786</v>
      </c>
      <c r="J81" s="2" t="s">
        <v>675</v>
      </c>
      <c r="K81" s="2">
        <v>0</v>
      </c>
      <c r="L81" t="s">
        <v>35</v>
      </c>
      <c r="M81" t="s">
        <v>29</v>
      </c>
      <c r="N81" t="s">
        <v>30</v>
      </c>
      <c r="O81">
        <v>37219</v>
      </c>
      <c r="P81" t="s">
        <v>676</v>
      </c>
      <c r="Q81" s="2">
        <v>1.2</v>
      </c>
      <c r="R81" s="2">
        <v>93</v>
      </c>
      <c r="S81" s="2">
        <v>403</v>
      </c>
      <c r="T81" t="s">
        <v>677</v>
      </c>
      <c r="U81" s="6">
        <v>26994</v>
      </c>
      <c r="V81" s="2">
        <v>47037012801</v>
      </c>
      <c r="W81" s="2" t="s">
        <v>68</v>
      </c>
      <c r="X81" s="1">
        <v>45658</v>
      </c>
      <c r="Y81" s="2">
        <v>8400</v>
      </c>
      <c r="Z81" s="2">
        <v>0</v>
      </c>
      <c r="AA81" s="2">
        <v>8400</v>
      </c>
    </row>
    <row r="82" spans="1:27" x14ac:dyDescent="0.3">
      <c r="A82" s="4" t="s">
        <v>386</v>
      </c>
      <c r="B82" s="2" t="str">
        <f>"05914001700"</f>
        <v>05914001700</v>
      </c>
      <c r="C82" s="2" t="s">
        <v>678</v>
      </c>
      <c r="D82" t="s">
        <v>29</v>
      </c>
      <c r="E82" s="2" t="s">
        <v>30</v>
      </c>
      <c r="F82" s="2">
        <v>37218</v>
      </c>
      <c r="G82" s="2" t="s">
        <v>64</v>
      </c>
      <c r="H82" t="s">
        <v>280</v>
      </c>
      <c r="I82" s="6">
        <v>40745</v>
      </c>
      <c r="J82" s="2" t="s">
        <v>679</v>
      </c>
      <c r="K82" s="2">
        <v>0</v>
      </c>
      <c r="L82" t="s">
        <v>35</v>
      </c>
      <c r="M82" t="s">
        <v>29</v>
      </c>
      <c r="N82" t="s">
        <v>30</v>
      </c>
      <c r="O82">
        <v>37219</v>
      </c>
      <c r="P82" t="s">
        <v>680</v>
      </c>
      <c r="Q82" s="2">
        <v>1.03</v>
      </c>
      <c r="R82" s="2">
        <v>125</v>
      </c>
      <c r="S82" s="2">
        <v>389</v>
      </c>
      <c r="T82" t="s">
        <v>681</v>
      </c>
      <c r="U82" s="6">
        <v>25066</v>
      </c>
      <c r="V82" s="2">
        <v>47037012801</v>
      </c>
      <c r="W82" s="2" t="s">
        <v>68</v>
      </c>
      <c r="X82" s="1">
        <v>45658</v>
      </c>
      <c r="Y82" s="2">
        <v>7200</v>
      </c>
      <c r="Z82" s="2">
        <v>0</v>
      </c>
      <c r="AA82" s="2">
        <v>7200</v>
      </c>
    </row>
    <row r="83" spans="1:27" x14ac:dyDescent="0.3">
      <c r="A83" s="4" t="s">
        <v>386</v>
      </c>
      <c r="B83" s="2" t="str">
        <f>"05914001500"</f>
        <v>05914001500</v>
      </c>
      <c r="C83" s="2" t="s">
        <v>682</v>
      </c>
      <c r="D83" t="s">
        <v>29</v>
      </c>
      <c r="E83" s="2" t="s">
        <v>30</v>
      </c>
      <c r="F83" s="2">
        <v>37218</v>
      </c>
      <c r="G83" s="2" t="s">
        <v>64</v>
      </c>
      <c r="H83" t="s">
        <v>280</v>
      </c>
      <c r="I83" s="6">
        <v>40686</v>
      </c>
      <c r="J83" s="2" t="s">
        <v>683</v>
      </c>
      <c r="K83" s="2">
        <v>0</v>
      </c>
      <c r="L83" t="s">
        <v>35</v>
      </c>
      <c r="M83" t="s">
        <v>29</v>
      </c>
      <c r="N83" t="s">
        <v>30</v>
      </c>
      <c r="O83">
        <v>37219</v>
      </c>
      <c r="P83" t="s">
        <v>684</v>
      </c>
      <c r="Q83" s="2">
        <v>0.96</v>
      </c>
      <c r="R83" s="2">
        <v>165</v>
      </c>
      <c r="S83" s="2">
        <v>380</v>
      </c>
      <c r="T83" t="s">
        <v>685</v>
      </c>
      <c r="U83" s="6">
        <v>27288</v>
      </c>
      <c r="V83" s="2">
        <v>47037012801</v>
      </c>
      <c r="W83" s="2" t="s">
        <v>68</v>
      </c>
      <c r="X83" s="1">
        <v>45658</v>
      </c>
      <c r="Y83" s="2">
        <v>7000</v>
      </c>
      <c r="Z83" s="2">
        <v>0</v>
      </c>
      <c r="AA83" s="2">
        <v>7000</v>
      </c>
    </row>
    <row r="84" spans="1:27" x14ac:dyDescent="0.3">
      <c r="A84" s="4" t="s">
        <v>386</v>
      </c>
      <c r="B84" s="2" t="str">
        <f>"05914004700"</f>
        <v>05914004700</v>
      </c>
      <c r="C84" s="2" t="s">
        <v>686</v>
      </c>
      <c r="D84" t="s">
        <v>29</v>
      </c>
      <c r="E84" s="2" t="s">
        <v>30</v>
      </c>
      <c r="F84" s="2">
        <v>37218</v>
      </c>
      <c r="G84" s="2" t="s">
        <v>64</v>
      </c>
      <c r="H84" t="s">
        <v>280</v>
      </c>
      <c r="I84" s="6">
        <v>40604</v>
      </c>
      <c r="J84" s="2" t="s">
        <v>687</v>
      </c>
      <c r="K84" s="2">
        <v>0</v>
      </c>
      <c r="L84" t="s">
        <v>35</v>
      </c>
      <c r="M84" t="s">
        <v>29</v>
      </c>
      <c r="N84" t="s">
        <v>30</v>
      </c>
      <c r="O84">
        <v>37219</v>
      </c>
      <c r="P84" t="s">
        <v>688</v>
      </c>
      <c r="Q84" s="2">
        <v>0.43</v>
      </c>
      <c r="R84" s="2">
        <v>80</v>
      </c>
      <c r="S84" s="2">
        <v>225</v>
      </c>
      <c r="T84" t="s">
        <v>689</v>
      </c>
      <c r="U84" s="6">
        <v>25015</v>
      </c>
      <c r="V84" s="2">
        <v>47037012801</v>
      </c>
      <c r="W84" s="2" t="s">
        <v>68</v>
      </c>
      <c r="X84" s="1">
        <v>45658</v>
      </c>
      <c r="Y84" s="2">
        <v>7000</v>
      </c>
      <c r="Z84" s="2">
        <v>0</v>
      </c>
      <c r="AA84" s="2">
        <v>7000</v>
      </c>
    </row>
    <row r="85" spans="1:27" x14ac:dyDescent="0.3">
      <c r="A85" s="4" t="s">
        <v>386</v>
      </c>
      <c r="B85" s="2" t="str">
        <f>"05914004600"</f>
        <v>05914004600</v>
      </c>
      <c r="C85" s="2" t="s">
        <v>690</v>
      </c>
      <c r="D85" t="s">
        <v>29</v>
      </c>
      <c r="E85" s="2" t="s">
        <v>30</v>
      </c>
      <c r="F85" s="2">
        <v>37218</v>
      </c>
      <c r="G85" s="2" t="s">
        <v>64</v>
      </c>
      <c r="H85" t="s">
        <v>280</v>
      </c>
      <c r="I85" s="6">
        <v>40599</v>
      </c>
      <c r="J85" s="2" t="s">
        <v>691</v>
      </c>
      <c r="K85" s="2">
        <v>0</v>
      </c>
      <c r="L85" t="s">
        <v>35</v>
      </c>
      <c r="M85" t="s">
        <v>29</v>
      </c>
      <c r="N85" t="s">
        <v>30</v>
      </c>
      <c r="O85">
        <v>37219</v>
      </c>
      <c r="P85" t="s">
        <v>692</v>
      </c>
      <c r="Q85" s="2">
        <v>0.36</v>
      </c>
      <c r="R85" s="2">
        <v>70</v>
      </c>
      <c r="S85" s="2">
        <v>225</v>
      </c>
      <c r="T85" t="s">
        <v>693</v>
      </c>
      <c r="U85" s="6">
        <v>27080</v>
      </c>
      <c r="V85" s="2">
        <v>47037012801</v>
      </c>
      <c r="W85" s="2" t="s">
        <v>68</v>
      </c>
      <c r="X85" s="1">
        <v>45658</v>
      </c>
      <c r="Y85" s="2">
        <v>7000</v>
      </c>
      <c r="Z85" s="2">
        <v>0</v>
      </c>
      <c r="AA85" s="2">
        <v>7000</v>
      </c>
    </row>
    <row r="86" spans="1:27" x14ac:dyDescent="0.3">
      <c r="A86" s="4" t="s">
        <v>386</v>
      </c>
      <c r="B86" s="2" t="str">
        <f>"05914004500"</f>
        <v>05914004500</v>
      </c>
      <c r="C86" s="2" t="s">
        <v>694</v>
      </c>
      <c r="D86" t="s">
        <v>29</v>
      </c>
      <c r="E86" s="2" t="s">
        <v>30</v>
      </c>
      <c r="F86" s="2">
        <v>37218</v>
      </c>
      <c r="G86" s="2" t="s">
        <v>64</v>
      </c>
      <c r="H86" t="s">
        <v>280</v>
      </c>
      <c r="I86" s="6">
        <v>40941</v>
      </c>
      <c r="J86" s="2" t="s">
        <v>695</v>
      </c>
      <c r="K86" s="2">
        <v>0</v>
      </c>
      <c r="L86" t="s">
        <v>35</v>
      </c>
      <c r="M86" t="s">
        <v>29</v>
      </c>
      <c r="N86" t="s">
        <v>30</v>
      </c>
      <c r="O86">
        <v>37219</v>
      </c>
      <c r="P86" t="s">
        <v>696</v>
      </c>
      <c r="Q86" s="2">
        <v>0.4</v>
      </c>
      <c r="R86" s="2">
        <v>70</v>
      </c>
      <c r="S86" s="2">
        <v>211</v>
      </c>
      <c r="T86" t="s">
        <v>697</v>
      </c>
      <c r="U86" s="6">
        <v>26526</v>
      </c>
      <c r="V86" s="2">
        <v>47037012801</v>
      </c>
      <c r="W86" s="2" t="s">
        <v>68</v>
      </c>
      <c r="X86" s="1">
        <v>45658</v>
      </c>
      <c r="Y86" s="2">
        <v>7000</v>
      </c>
      <c r="Z86" s="2">
        <v>0</v>
      </c>
      <c r="AA86" s="2">
        <v>7000</v>
      </c>
    </row>
    <row r="87" spans="1:27" x14ac:dyDescent="0.3">
      <c r="A87" s="4" t="s">
        <v>386</v>
      </c>
      <c r="B87" s="2" t="str">
        <f>"05914001600"</f>
        <v>05914001600</v>
      </c>
      <c r="C87" s="2" t="s">
        <v>698</v>
      </c>
      <c r="D87" t="s">
        <v>29</v>
      </c>
      <c r="E87" s="2" t="s">
        <v>30</v>
      </c>
      <c r="F87" s="2">
        <v>37218</v>
      </c>
      <c r="G87" s="2" t="s">
        <v>64</v>
      </c>
      <c r="H87" t="s">
        <v>280</v>
      </c>
      <c r="I87" s="6">
        <v>43109</v>
      </c>
      <c r="J87" s="2" t="s">
        <v>699</v>
      </c>
      <c r="K87" s="2" t="s">
        <v>34</v>
      </c>
      <c r="L87" t="s">
        <v>343</v>
      </c>
      <c r="M87" t="s">
        <v>29</v>
      </c>
      <c r="N87" t="s">
        <v>30</v>
      </c>
      <c r="O87">
        <v>37201</v>
      </c>
      <c r="P87" t="s">
        <v>700</v>
      </c>
      <c r="Q87" s="2">
        <v>0.91</v>
      </c>
      <c r="R87" s="2">
        <v>179</v>
      </c>
      <c r="S87" s="2">
        <v>217</v>
      </c>
      <c r="T87" t="s">
        <v>701</v>
      </c>
      <c r="U87" s="6">
        <v>24939</v>
      </c>
      <c r="V87" s="2">
        <v>47037012801</v>
      </c>
      <c r="W87" s="2" t="s">
        <v>68</v>
      </c>
      <c r="X87" s="1">
        <v>45658</v>
      </c>
      <c r="Y87" s="2">
        <v>91700</v>
      </c>
      <c r="Z87" s="2">
        <v>0</v>
      </c>
      <c r="AA87" s="2">
        <v>91700</v>
      </c>
    </row>
    <row r="88" spans="1:27" x14ac:dyDescent="0.3">
      <c r="A88" s="4" t="s">
        <v>386</v>
      </c>
      <c r="B88" s="2" t="str">
        <f>"05914004400"</f>
        <v>05914004400</v>
      </c>
      <c r="C88" s="2" t="s">
        <v>702</v>
      </c>
      <c r="D88" t="s">
        <v>29</v>
      </c>
      <c r="E88" s="2" t="s">
        <v>30</v>
      </c>
      <c r="F88" s="2">
        <v>37218</v>
      </c>
      <c r="G88" s="2" t="s">
        <v>64</v>
      </c>
      <c r="H88" t="s">
        <v>280</v>
      </c>
      <c r="I88" s="6">
        <v>40599</v>
      </c>
      <c r="J88" s="2" t="s">
        <v>703</v>
      </c>
      <c r="K88" s="2">
        <v>0</v>
      </c>
      <c r="L88" t="s">
        <v>35</v>
      </c>
      <c r="M88" t="s">
        <v>29</v>
      </c>
      <c r="N88" t="s">
        <v>30</v>
      </c>
      <c r="O88">
        <v>37219</v>
      </c>
      <c r="P88" t="s">
        <v>704</v>
      </c>
      <c r="Q88" s="2">
        <v>0.41</v>
      </c>
      <c r="R88" s="2">
        <v>70</v>
      </c>
      <c r="S88" s="2">
        <v>203</v>
      </c>
      <c r="T88" t="s">
        <v>705</v>
      </c>
      <c r="U88" s="6">
        <v>25289</v>
      </c>
      <c r="V88" s="2">
        <v>47037012801</v>
      </c>
      <c r="W88" s="2" t="s">
        <v>68</v>
      </c>
      <c r="X88" s="1">
        <v>45658</v>
      </c>
      <c r="Y88" s="2">
        <v>7000</v>
      </c>
      <c r="Z88" s="2">
        <v>0</v>
      </c>
      <c r="AA88" s="2">
        <v>7000</v>
      </c>
    </row>
    <row r="89" spans="1:27" x14ac:dyDescent="0.3">
      <c r="A89" s="4" t="s">
        <v>386</v>
      </c>
      <c r="B89" s="2" t="str">
        <f>"05914004300"</f>
        <v>05914004300</v>
      </c>
      <c r="C89" s="2" t="s">
        <v>706</v>
      </c>
      <c r="D89" t="s">
        <v>29</v>
      </c>
      <c r="E89" s="2" t="s">
        <v>30</v>
      </c>
      <c r="F89" s="2">
        <v>37218</v>
      </c>
      <c r="G89" s="2" t="s">
        <v>64</v>
      </c>
      <c r="H89" t="s">
        <v>280</v>
      </c>
      <c r="I89" s="6">
        <v>40591</v>
      </c>
      <c r="J89" s="2" t="s">
        <v>707</v>
      </c>
      <c r="K89" s="2">
        <v>0</v>
      </c>
      <c r="L89" t="s">
        <v>35</v>
      </c>
      <c r="M89" t="s">
        <v>29</v>
      </c>
      <c r="N89" t="s">
        <v>30</v>
      </c>
      <c r="O89">
        <v>37219</v>
      </c>
      <c r="P89" t="s">
        <v>708</v>
      </c>
      <c r="Q89" s="2">
        <v>0.36</v>
      </c>
      <c r="R89" s="2">
        <v>70</v>
      </c>
      <c r="S89" s="2">
        <v>203</v>
      </c>
      <c r="T89" t="s">
        <v>709</v>
      </c>
      <c r="U89" s="6">
        <v>26085</v>
      </c>
      <c r="V89" s="2">
        <v>47037012801</v>
      </c>
      <c r="W89" s="2" t="s">
        <v>68</v>
      </c>
      <c r="X89" s="1">
        <v>45658</v>
      </c>
      <c r="Y89" s="2">
        <v>7000</v>
      </c>
      <c r="Z89" s="2">
        <v>0</v>
      </c>
      <c r="AA89" s="2">
        <v>7000</v>
      </c>
    </row>
    <row r="90" spans="1:27" x14ac:dyDescent="0.3">
      <c r="A90" s="4" t="s">
        <v>386</v>
      </c>
      <c r="B90" s="2" t="str">
        <f>"05914002100"</f>
        <v>05914002100</v>
      </c>
      <c r="C90" s="2" t="s">
        <v>710</v>
      </c>
      <c r="D90" t="s">
        <v>29</v>
      </c>
      <c r="E90" s="2" t="s">
        <v>30</v>
      </c>
      <c r="F90" s="2">
        <v>37218</v>
      </c>
      <c r="G90" s="2" t="s">
        <v>64</v>
      </c>
      <c r="H90" t="s">
        <v>280</v>
      </c>
      <c r="I90" s="6">
        <v>40745</v>
      </c>
      <c r="J90" s="2" t="s">
        <v>711</v>
      </c>
      <c r="K90" s="2">
        <v>0</v>
      </c>
      <c r="L90" t="s">
        <v>35</v>
      </c>
      <c r="M90" t="s">
        <v>29</v>
      </c>
      <c r="N90" t="s">
        <v>30</v>
      </c>
      <c r="O90">
        <v>37219</v>
      </c>
      <c r="P90" t="s">
        <v>712</v>
      </c>
      <c r="Q90" s="2">
        <v>0.59</v>
      </c>
      <c r="R90" s="2">
        <v>135</v>
      </c>
      <c r="S90" s="2">
        <v>275</v>
      </c>
      <c r="T90" t="s">
        <v>713</v>
      </c>
      <c r="U90" s="6">
        <v>25009</v>
      </c>
      <c r="V90" s="2">
        <v>47037012801</v>
      </c>
      <c r="W90" s="2" t="s">
        <v>68</v>
      </c>
      <c r="X90" s="1">
        <v>45658</v>
      </c>
      <c r="Y90" s="2">
        <v>7000</v>
      </c>
      <c r="Z90" s="2">
        <v>0</v>
      </c>
      <c r="AA90" s="2">
        <v>7000</v>
      </c>
    </row>
    <row r="91" spans="1:27" x14ac:dyDescent="0.3">
      <c r="A91" s="4" t="s">
        <v>386</v>
      </c>
      <c r="B91" s="2" t="str">
        <f>"05914004200"</f>
        <v>05914004200</v>
      </c>
      <c r="C91" s="2" t="s">
        <v>714</v>
      </c>
      <c r="D91" t="s">
        <v>29</v>
      </c>
      <c r="E91" s="2" t="s">
        <v>30</v>
      </c>
      <c r="F91" s="2">
        <v>37218</v>
      </c>
      <c r="G91" s="2" t="s">
        <v>64</v>
      </c>
      <c r="H91" t="s">
        <v>280</v>
      </c>
      <c r="I91" s="6">
        <v>40632</v>
      </c>
      <c r="J91" s="2" t="s">
        <v>715</v>
      </c>
      <c r="K91" s="2">
        <v>0</v>
      </c>
      <c r="L91" t="s">
        <v>35</v>
      </c>
      <c r="M91" t="s">
        <v>29</v>
      </c>
      <c r="N91" t="s">
        <v>30</v>
      </c>
      <c r="O91">
        <v>37219</v>
      </c>
      <c r="P91" t="s">
        <v>716</v>
      </c>
      <c r="Q91" s="2">
        <v>0.39</v>
      </c>
      <c r="R91" s="2">
        <v>70</v>
      </c>
      <c r="S91" s="2">
        <v>204</v>
      </c>
      <c r="T91" t="s">
        <v>717</v>
      </c>
      <c r="U91" s="6">
        <v>26091</v>
      </c>
      <c r="V91" s="2">
        <v>47037012801</v>
      </c>
      <c r="W91" s="2" t="s">
        <v>68</v>
      </c>
      <c r="X91" s="1">
        <v>45658</v>
      </c>
      <c r="Y91" s="2">
        <v>7000</v>
      </c>
      <c r="Z91" s="2">
        <v>0</v>
      </c>
      <c r="AA91" s="2">
        <v>7000</v>
      </c>
    </row>
    <row r="92" spans="1:27" x14ac:dyDescent="0.3">
      <c r="A92" s="4" t="s">
        <v>386</v>
      </c>
      <c r="B92" s="2" t="str">
        <f>"05914002200"</f>
        <v>05914002200</v>
      </c>
      <c r="C92" s="2" t="s">
        <v>718</v>
      </c>
      <c r="D92" t="s">
        <v>29</v>
      </c>
      <c r="E92" s="2" t="s">
        <v>30</v>
      </c>
      <c r="F92" s="2">
        <v>37218</v>
      </c>
      <c r="G92" s="2" t="s">
        <v>64</v>
      </c>
      <c r="H92" t="s">
        <v>280</v>
      </c>
      <c r="I92" s="6">
        <v>40710</v>
      </c>
      <c r="J92" s="2" t="s">
        <v>719</v>
      </c>
      <c r="K92" s="2">
        <v>0</v>
      </c>
      <c r="L92" t="s">
        <v>35</v>
      </c>
      <c r="M92" t="s">
        <v>29</v>
      </c>
      <c r="N92" t="s">
        <v>30</v>
      </c>
      <c r="O92">
        <v>37219</v>
      </c>
      <c r="P92" t="s">
        <v>720</v>
      </c>
      <c r="Q92" s="2">
        <v>0.36</v>
      </c>
      <c r="R92" s="2">
        <v>105</v>
      </c>
      <c r="S92" s="2">
        <v>216</v>
      </c>
      <c r="T92" t="s">
        <v>721</v>
      </c>
      <c r="U92" s="6">
        <v>25288</v>
      </c>
      <c r="V92" s="2">
        <v>47037012801</v>
      </c>
      <c r="W92" s="2" t="s">
        <v>68</v>
      </c>
      <c r="X92" s="1">
        <v>45658</v>
      </c>
      <c r="Y92" s="2">
        <v>7000</v>
      </c>
      <c r="Z92" s="2">
        <v>0</v>
      </c>
      <c r="AA92" s="2">
        <v>7000</v>
      </c>
    </row>
    <row r="93" spans="1:27" x14ac:dyDescent="0.3">
      <c r="A93" s="4" t="s">
        <v>386</v>
      </c>
      <c r="B93" s="2" t="str">
        <f>"05914004100"</f>
        <v>05914004100</v>
      </c>
      <c r="C93" s="2" t="s">
        <v>722</v>
      </c>
      <c r="D93" t="s">
        <v>29</v>
      </c>
      <c r="E93" s="2" t="s">
        <v>30</v>
      </c>
      <c r="F93" s="2">
        <v>37218</v>
      </c>
      <c r="G93" s="2" t="s">
        <v>64</v>
      </c>
      <c r="H93" t="s">
        <v>280</v>
      </c>
      <c r="I93" s="6">
        <v>40632</v>
      </c>
      <c r="J93" s="2" t="s">
        <v>723</v>
      </c>
      <c r="K93" s="2">
        <v>0</v>
      </c>
      <c r="L93" t="s">
        <v>35</v>
      </c>
      <c r="M93" t="s">
        <v>29</v>
      </c>
      <c r="N93" t="s">
        <v>30</v>
      </c>
      <c r="O93">
        <v>37219</v>
      </c>
      <c r="P93" t="s">
        <v>724</v>
      </c>
      <c r="Q93" s="2">
        <v>0.36</v>
      </c>
      <c r="R93" s="2">
        <v>70</v>
      </c>
      <c r="S93" s="2">
        <v>206</v>
      </c>
      <c r="T93" t="s">
        <v>725</v>
      </c>
      <c r="U93" s="6">
        <v>27312</v>
      </c>
      <c r="V93" s="2">
        <v>47037012801</v>
      </c>
      <c r="W93" s="2" t="s">
        <v>68</v>
      </c>
      <c r="X93" s="1">
        <v>45658</v>
      </c>
      <c r="Y93" s="2">
        <v>7000</v>
      </c>
      <c r="Z93" s="2">
        <v>0</v>
      </c>
      <c r="AA93" s="2">
        <v>7000</v>
      </c>
    </row>
    <row r="94" spans="1:27" x14ac:dyDescent="0.3">
      <c r="A94" s="4" t="s">
        <v>386</v>
      </c>
      <c r="B94" s="2" t="str">
        <f>"05914002300"</f>
        <v>05914002300</v>
      </c>
      <c r="C94" s="2" t="s">
        <v>726</v>
      </c>
      <c r="D94" t="s">
        <v>29</v>
      </c>
      <c r="E94" s="2" t="s">
        <v>30</v>
      </c>
      <c r="F94" s="2">
        <v>37218</v>
      </c>
      <c r="G94" s="2" t="s">
        <v>64</v>
      </c>
      <c r="H94" t="s">
        <v>280</v>
      </c>
      <c r="I94" s="6">
        <v>40724</v>
      </c>
      <c r="J94" s="2" t="s">
        <v>727</v>
      </c>
      <c r="K94" s="2">
        <v>0</v>
      </c>
      <c r="L94" t="s">
        <v>35</v>
      </c>
      <c r="M94" t="s">
        <v>29</v>
      </c>
      <c r="N94" t="s">
        <v>30</v>
      </c>
      <c r="O94">
        <v>37219</v>
      </c>
      <c r="P94" t="s">
        <v>728</v>
      </c>
      <c r="Q94" s="2">
        <v>0.43</v>
      </c>
      <c r="R94" s="2">
        <v>110</v>
      </c>
      <c r="S94" s="2">
        <v>127</v>
      </c>
      <c r="T94" t="s">
        <v>729</v>
      </c>
      <c r="U94" s="6">
        <v>26040</v>
      </c>
      <c r="V94" s="2">
        <v>47037012801</v>
      </c>
      <c r="W94" s="2" t="s">
        <v>68</v>
      </c>
      <c r="X94" s="1">
        <v>45658</v>
      </c>
      <c r="Y94" s="2">
        <v>7000</v>
      </c>
      <c r="Z94" s="2">
        <v>0</v>
      </c>
      <c r="AA94" s="2">
        <v>7000</v>
      </c>
    </row>
    <row r="95" spans="1:27" x14ac:dyDescent="0.3">
      <c r="A95" s="4" t="s">
        <v>386</v>
      </c>
      <c r="B95" s="2" t="str">
        <f>"05914004000"</f>
        <v>05914004000</v>
      </c>
      <c r="C95" s="2" t="s">
        <v>730</v>
      </c>
      <c r="D95" t="s">
        <v>29</v>
      </c>
      <c r="E95" s="2" t="s">
        <v>30</v>
      </c>
      <c r="F95" s="2">
        <v>37218</v>
      </c>
      <c r="G95" s="2" t="s">
        <v>64</v>
      </c>
      <c r="H95" t="s">
        <v>280</v>
      </c>
      <c r="I95" s="6">
        <v>40682</v>
      </c>
      <c r="J95" s="2" t="s">
        <v>731</v>
      </c>
      <c r="K95" s="2">
        <v>0</v>
      </c>
      <c r="L95" t="s">
        <v>35</v>
      </c>
      <c r="M95" t="s">
        <v>29</v>
      </c>
      <c r="N95" t="s">
        <v>30</v>
      </c>
      <c r="O95">
        <v>37219</v>
      </c>
      <c r="P95" t="s">
        <v>732</v>
      </c>
      <c r="Q95" s="2">
        <v>0.36</v>
      </c>
      <c r="R95" s="2">
        <v>75</v>
      </c>
      <c r="S95" s="2">
        <v>212</v>
      </c>
      <c r="T95" t="s">
        <v>733</v>
      </c>
      <c r="U95" s="6">
        <v>25031</v>
      </c>
      <c r="V95" s="2">
        <v>47037012801</v>
      </c>
      <c r="W95" s="2" t="s">
        <v>68</v>
      </c>
      <c r="X95" s="1">
        <v>45658</v>
      </c>
      <c r="Y95" s="2">
        <v>7000</v>
      </c>
      <c r="Z95" s="2">
        <v>0</v>
      </c>
      <c r="AA95" s="2">
        <v>7000</v>
      </c>
    </row>
    <row r="96" spans="1:27" x14ac:dyDescent="0.3">
      <c r="A96" s="4" t="s">
        <v>386</v>
      </c>
      <c r="B96" s="2" t="str">
        <f>"05914003900"</f>
        <v>05914003900</v>
      </c>
      <c r="C96" s="2" t="s">
        <v>734</v>
      </c>
      <c r="D96" t="s">
        <v>29</v>
      </c>
      <c r="E96" s="2" t="s">
        <v>30</v>
      </c>
      <c r="F96" s="2">
        <v>37218</v>
      </c>
      <c r="G96" s="2" t="s">
        <v>64</v>
      </c>
      <c r="H96" t="s">
        <v>280</v>
      </c>
      <c r="I96" s="6">
        <v>40599</v>
      </c>
      <c r="J96" s="2" t="s">
        <v>735</v>
      </c>
      <c r="K96" s="2">
        <v>0</v>
      </c>
      <c r="L96" t="s">
        <v>35</v>
      </c>
      <c r="M96" t="s">
        <v>29</v>
      </c>
      <c r="N96" t="s">
        <v>30</v>
      </c>
      <c r="O96">
        <v>37219</v>
      </c>
      <c r="P96" t="s">
        <v>736</v>
      </c>
      <c r="Q96" s="2">
        <v>0.37</v>
      </c>
      <c r="R96" s="2">
        <v>75</v>
      </c>
      <c r="S96" s="2">
        <v>215</v>
      </c>
      <c r="T96" t="s">
        <v>737</v>
      </c>
      <c r="U96" s="6">
        <v>26977</v>
      </c>
      <c r="V96" s="2">
        <v>47037012801</v>
      </c>
      <c r="W96" s="2" t="s">
        <v>68</v>
      </c>
      <c r="X96" s="1">
        <v>45658</v>
      </c>
      <c r="Y96" s="2">
        <v>7000</v>
      </c>
      <c r="Z96" s="2">
        <v>0</v>
      </c>
      <c r="AA96" s="2">
        <v>7000</v>
      </c>
    </row>
    <row r="97" spans="1:27" x14ac:dyDescent="0.3">
      <c r="A97" s="4" t="s">
        <v>386</v>
      </c>
      <c r="B97" s="2" t="str">
        <f>"05914002400"</f>
        <v>05914002400</v>
      </c>
      <c r="C97" s="2" t="s">
        <v>738</v>
      </c>
      <c r="D97" t="s">
        <v>29</v>
      </c>
      <c r="E97" s="2" t="s">
        <v>30</v>
      </c>
      <c r="F97" s="2">
        <v>37218</v>
      </c>
      <c r="G97" s="2" t="s">
        <v>64</v>
      </c>
      <c r="H97" t="s">
        <v>280</v>
      </c>
      <c r="I97" s="6">
        <v>40689</v>
      </c>
      <c r="J97" s="2" t="s">
        <v>739</v>
      </c>
      <c r="K97" s="2">
        <v>0</v>
      </c>
      <c r="L97" t="s">
        <v>35</v>
      </c>
      <c r="M97" t="s">
        <v>29</v>
      </c>
      <c r="N97" t="s">
        <v>30</v>
      </c>
      <c r="O97">
        <v>37219</v>
      </c>
      <c r="P97" t="s">
        <v>740</v>
      </c>
      <c r="Q97" s="2">
        <v>0.34</v>
      </c>
      <c r="R97" s="2">
        <v>100</v>
      </c>
      <c r="S97" s="2">
        <v>167</v>
      </c>
      <c r="T97" t="s">
        <v>741</v>
      </c>
      <c r="U97" s="6">
        <v>25318</v>
      </c>
      <c r="V97" s="2">
        <v>47037012801</v>
      </c>
      <c r="W97" s="2" t="s">
        <v>68</v>
      </c>
      <c r="X97" s="1">
        <v>45658</v>
      </c>
      <c r="Y97" s="2">
        <v>7000</v>
      </c>
      <c r="Z97" s="2">
        <v>0</v>
      </c>
      <c r="AA97" s="2">
        <v>7000</v>
      </c>
    </row>
    <row r="98" spans="1:27" x14ac:dyDescent="0.3">
      <c r="A98" s="4" t="s">
        <v>386</v>
      </c>
      <c r="B98" s="2" t="str">
        <f>"05914003800"</f>
        <v>05914003800</v>
      </c>
      <c r="C98" s="2" t="s">
        <v>742</v>
      </c>
      <c r="D98" t="s">
        <v>29</v>
      </c>
      <c r="E98" s="2" t="s">
        <v>30</v>
      </c>
      <c r="F98" s="2">
        <v>37218</v>
      </c>
      <c r="G98" s="2" t="s">
        <v>64</v>
      </c>
      <c r="H98" t="s">
        <v>280</v>
      </c>
      <c r="I98" s="6">
        <v>40527</v>
      </c>
      <c r="J98" s="2" t="s">
        <v>743</v>
      </c>
      <c r="K98" s="2">
        <v>0</v>
      </c>
      <c r="L98" t="s">
        <v>35</v>
      </c>
      <c r="M98" t="s">
        <v>29</v>
      </c>
      <c r="N98" t="s">
        <v>30</v>
      </c>
      <c r="O98">
        <v>37219</v>
      </c>
      <c r="P98" t="s">
        <v>744</v>
      </c>
      <c r="Q98" s="2">
        <v>0.37</v>
      </c>
      <c r="R98" s="2">
        <v>75</v>
      </c>
      <c r="S98" s="2">
        <v>224</v>
      </c>
      <c r="T98" t="s">
        <v>745</v>
      </c>
      <c r="U98" s="6">
        <v>26805</v>
      </c>
      <c r="V98" s="2">
        <v>47037012801</v>
      </c>
      <c r="W98" s="2" t="s">
        <v>68</v>
      </c>
      <c r="X98" s="1">
        <v>45658</v>
      </c>
      <c r="Y98" s="2">
        <v>7000</v>
      </c>
      <c r="Z98" s="2">
        <v>0</v>
      </c>
      <c r="AA98" s="2">
        <v>7000</v>
      </c>
    </row>
    <row r="99" spans="1:27" x14ac:dyDescent="0.3">
      <c r="A99" s="4" t="s">
        <v>386</v>
      </c>
      <c r="B99" s="2" t="str">
        <f>"05914002500"</f>
        <v>05914002500</v>
      </c>
      <c r="C99" s="2" t="s">
        <v>746</v>
      </c>
      <c r="D99" t="s">
        <v>29</v>
      </c>
      <c r="E99" s="2" t="s">
        <v>30</v>
      </c>
      <c r="F99" s="2">
        <v>37218</v>
      </c>
      <c r="G99" s="2" t="s">
        <v>64</v>
      </c>
      <c r="H99" t="s">
        <v>280</v>
      </c>
      <c r="I99" s="6">
        <v>40682</v>
      </c>
      <c r="J99" s="2" t="s">
        <v>747</v>
      </c>
      <c r="K99" s="2">
        <v>0</v>
      </c>
      <c r="L99" t="s">
        <v>35</v>
      </c>
      <c r="M99" t="s">
        <v>29</v>
      </c>
      <c r="N99" t="s">
        <v>30</v>
      </c>
      <c r="O99">
        <v>37219</v>
      </c>
      <c r="P99" t="s">
        <v>748</v>
      </c>
      <c r="Q99" s="2">
        <v>0.33</v>
      </c>
      <c r="R99" s="2">
        <v>80</v>
      </c>
      <c r="S99" s="2">
        <v>199</v>
      </c>
      <c r="T99" t="s">
        <v>749</v>
      </c>
      <c r="U99" s="6">
        <v>25108</v>
      </c>
      <c r="V99" s="2">
        <v>47037012801</v>
      </c>
      <c r="W99" s="2" t="s">
        <v>68</v>
      </c>
      <c r="X99" s="1">
        <v>45658</v>
      </c>
      <c r="Y99" s="2">
        <v>7000</v>
      </c>
      <c r="Z99" s="2">
        <v>0</v>
      </c>
      <c r="AA99" s="2">
        <v>7000</v>
      </c>
    </row>
    <row r="100" spans="1:27" x14ac:dyDescent="0.3">
      <c r="A100" s="4" t="s">
        <v>386</v>
      </c>
      <c r="B100" s="2" t="str">
        <f>"05914002600"</f>
        <v>05914002600</v>
      </c>
      <c r="C100" s="2" t="s">
        <v>750</v>
      </c>
      <c r="D100" t="s">
        <v>29</v>
      </c>
      <c r="E100" s="2" t="s">
        <v>30</v>
      </c>
      <c r="F100" s="2">
        <v>37218</v>
      </c>
      <c r="G100" s="2" t="s">
        <v>64</v>
      </c>
      <c r="H100" t="s">
        <v>280</v>
      </c>
      <c r="I100" s="6">
        <v>40696</v>
      </c>
      <c r="J100" s="2" t="s">
        <v>751</v>
      </c>
      <c r="K100" s="2">
        <v>0</v>
      </c>
      <c r="L100" t="s">
        <v>35</v>
      </c>
      <c r="M100" t="s">
        <v>29</v>
      </c>
      <c r="N100" t="s">
        <v>30</v>
      </c>
      <c r="O100">
        <v>37219</v>
      </c>
      <c r="P100" t="s">
        <v>752</v>
      </c>
      <c r="Q100" s="2">
        <v>0.36</v>
      </c>
      <c r="R100" s="2">
        <v>75</v>
      </c>
      <c r="S100" s="2">
        <v>228</v>
      </c>
      <c r="T100" t="s">
        <v>753</v>
      </c>
      <c r="U100" s="6">
        <v>23544</v>
      </c>
      <c r="V100" s="2">
        <v>47037012801</v>
      </c>
      <c r="W100" s="2" t="s">
        <v>68</v>
      </c>
      <c r="X100" s="1">
        <v>45658</v>
      </c>
      <c r="Y100" s="2">
        <v>7000</v>
      </c>
      <c r="Z100" s="2">
        <v>0</v>
      </c>
      <c r="AA100" s="2">
        <v>7000</v>
      </c>
    </row>
    <row r="101" spans="1:27" x14ac:dyDescent="0.3">
      <c r="A101" s="4" t="s">
        <v>386</v>
      </c>
      <c r="B101" s="2" t="str">
        <f>"05914002700"</f>
        <v>05914002700</v>
      </c>
      <c r="C101" s="2" t="s">
        <v>754</v>
      </c>
      <c r="D101" t="s">
        <v>29</v>
      </c>
      <c r="E101" s="2" t="s">
        <v>30</v>
      </c>
      <c r="F101" s="2">
        <v>37218</v>
      </c>
      <c r="G101" s="2" t="s">
        <v>64</v>
      </c>
      <c r="H101" t="s">
        <v>280</v>
      </c>
      <c r="I101" s="6">
        <v>40812</v>
      </c>
      <c r="J101" s="2" t="s">
        <v>755</v>
      </c>
      <c r="K101" s="2">
        <v>0</v>
      </c>
      <c r="L101" t="s">
        <v>35</v>
      </c>
      <c r="M101" t="s">
        <v>29</v>
      </c>
      <c r="N101" t="s">
        <v>30</v>
      </c>
      <c r="O101">
        <v>37219</v>
      </c>
      <c r="P101" t="s">
        <v>756</v>
      </c>
      <c r="Q101" s="2">
        <v>0.32</v>
      </c>
      <c r="R101" s="2">
        <v>75</v>
      </c>
      <c r="S101" s="2">
        <v>228</v>
      </c>
      <c r="T101" t="s">
        <v>757</v>
      </c>
      <c r="U101" s="6">
        <v>25045</v>
      </c>
      <c r="V101" s="2">
        <v>47037012801</v>
      </c>
      <c r="W101" s="2" t="s">
        <v>68</v>
      </c>
      <c r="X101" s="1">
        <v>45658</v>
      </c>
      <c r="Y101" s="2">
        <v>7000</v>
      </c>
      <c r="Z101" s="2">
        <v>0</v>
      </c>
      <c r="AA101" s="2">
        <v>7000</v>
      </c>
    </row>
    <row r="102" spans="1:27" x14ac:dyDescent="0.3">
      <c r="A102" s="4" t="s">
        <v>386</v>
      </c>
      <c r="B102" s="2" t="str">
        <f>"05914003600"</f>
        <v>05914003600</v>
      </c>
      <c r="C102" s="2" t="s">
        <v>758</v>
      </c>
      <c r="D102" t="s">
        <v>29</v>
      </c>
      <c r="E102" s="2" t="s">
        <v>30</v>
      </c>
      <c r="F102" s="2">
        <v>37218</v>
      </c>
      <c r="G102" s="2" t="s">
        <v>64</v>
      </c>
      <c r="H102" t="s">
        <v>280</v>
      </c>
      <c r="I102" s="6">
        <v>40652</v>
      </c>
      <c r="J102" s="2" t="s">
        <v>759</v>
      </c>
      <c r="K102" s="2">
        <v>0</v>
      </c>
      <c r="L102" t="s">
        <v>35</v>
      </c>
      <c r="M102" t="s">
        <v>29</v>
      </c>
      <c r="N102" t="s">
        <v>30</v>
      </c>
      <c r="O102">
        <v>37219</v>
      </c>
      <c r="P102" t="s">
        <v>760</v>
      </c>
      <c r="Q102" s="2">
        <v>0.39</v>
      </c>
      <c r="R102" s="2">
        <v>75</v>
      </c>
      <c r="S102" s="2">
        <v>231</v>
      </c>
      <c r="T102" t="s">
        <v>761</v>
      </c>
      <c r="U102" s="6">
        <v>25882</v>
      </c>
      <c r="V102" s="2">
        <v>47037012801</v>
      </c>
      <c r="W102" s="2" t="s">
        <v>68</v>
      </c>
      <c r="X102" s="1">
        <v>45658</v>
      </c>
      <c r="Y102" s="2">
        <v>7000</v>
      </c>
      <c r="Z102" s="2">
        <v>0</v>
      </c>
      <c r="AA102" s="2">
        <v>7000</v>
      </c>
    </row>
    <row r="103" spans="1:27" x14ac:dyDescent="0.3">
      <c r="A103" s="4" t="s">
        <v>386</v>
      </c>
      <c r="B103" s="2" t="str">
        <f>"05914002800"</f>
        <v>05914002800</v>
      </c>
      <c r="C103" s="2" t="s">
        <v>762</v>
      </c>
      <c r="D103" t="s">
        <v>29</v>
      </c>
      <c r="E103" s="2" t="s">
        <v>30</v>
      </c>
      <c r="F103" s="2">
        <v>37218</v>
      </c>
      <c r="G103" s="2" t="s">
        <v>64</v>
      </c>
      <c r="H103" t="s">
        <v>280</v>
      </c>
      <c r="I103" s="6">
        <v>40744</v>
      </c>
      <c r="J103" s="2" t="s">
        <v>763</v>
      </c>
      <c r="K103" s="2">
        <v>0</v>
      </c>
      <c r="L103" t="s">
        <v>35</v>
      </c>
      <c r="M103" t="s">
        <v>29</v>
      </c>
      <c r="N103" t="s">
        <v>30</v>
      </c>
      <c r="O103">
        <v>37219</v>
      </c>
      <c r="P103" t="s">
        <v>764</v>
      </c>
      <c r="Q103" s="2">
        <v>0.3</v>
      </c>
      <c r="R103" s="2">
        <v>75</v>
      </c>
      <c r="S103" s="2">
        <v>206</v>
      </c>
      <c r="T103" t="s">
        <v>765</v>
      </c>
      <c r="U103" s="6">
        <v>27045</v>
      </c>
      <c r="V103" s="2">
        <v>47037012801</v>
      </c>
      <c r="W103" s="2" t="s">
        <v>68</v>
      </c>
      <c r="X103" s="1">
        <v>45658</v>
      </c>
      <c r="Y103" s="2">
        <v>7000</v>
      </c>
      <c r="Z103" s="2">
        <v>0</v>
      </c>
      <c r="AA103" s="2">
        <v>7000</v>
      </c>
    </row>
    <row r="104" spans="1:27" x14ac:dyDescent="0.3">
      <c r="A104" s="4" t="s">
        <v>386</v>
      </c>
      <c r="B104" s="2" t="str">
        <f>"05914003500"</f>
        <v>05914003500</v>
      </c>
      <c r="C104" s="2" t="s">
        <v>766</v>
      </c>
      <c r="D104" t="s">
        <v>29</v>
      </c>
      <c r="E104" s="2" t="s">
        <v>30</v>
      </c>
      <c r="F104" s="2">
        <v>37218</v>
      </c>
      <c r="G104" s="2" t="s">
        <v>64</v>
      </c>
      <c r="H104" t="s">
        <v>280</v>
      </c>
      <c r="I104" s="6">
        <v>40603</v>
      </c>
      <c r="J104" s="2" t="s">
        <v>767</v>
      </c>
      <c r="K104" s="2">
        <v>0</v>
      </c>
      <c r="L104" t="s">
        <v>35</v>
      </c>
      <c r="M104" t="s">
        <v>29</v>
      </c>
      <c r="N104" t="s">
        <v>30</v>
      </c>
      <c r="O104">
        <v>37219</v>
      </c>
      <c r="P104" t="s">
        <v>768</v>
      </c>
      <c r="Q104" s="2">
        <v>0.43</v>
      </c>
      <c r="R104" s="2">
        <v>75</v>
      </c>
      <c r="S104" s="2">
        <v>244</v>
      </c>
      <c r="T104" t="s">
        <v>769</v>
      </c>
      <c r="U104" s="6">
        <v>25076</v>
      </c>
      <c r="V104" s="2">
        <v>47037012801</v>
      </c>
      <c r="W104" s="2" t="s">
        <v>68</v>
      </c>
      <c r="X104" s="1">
        <v>45658</v>
      </c>
      <c r="Y104" s="2">
        <v>7000</v>
      </c>
      <c r="Z104" s="2">
        <v>0</v>
      </c>
      <c r="AA104" s="2">
        <v>7000</v>
      </c>
    </row>
    <row r="105" spans="1:27" x14ac:dyDescent="0.3">
      <c r="A105" s="4" t="s">
        <v>386</v>
      </c>
      <c r="B105" s="2" t="str">
        <f>"05914003400"</f>
        <v>05914003400</v>
      </c>
      <c r="C105" s="2" t="s">
        <v>770</v>
      </c>
      <c r="D105" t="s">
        <v>29</v>
      </c>
      <c r="E105" s="2" t="s">
        <v>30</v>
      </c>
      <c r="F105" s="2">
        <v>37218</v>
      </c>
      <c r="G105" s="2" t="s">
        <v>64</v>
      </c>
      <c r="H105" t="s">
        <v>280</v>
      </c>
      <c r="I105" s="6">
        <v>40557</v>
      </c>
      <c r="J105" s="2" t="s">
        <v>771</v>
      </c>
      <c r="K105" s="2" t="s">
        <v>34</v>
      </c>
      <c r="L105" t="s">
        <v>35</v>
      </c>
      <c r="M105" t="s">
        <v>29</v>
      </c>
      <c r="N105" t="s">
        <v>30</v>
      </c>
      <c r="O105">
        <v>37219</v>
      </c>
      <c r="P105" t="s">
        <v>772</v>
      </c>
      <c r="Q105" s="2">
        <v>0.43</v>
      </c>
      <c r="R105" s="2">
        <v>75</v>
      </c>
      <c r="S105" s="2">
        <v>249</v>
      </c>
      <c r="T105" t="s">
        <v>773</v>
      </c>
      <c r="U105" s="6">
        <v>24743</v>
      </c>
      <c r="V105" s="2">
        <v>47037012801</v>
      </c>
      <c r="W105" s="2" t="s">
        <v>68</v>
      </c>
      <c r="X105" s="1">
        <v>45658</v>
      </c>
      <c r="Y105" s="2">
        <v>7000</v>
      </c>
      <c r="Z105" s="2">
        <v>0</v>
      </c>
      <c r="AA105" s="2">
        <v>7000</v>
      </c>
    </row>
    <row r="106" spans="1:27" x14ac:dyDescent="0.3">
      <c r="A106" s="4" t="s">
        <v>386</v>
      </c>
      <c r="B106" s="2" t="str">
        <f>"05913012801"</f>
        <v>05913012801</v>
      </c>
      <c r="C106" s="2" t="s">
        <v>774</v>
      </c>
      <c r="D106" t="s">
        <v>29</v>
      </c>
      <c r="E106" s="2" t="s">
        <v>30</v>
      </c>
      <c r="F106" s="2">
        <v>37218</v>
      </c>
      <c r="G106" s="2" t="s">
        <v>64</v>
      </c>
      <c r="H106" t="s">
        <v>280</v>
      </c>
      <c r="I106" s="6">
        <v>40682</v>
      </c>
      <c r="J106" s="2" t="s">
        <v>775</v>
      </c>
      <c r="K106" s="2">
        <v>0</v>
      </c>
      <c r="L106" t="s">
        <v>35</v>
      </c>
      <c r="M106" t="s">
        <v>29</v>
      </c>
      <c r="N106" t="s">
        <v>30</v>
      </c>
      <c r="O106">
        <v>37219</v>
      </c>
      <c r="P106" t="s">
        <v>776</v>
      </c>
      <c r="Q106" s="2">
        <v>0.27</v>
      </c>
      <c r="R106" s="2">
        <v>90</v>
      </c>
      <c r="S106" s="2">
        <v>167</v>
      </c>
      <c r="T106" t="s">
        <v>777</v>
      </c>
      <c r="U106" s="6">
        <v>25462</v>
      </c>
      <c r="V106" s="2">
        <v>47037012801</v>
      </c>
      <c r="W106" s="2" t="s">
        <v>68</v>
      </c>
      <c r="X106" s="1">
        <v>45658</v>
      </c>
      <c r="Y106" s="2">
        <v>7000</v>
      </c>
      <c r="Z106" s="2">
        <v>0</v>
      </c>
      <c r="AA106" s="2">
        <v>7000</v>
      </c>
    </row>
    <row r="107" spans="1:27" x14ac:dyDescent="0.3">
      <c r="A107" s="4" t="s">
        <v>386</v>
      </c>
      <c r="B107" s="2" t="str">
        <f>"05914003300"</f>
        <v>05914003300</v>
      </c>
      <c r="C107" s="2" t="s">
        <v>778</v>
      </c>
      <c r="D107" t="s">
        <v>29</v>
      </c>
      <c r="E107" s="2" t="s">
        <v>30</v>
      </c>
      <c r="F107" s="2">
        <v>37218</v>
      </c>
      <c r="G107" s="2" t="s">
        <v>64</v>
      </c>
      <c r="H107" t="s">
        <v>280</v>
      </c>
      <c r="I107" s="6">
        <v>40627</v>
      </c>
      <c r="J107" s="2" t="s">
        <v>779</v>
      </c>
      <c r="K107" s="2">
        <v>0</v>
      </c>
      <c r="L107" t="s">
        <v>35</v>
      </c>
      <c r="M107" t="s">
        <v>29</v>
      </c>
      <c r="N107" t="s">
        <v>30</v>
      </c>
      <c r="O107">
        <v>37219</v>
      </c>
      <c r="P107" t="s">
        <v>780</v>
      </c>
      <c r="Q107" s="2">
        <v>0.45</v>
      </c>
      <c r="R107" s="2">
        <v>75</v>
      </c>
      <c r="S107" s="2">
        <v>264</v>
      </c>
      <c r="T107" t="s">
        <v>781</v>
      </c>
      <c r="U107" s="6">
        <v>22383</v>
      </c>
      <c r="V107" s="2">
        <v>47037012801</v>
      </c>
      <c r="W107" s="2" t="s">
        <v>68</v>
      </c>
      <c r="X107" s="1">
        <v>45658</v>
      </c>
      <c r="Y107" s="2">
        <v>7000</v>
      </c>
      <c r="Z107" s="2">
        <v>0</v>
      </c>
      <c r="AA107" s="2">
        <v>7000</v>
      </c>
    </row>
    <row r="108" spans="1:27" x14ac:dyDescent="0.3">
      <c r="A108" s="4" t="s">
        <v>386</v>
      </c>
      <c r="B108" s="2" t="str">
        <f>"05913012800"</f>
        <v>05913012800</v>
      </c>
      <c r="C108" s="2" t="s">
        <v>782</v>
      </c>
      <c r="D108" t="s">
        <v>29</v>
      </c>
      <c r="E108" s="2" t="s">
        <v>30</v>
      </c>
      <c r="F108" s="2">
        <v>37218</v>
      </c>
      <c r="G108" s="2" t="s">
        <v>64</v>
      </c>
      <c r="H108" t="s">
        <v>280</v>
      </c>
      <c r="I108" s="6">
        <v>41047</v>
      </c>
      <c r="J108" s="2" t="s">
        <v>783</v>
      </c>
      <c r="K108" s="2">
        <v>0</v>
      </c>
      <c r="L108" t="s">
        <v>35</v>
      </c>
      <c r="M108" t="s">
        <v>29</v>
      </c>
      <c r="N108" t="s">
        <v>30</v>
      </c>
      <c r="O108">
        <v>37219</v>
      </c>
      <c r="P108" t="s">
        <v>784</v>
      </c>
      <c r="Q108" s="2">
        <v>0.59</v>
      </c>
      <c r="R108" s="2">
        <v>181</v>
      </c>
      <c r="S108" s="2">
        <v>141</v>
      </c>
      <c r="T108" t="s">
        <v>785</v>
      </c>
      <c r="U108" s="6">
        <v>26410</v>
      </c>
      <c r="V108" s="2">
        <v>47037012801</v>
      </c>
      <c r="W108" s="2" t="s">
        <v>68</v>
      </c>
      <c r="X108" s="1">
        <v>45658</v>
      </c>
      <c r="Y108" s="2">
        <v>7000</v>
      </c>
      <c r="Z108" s="2">
        <v>0</v>
      </c>
      <c r="AA108" s="2">
        <v>7000</v>
      </c>
    </row>
    <row r="109" spans="1:27" x14ac:dyDescent="0.3">
      <c r="A109" s="4" t="s">
        <v>386</v>
      </c>
      <c r="B109" s="2" t="str">
        <f>"05913011300"</f>
        <v>05913011300</v>
      </c>
      <c r="C109" s="2" t="s">
        <v>786</v>
      </c>
      <c r="D109" t="s">
        <v>29</v>
      </c>
      <c r="E109" s="2" t="s">
        <v>30</v>
      </c>
      <c r="F109" s="2">
        <v>37218</v>
      </c>
      <c r="G109" s="2" t="s">
        <v>64</v>
      </c>
      <c r="H109" t="s">
        <v>280</v>
      </c>
      <c r="I109" s="6">
        <v>40701</v>
      </c>
      <c r="J109" s="2" t="s">
        <v>787</v>
      </c>
      <c r="K109" s="2">
        <v>0</v>
      </c>
      <c r="L109" t="s">
        <v>35</v>
      </c>
      <c r="M109" t="s">
        <v>29</v>
      </c>
      <c r="N109" t="s">
        <v>30</v>
      </c>
      <c r="O109">
        <v>37219</v>
      </c>
      <c r="P109" t="s">
        <v>788</v>
      </c>
      <c r="Q109" s="2">
        <v>0.75</v>
      </c>
      <c r="R109" s="2">
        <v>118</v>
      </c>
      <c r="S109" s="2">
        <v>204</v>
      </c>
      <c r="T109" t="s">
        <v>789</v>
      </c>
      <c r="U109" s="6">
        <v>24986</v>
      </c>
      <c r="V109" s="2">
        <v>47037012801</v>
      </c>
      <c r="W109" s="2" t="s">
        <v>68</v>
      </c>
      <c r="X109" s="1">
        <v>45658</v>
      </c>
      <c r="Y109" s="2">
        <v>7000</v>
      </c>
      <c r="Z109" s="2">
        <v>0</v>
      </c>
      <c r="AA109" s="2">
        <v>7000</v>
      </c>
    </row>
    <row r="110" spans="1:27" x14ac:dyDescent="0.3">
      <c r="A110" s="4" t="s">
        <v>386</v>
      </c>
      <c r="B110" s="2" t="str">
        <f>"05913013400"</f>
        <v>05913013400</v>
      </c>
      <c r="C110" s="2" t="s">
        <v>790</v>
      </c>
      <c r="D110" t="s">
        <v>29</v>
      </c>
      <c r="E110" s="2" t="s">
        <v>30</v>
      </c>
      <c r="F110" s="2">
        <v>37218</v>
      </c>
      <c r="G110" s="2" t="s">
        <v>64</v>
      </c>
      <c r="H110" t="s">
        <v>280</v>
      </c>
      <c r="I110" s="6">
        <v>40592</v>
      </c>
      <c r="J110" s="2" t="s">
        <v>791</v>
      </c>
      <c r="K110" s="2">
        <v>0</v>
      </c>
      <c r="L110" t="s">
        <v>35</v>
      </c>
      <c r="M110" t="s">
        <v>29</v>
      </c>
      <c r="N110" t="s">
        <v>30</v>
      </c>
      <c r="O110">
        <v>37219</v>
      </c>
      <c r="P110" t="s">
        <v>792</v>
      </c>
      <c r="Q110" s="2">
        <v>0.89</v>
      </c>
      <c r="R110" s="2">
        <v>110</v>
      </c>
      <c r="S110" s="2">
        <v>319</v>
      </c>
      <c r="T110" t="s">
        <v>793</v>
      </c>
      <c r="U110" s="6">
        <v>24883</v>
      </c>
      <c r="V110" s="2">
        <v>47037012801</v>
      </c>
      <c r="W110" s="2" t="s">
        <v>68</v>
      </c>
      <c r="X110" s="1">
        <v>45658</v>
      </c>
      <c r="Y110" s="2">
        <v>7000</v>
      </c>
      <c r="Z110" s="2">
        <v>0</v>
      </c>
      <c r="AA110" s="2">
        <v>7000</v>
      </c>
    </row>
    <row r="111" spans="1:27" x14ac:dyDescent="0.3">
      <c r="A111" s="4" t="s">
        <v>386</v>
      </c>
      <c r="B111" s="2" t="str">
        <f>"07001006000"</f>
        <v>07001006000</v>
      </c>
      <c r="C111" s="2" t="s">
        <v>794</v>
      </c>
      <c r="D111" t="s">
        <v>29</v>
      </c>
      <c r="E111" s="2" t="s">
        <v>30</v>
      </c>
      <c r="F111" s="2">
        <v>37218</v>
      </c>
      <c r="G111" s="2" t="s">
        <v>64</v>
      </c>
      <c r="H111" t="s">
        <v>280</v>
      </c>
      <c r="I111" s="6">
        <v>40534</v>
      </c>
      <c r="J111" s="2" t="s">
        <v>795</v>
      </c>
      <c r="K111" s="2">
        <v>0</v>
      </c>
      <c r="L111" t="s">
        <v>35</v>
      </c>
      <c r="M111" t="s">
        <v>29</v>
      </c>
      <c r="N111" t="s">
        <v>30</v>
      </c>
      <c r="O111">
        <v>37219</v>
      </c>
      <c r="P111" t="s">
        <v>796</v>
      </c>
      <c r="Q111" s="2">
        <v>1</v>
      </c>
      <c r="R111" s="2">
        <v>80</v>
      </c>
      <c r="S111" s="2">
        <v>318</v>
      </c>
      <c r="T111" t="s">
        <v>797</v>
      </c>
      <c r="U111" s="6">
        <v>26301</v>
      </c>
      <c r="V111" s="2">
        <v>47037012801</v>
      </c>
      <c r="W111" s="2" t="s">
        <v>68</v>
      </c>
      <c r="X111" s="1">
        <v>45658</v>
      </c>
      <c r="Y111" s="2">
        <v>7000</v>
      </c>
      <c r="Z111" s="2">
        <v>0</v>
      </c>
      <c r="AA111" s="2">
        <v>7000</v>
      </c>
    </row>
    <row r="112" spans="1:27" x14ac:dyDescent="0.3">
      <c r="A112" s="4" t="s">
        <v>386</v>
      </c>
      <c r="B112" s="2" t="str">
        <f>"05914002900"</f>
        <v>05914002900</v>
      </c>
      <c r="C112" s="2" t="s">
        <v>798</v>
      </c>
      <c r="D112" t="s">
        <v>29</v>
      </c>
      <c r="E112" s="2" t="s">
        <v>30</v>
      </c>
      <c r="F112" s="2">
        <v>37218</v>
      </c>
      <c r="G112" s="2" t="s">
        <v>64</v>
      </c>
      <c r="H112" t="s">
        <v>280</v>
      </c>
      <c r="I112" s="6">
        <v>40610</v>
      </c>
      <c r="J112" s="2" t="s">
        <v>799</v>
      </c>
      <c r="K112" s="2">
        <v>0</v>
      </c>
      <c r="L112" t="s">
        <v>35</v>
      </c>
      <c r="M112" t="s">
        <v>29</v>
      </c>
      <c r="N112" t="s">
        <v>30</v>
      </c>
      <c r="O112">
        <v>37219</v>
      </c>
      <c r="P112" t="s">
        <v>800</v>
      </c>
      <c r="Q112" s="2">
        <v>0.51</v>
      </c>
      <c r="R112" s="2">
        <v>75</v>
      </c>
      <c r="S112" s="2">
        <v>303</v>
      </c>
      <c r="T112" t="s">
        <v>801</v>
      </c>
      <c r="U112" s="6">
        <v>27225</v>
      </c>
      <c r="V112" s="2">
        <v>47037012801</v>
      </c>
      <c r="W112" s="2" t="s">
        <v>68</v>
      </c>
      <c r="X112" s="1">
        <v>45658</v>
      </c>
      <c r="Y112" s="2">
        <v>7000</v>
      </c>
      <c r="Z112" s="2">
        <v>0</v>
      </c>
      <c r="AA112" s="2">
        <v>7000</v>
      </c>
    </row>
    <row r="113" spans="1:27" x14ac:dyDescent="0.3">
      <c r="A113" s="4" t="s">
        <v>386</v>
      </c>
      <c r="B113" s="2" t="str">
        <f>"05913012900"</f>
        <v>05913012900</v>
      </c>
      <c r="C113" s="2" t="s">
        <v>802</v>
      </c>
      <c r="D113" t="s">
        <v>29</v>
      </c>
      <c r="E113" s="2" t="s">
        <v>30</v>
      </c>
      <c r="F113" s="2">
        <v>37218</v>
      </c>
      <c r="G113" s="2" t="s">
        <v>64</v>
      </c>
      <c r="H113" t="s">
        <v>280</v>
      </c>
      <c r="I113" s="6">
        <v>40620</v>
      </c>
      <c r="J113" s="2" t="s">
        <v>803</v>
      </c>
      <c r="K113" s="2">
        <v>0</v>
      </c>
      <c r="L113" t="s">
        <v>35</v>
      </c>
      <c r="M113" t="s">
        <v>29</v>
      </c>
      <c r="N113" t="s">
        <v>30</v>
      </c>
      <c r="O113">
        <v>37219</v>
      </c>
      <c r="P113" t="s">
        <v>804</v>
      </c>
      <c r="Q113" s="2">
        <v>0.44</v>
      </c>
      <c r="R113" s="2">
        <v>75</v>
      </c>
      <c r="S113" s="2">
        <v>317</v>
      </c>
      <c r="T113" t="s">
        <v>805</v>
      </c>
      <c r="U113" s="6">
        <v>25074</v>
      </c>
      <c r="V113" s="2">
        <v>47037012801</v>
      </c>
      <c r="W113" s="2" t="s">
        <v>68</v>
      </c>
      <c r="X113" s="1">
        <v>45658</v>
      </c>
      <c r="Y113" s="2">
        <v>7000</v>
      </c>
      <c r="Z113" s="2">
        <v>0</v>
      </c>
      <c r="AA113" s="2">
        <v>7000</v>
      </c>
    </row>
    <row r="114" spans="1:27" x14ac:dyDescent="0.3">
      <c r="A114" s="4" t="s">
        <v>386</v>
      </c>
      <c r="B114" s="2" t="str">
        <f>"05913013000"</f>
        <v>05913013000</v>
      </c>
      <c r="C114" s="2" t="s">
        <v>806</v>
      </c>
      <c r="D114" t="s">
        <v>29</v>
      </c>
      <c r="E114" s="2" t="s">
        <v>30</v>
      </c>
      <c r="F114" s="2">
        <v>37218</v>
      </c>
      <c r="G114" s="2" t="s">
        <v>64</v>
      </c>
      <c r="H114" t="s">
        <v>280</v>
      </c>
      <c r="I114" s="6">
        <v>40591</v>
      </c>
      <c r="J114" s="2" t="s">
        <v>807</v>
      </c>
      <c r="K114" s="2">
        <v>0</v>
      </c>
      <c r="L114" t="s">
        <v>35</v>
      </c>
      <c r="M114" t="s">
        <v>29</v>
      </c>
      <c r="N114" t="s">
        <v>30</v>
      </c>
      <c r="O114">
        <v>37219</v>
      </c>
      <c r="P114" t="s">
        <v>808</v>
      </c>
      <c r="Q114" s="2">
        <v>0.56999999999999995</v>
      </c>
      <c r="R114" s="2">
        <v>75</v>
      </c>
      <c r="S114" s="2">
        <v>321</v>
      </c>
      <c r="T114" t="s">
        <v>809</v>
      </c>
      <c r="U114" s="6">
        <v>27347</v>
      </c>
      <c r="V114" s="2">
        <v>47037012801</v>
      </c>
      <c r="W114" s="2" t="s">
        <v>68</v>
      </c>
      <c r="X114" s="1">
        <v>45658</v>
      </c>
      <c r="Y114" s="2">
        <v>7000</v>
      </c>
      <c r="Z114" s="2">
        <v>0</v>
      </c>
      <c r="AA114" s="2">
        <v>7000</v>
      </c>
    </row>
    <row r="115" spans="1:27" x14ac:dyDescent="0.3">
      <c r="A115" s="4" t="s">
        <v>386</v>
      </c>
      <c r="B115" s="2" t="str">
        <f>"05913013100"</f>
        <v>05913013100</v>
      </c>
      <c r="C115" s="2" t="s">
        <v>810</v>
      </c>
      <c r="D115" t="s">
        <v>29</v>
      </c>
      <c r="E115" s="2" t="s">
        <v>30</v>
      </c>
      <c r="F115" s="2">
        <v>37218</v>
      </c>
      <c r="G115" s="2" t="s">
        <v>64</v>
      </c>
      <c r="H115" t="s">
        <v>280</v>
      </c>
      <c r="I115" s="6">
        <v>40730</v>
      </c>
      <c r="J115" s="2" t="s">
        <v>811</v>
      </c>
      <c r="K115" s="2">
        <v>0</v>
      </c>
      <c r="L115" t="s">
        <v>35</v>
      </c>
      <c r="M115" t="s">
        <v>29</v>
      </c>
      <c r="N115" t="s">
        <v>30</v>
      </c>
      <c r="O115">
        <v>37219</v>
      </c>
      <c r="P115" t="s">
        <v>812</v>
      </c>
      <c r="Q115" s="2">
        <v>0.5</v>
      </c>
      <c r="R115" s="2">
        <v>75</v>
      </c>
      <c r="S115" s="2">
        <v>321</v>
      </c>
      <c r="T115" t="s">
        <v>813</v>
      </c>
      <c r="U115" s="6">
        <v>25610</v>
      </c>
      <c r="V115" s="2">
        <v>47037012801</v>
      </c>
      <c r="W115" s="2" t="s">
        <v>68</v>
      </c>
      <c r="X115" s="1">
        <v>45658</v>
      </c>
      <c r="Y115" s="2">
        <v>7000</v>
      </c>
      <c r="Z115" s="2">
        <v>0</v>
      </c>
      <c r="AA115" s="2">
        <v>7000</v>
      </c>
    </row>
    <row r="116" spans="1:27" x14ac:dyDescent="0.3">
      <c r="A116" s="4" t="s">
        <v>386</v>
      </c>
      <c r="B116" s="2" t="str">
        <f>"05914003000"</f>
        <v>05914003000</v>
      </c>
      <c r="C116" s="2" t="s">
        <v>814</v>
      </c>
      <c r="D116" t="s">
        <v>29</v>
      </c>
      <c r="E116" s="2" t="s">
        <v>30</v>
      </c>
      <c r="F116" s="2">
        <v>37218</v>
      </c>
      <c r="G116" s="2" t="s">
        <v>64</v>
      </c>
      <c r="H116" t="s">
        <v>280</v>
      </c>
      <c r="I116" s="6">
        <v>40632</v>
      </c>
      <c r="J116" s="2" t="s">
        <v>815</v>
      </c>
      <c r="K116" s="2">
        <v>0</v>
      </c>
      <c r="L116" t="s">
        <v>35</v>
      </c>
      <c r="M116" t="s">
        <v>29</v>
      </c>
      <c r="N116" t="s">
        <v>30</v>
      </c>
      <c r="O116">
        <v>37219</v>
      </c>
      <c r="P116" t="s">
        <v>816</v>
      </c>
      <c r="Q116" s="2">
        <v>0.48</v>
      </c>
      <c r="R116" s="2">
        <v>75</v>
      </c>
      <c r="S116" s="2">
        <v>292</v>
      </c>
      <c r="T116" t="s">
        <v>817</v>
      </c>
      <c r="U116" s="6">
        <v>25043</v>
      </c>
      <c r="V116" s="2">
        <v>47037012801</v>
      </c>
      <c r="W116" s="2" t="s">
        <v>68</v>
      </c>
      <c r="X116" s="1">
        <v>45658</v>
      </c>
      <c r="Y116" s="2">
        <v>7000</v>
      </c>
      <c r="Z116" s="2">
        <v>0</v>
      </c>
      <c r="AA116" s="2">
        <v>7000</v>
      </c>
    </row>
    <row r="117" spans="1:27" x14ac:dyDescent="0.3">
      <c r="A117" s="4" t="s">
        <v>386</v>
      </c>
      <c r="B117" s="2" t="str">
        <f>"05913013200"</f>
        <v>05913013200</v>
      </c>
      <c r="C117" s="2" t="s">
        <v>818</v>
      </c>
      <c r="D117" t="s">
        <v>29</v>
      </c>
      <c r="E117" s="2" t="s">
        <v>30</v>
      </c>
      <c r="F117" s="2">
        <v>37218</v>
      </c>
      <c r="G117" s="2" t="s">
        <v>64</v>
      </c>
      <c r="H117" t="s">
        <v>280</v>
      </c>
      <c r="I117" s="6">
        <v>40591</v>
      </c>
      <c r="J117" s="2" t="s">
        <v>819</v>
      </c>
      <c r="K117" s="2">
        <v>0</v>
      </c>
      <c r="L117" t="s">
        <v>35</v>
      </c>
      <c r="M117" t="s">
        <v>29</v>
      </c>
      <c r="N117" t="s">
        <v>30</v>
      </c>
      <c r="O117">
        <v>37219</v>
      </c>
      <c r="P117" t="s">
        <v>820</v>
      </c>
      <c r="Q117" s="2">
        <v>0.56999999999999995</v>
      </c>
      <c r="R117" s="2">
        <v>80</v>
      </c>
      <c r="S117" s="2">
        <v>320</v>
      </c>
      <c r="T117" t="s">
        <v>821</v>
      </c>
      <c r="U117" s="6">
        <v>26123</v>
      </c>
      <c r="V117" s="2">
        <v>47037012801</v>
      </c>
      <c r="W117" s="2" t="s">
        <v>68</v>
      </c>
      <c r="X117" s="1">
        <v>45658</v>
      </c>
      <c r="Y117" s="2">
        <v>7000</v>
      </c>
      <c r="Z117" s="2">
        <v>0</v>
      </c>
      <c r="AA117" s="2">
        <v>7000</v>
      </c>
    </row>
    <row r="118" spans="1:27" x14ac:dyDescent="0.3">
      <c r="A118" s="4" t="s">
        <v>386</v>
      </c>
      <c r="B118" s="2" t="str">
        <f>"08102007700"</f>
        <v>08102007700</v>
      </c>
      <c r="C118" s="2" t="s">
        <v>822</v>
      </c>
      <c r="D118" t="s">
        <v>29</v>
      </c>
      <c r="E118" s="2" t="s">
        <v>30</v>
      </c>
      <c r="F118" s="2">
        <v>37208</v>
      </c>
      <c r="G118" s="2" t="s">
        <v>64</v>
      </c>
      <c r="H118" t="s">
        <v>280</v>
      </c>
      <c r="I118" s="6">
        <v>38987</v>
      </c>
      <c r="J118" s="2" t="s">
        <v>823</v>
      </c>
      <c r="K118" s="2">
        <v>100000</v>
      </c>
      <c r="L118" t="s">
        <v>35</v>
      </c>
      <c r="M118" t="s">
        <v>29</v>
      </c>
      <c r="N118" t="s">
        <v>30</v>
      </c>
      <c r="O118">
        <v>37219</v>
      </c>
      <c r="P118" t="s">
        <v>824</v>
      </c>
      <c r="Q118" s="2">
        <v>0.28000000000000003</v>
      </c>
      <c r="R118" s="2">
        <v>100</v>
      </c>
      <c r="S118" s="2">
        <v>118</v>
      </c>
      <c r="T118" t="s">
        <v>825</v>
      </c>
      <c r="U118" s="6">
        <v>19393</v>
      </c>
      <c r="V118" s="2">
        <v>47037013700</v>
      </c>
      <c r="W118" s="2" t="s">
        <v>68</v>
      </c>
      <c r="X118" s="1">
        <v>45658</v>
      </c>
      <c r="Y118" s="2">
        <v>190000</v>
      </c>
      <c r="Z118" s="2">
        <v>0</v>
      </c>
      <c r="AA118" s="2">
        <v>190000</v>
      </c>
    </row>
    <row r="119" spans="1:27" x14ac:dyDescent="0.3">
      <c r="A119" s="4" t="s">
        <v>386</v>
      </c>
      <c r="B119" s="2" t="str">
        <f>"08102007800"</f>
        <v>08102007800</v>
      </c>
      <c r="C119" s="2" t="s">
        <v>826</v>
      </c>
      <c r="D119" t="s">
        <v>29</v>
      </c>
      <c r="E119" s="2" t="s">
        <v>30</v>
      </c>
      <c r="F119" s="2">
        <v>37208</v>
      </c>
      <c r="G119" s="2" t="s">
        <v>64</v>
      </c>
      <c r="H119" t="s">
        <v>280</v>
      </c>
      <c r="I119" s="6">
        <v>38987</v>
      </c>
      <c r="J119" s="2" t="s">
        <v>823</v>
      </c>
      <c r="K119" s="2">
        <v>100000</v>
      </c>
      <c r="L119" t="s">
        <v>35</v>
      </c>
      <c r="M119" t="s">
        <v>29</v>
      </c>
      <c r="N119" t="s">
        <v>30</v>
      </c>
      <c r="O119">
        <v>37219</v>
      </c>
      <c r="P119" t="s">
        <v>827</v>
      </c>
      <c r="Q119" s="2">
        <v>0.28000000000000003</v>
      </c>
      <c r="R119" s="2">
        <v>100</v>
      </c>
      <c r="S119" s="2">
        <v>124</v>
      </c>
      <c r="T119" t="s">
        <v>825</v>
      </c>
      <c r="U119" s="6">
        <v>19393</v>
      </c>
      <c r="V119" s="2">
        <v>47037013700</v>
      </c>
      <c r="W119" s="2" t="s">
        <v>68</v>
      </c>
      <c r="X119" s="1">
        <v>45658</v>
      </c>
      <c r="Y119" s="2">
        <v>190000</v>
      </c>
      <c r="Z119" s="2">
        <v>0</v>
      </c>
      <c r="AA119" s="2">
        <v>190000</v>
      </c>
    </row>
    <row r="120" spans="1:27" x14ac:dyDescent="0.3">
      <c r="A120" s="4" t="s">
        <v>386</v>
      </c>
      <c r="B120" s="2" t="str">
        <f>"06000008500"</f>
        <v>06000008500</v>
      </c>
      <c r="C120" s="2" t="s">
        <v>828</v>
      </c>
      <c r="D120" t="s">
        <v>29</v>
      </c>
      <c r="E120" s="2" t="s">
        <v>30</v>
      </c>
      <c r="F120" s="2">
        <v>37207</v>
      </c>
      <c r="G120" s="2" t="s">
        <v>152</v>
      </c>
      <c r="H120" t="s">
        <v>280</v>
      </c>
      <c r="I120" s="6">
        <v>32311</v>
      </c>
      <c r="J120" s="2" t="s">
        <v>829</v>
      </c>
      <c r="K120" s="2" t="s">
        <v>34</v>
      </c>
      <c r="L120" t="s">
        <v>35</v>
      </c>
      <c r="M120" t="s">
        <v>29</v>
      </c>
      <c r="N120" t="s">
        <v>30</v>
      </c>
      <c r="O120">
        <v>37219</v>
      </c>
      <c r="P120" t="s">
        <v>830</v>
      </c>
      <c r="Q120" s="2">
        <v>0.23</v>
      </c>
      <c r="R120" s="2">
        <v>0</v>
      </c>
      <c r="S120" s="2">
        <v>100</v>
      </c>
      <c r="T120" t="s">
        <v>829</v>
      </c>
      <c r="U120" s="6">
        <v>32311</v>
      </c>
      <c r="V120" s="2">
        <v>47037012701</v>
      </c>
      <c r="W120" s="2" t="s">
        <v>68</v>
      </c>
      <c r="X120" s="1">
        <v>45658</v>
      </c>
      <c r="Y120" s="2">
        <v>18700</v>
      </c>
      <c r="Z120" s="2">
        <v>0</v>
      </c>
      <c r="AA120" s="2">
        <v>18700</v>
      </c>
    </row>
    <row r="121" spans="1:27" x14ac:dyDescent="0.3">
      <c r="A121" s="4" t="s">
        <v>386</v>
      </c>
      <c r="B121" s="2" t="str">
        <f>"07010000700"</f>
        <v>07010000700</v>
      </c>
      <c r="C121" s="2" t="s">
        <v>831</v>
      </c>
      <c r="D121" t="s">
        <v>29</v>
      </c>
      <c r="E121" s="2" t="s">
        <v>30</v>
      </c>
      <c r="F121" s="2">
        <v>37218</v>
      </c>
      <c r="G121" s="2" t="s">
        <v>64</v>
      </c>
      <c r="H121" t="s">
        <v>280</v>
      </c>
      <c r="I121" s="6">
        <v>25320</v>
      </c>
      <c r="J121" s="2" t="s">
        <v>832</v>
      </c>
      <c r="K121" s="2" t="s">
        <v>34</v>
      </c>
      <c r="L121" t="s">
        <v>35</v>
      </c>
      <c r="M121" t="s">
        <v>29</v>
      </c>
      <c r="N121" t="s">
        <v>30</v>
      </c>
      <c r="O121">
        <v>37219</v>
      </c>
      <c r="P121" t="s">
        <v>833</v>
      </c>
      <c r="Q121" s="2">
        <v>0.19</v>
      </c>
      <c r="R121" s="2">
        <v>20</v>
      </c>
      <c r="S121" s="2">
        <v>361</v>
      </c>
      <c r="T121" t="s">
        <v>832</v>
      </c>
      <c r="U121" s="6">
        <v>25320</v>
      </c>
      <c r="V121" s="2">
        <v>47037012801</v>
      </c>
      <c r="W121" s="2" t="s">
        <v>68</v>
      </c>
      <c r="X121" s="1">
        <v>45658</v>
      </c>
      <c r="Y121" s="2">
        <v>144000</v>
      </c>
      <c r="Z121" s="2">
        <v>0</v>
      </c>
      <c r="AA121" s="2">
        <v>144000</v>
      </c>
    </row>
    <row r="122" spans="1:27" x14ac:dyDescent="0.3">
      <c r="A122" s="4" t="s">
        <v>386</v>
      </c>
      <c r="B122" s="2" t="str">
        <f>"07008024900"</f>
        <v>07008024900</v>
      </c>
      <c r="C122" s="2" t="s">
        <v>834</v>
      </c>
      <c r="D122" t="s">
        <v>29</v>
      </c>
      <c r="E122" s="2" t="s">
        <v>30</v>
      </c>
      <c r="F122" s="2">
        <v>37207</v>
      </c>
      <c r="G122" s="2" t="s">
        <v>64</v>
      </c>
      <c r="H122" t="s">
        <v>280</v>
      </c>
      <c r="I122" s="6">
        <v>31020</v>
      </c>
      <c r="J122" s="2" t="s">
        <v>835</v>
      </c>
      <c r="K122" s="2">
        <v>4000</v>
      </c>
      <c r="L122" t="s">
        <v>343</v>
      </c>
      <c r="M122" t="s">
        <v>29</v>
      </c>
      <c r="N122" t="s">
        <v>30</v>
      </c>
      <c r="O122">
        <v>37201</v>
      </c>
      <c r="P122" t="s">
        <v>836</v>
      </c>
      <c r="Q122" s="2">
        <v>0.14000000000000001</v>
      </c>
      <c r="R122" s="2">
        <v>60</v>
      </c>
      <c r="S122" s="2">
        <v>100</v>
      </c>
      <c r="T122" t="s">
        <v>835</v>
      </c>
      <c r="U122" s="6">
        <v>31020</v>
      </c>
      <c r="V122" s="2">
        <v>47037012702</v>
      </c>
      <c r="W122" s="2" t="s">
        <v>837</v>
      </c>
      <c r="X122" s="1">
        <v>45658</v>
      </c>
      <c r="Y122" s="2">
        <v>128000</v>
      </c>
      <c r="Z122" s="2">
        <v>0</v>
      </c>
      <c r="AA122" s="2">
        <v>128000</v>
      </c>
    </row>
    <row r="123" spans="1:27" x14ac:dyDescent="0.3">
      <c r="A123" s="4" t="s">
        <v>386</v>
      </c>
      <c r="B123" s="2" t="str">
        <f>"06014001601"</f>
        <v>06014001601</v>
      </c>
      <c r="C123" s="2" t="s">
        <v>838</v>
      </c>
      <c r="D123" t="s">
        <v>29</v>
      </c>
      <c r="E123" s="2" t="s">
        <v>30</v>
      </c>
      <c r="F123" s="2">
        <v>37207</v>
      </c>
      <c r="G123" s="2" t="s">
        <v>64</v>
      </c>
      <c r="H123" t="s">
        <v>280</v>
      </c>
      <c r="I123" s="6">
        <v>41535</v>
      </c>
      <c r="J123" s="2" t="s">
        <v>839</v>
      </c>
      <c r="K123" s="2">
        <v>0</v>
      </c>
      <c r="L123" t="s">
        <v>35</v>
      </c>
      <c r="M123" t="s">
        <v>29</v>
      </c>
      <c r="N123" t="s">
        <v>30</v>
      </c>
      <c r="O123">
        <v>37219</v>
      </c>
      <c r="P123" t="s">
        <v>840</v>
      </c>
      <c r="Q123" s="2">
        <v>0.48</v>
      </c>
      <c r="R123" s="2">
        <v>100</v>
      </c>
      <c r="S123" s="2">
        <v>222</v>
      </c>
      <c r="T123" t="s">
        <v>841</v>
      </c>
      <c r="U123" s="6">
        <v>35675</v>
      </c>
      <c r="V123" s="2">
        <v>47037012701</v>
      </c>
      <c r="W123" s="2" t="s">
        <v>68</v>
      </c>
      <c r="X123" s="1">
        <v>45658</v>
      </c>
      <c r="Y123" s="2">
        <v>184800</v>
      </c>
      <c r="Z123" s="2">
        <v>0</v>
      </c>
      <c r="AA123" s="2">
        <v>184800</v>
      </c>
    </row>
    <row r="124" spans="1:27" x14ac:dyDescent="0.3">
      <c r="A124" s="4" t="s">
        <v>386</v>
      </c>
      <c r="B124" s="2" t="str">
        <f>"07000003900"</f>
        <v>07000003900</v>
      </c>
      <c r="C124" s="2" t="s">
        <v>842</v>
      </c>
      <c r="D124" t="s">
        <v>29</v>
      </c>
      <c r="E124" s="2" t="s">
        <v>30</v>
      </c>
      <c r="F124" s="2">
        <v>37218</v>
      </c>
      <c r="G124" s="2" t="s">
        <v>152</v>
      </c>
      <c r="H124" t="s">
        <v>280</v>
      </c>
      <c r="I124" s="6">
        <v>15465</v>
      </c>
      <c r="J124" s="2" t="s">
        <v>599</v>
      </c>
      <c r="K124" s="2">
        <v>0</v>
      </c>
      <c r="L124" t="s">
        <v>35</v>
      </c>
      <c r="M124" t="s">
        <v>29</v>
      </c>
      <c r="N124" t="s">
        <v>30</v>
      </c>
      <c r="O124">
        <v>37219</v>
      </c>
      <c r="P124" t="s">
        <v>843</v>
      </c>
      <c r="Q124" s="2">
        <v>2.5499999999999998</v>
      </c>
      <c r="R124" s="2">
        <v>0</v>
      </c>
      <c r="S124" s="2">
        <v>0</v>
      </c>
      <c r="T124" t="s">
        <v>601</v>
      </c>
      <c r="U124" s="6">
        <v>29812</v>
      </c>
      <c r="V124" s="2">
        <v>47037012801</v>
      </c>
      <c r="W124" s="2" t="s">
        <v>68</v>
      </c>
      <c r="X124" s="1">
        <v>45658</v>
      </c>
      <c r="Y124" s="2">
        <v>232100</v>
      </c>
      <c r="Z124" s="2">
        <v>0</v>
      </c>
      <c r="AA124" s="2">
        <v>232100</v>
      </c>
    </row>
    <row r="125" spans="1:27" x14ac:dyDescent="0.3">
      <c r="A125" s="4" t="s">
        <v>386</v>
      </c>
      <c r="B125" s="2" t="str">
        <f>"05914014800"</f>
        <v>05914014800</v>
      </c>
      <c r="C125" s="2" t="s">
        <v>844</v>
      </c>
      <c r="D125" t="s">
        <v>29</v>
      </c>
      <c r="E125" s="2" t="s">
        <v>30</v>
      </c>
      <c r="F125" s="2">
        <v>37207</v>
      </c>
      <c r="G125" s="2" t="s">
        <v>64</v>
      </c>
      <c r="H125" t="s">
        <v>379</v>
      </c>
      <c r="I125" s="6">
        <v>44127</v>
      </c>
      <c r="J125" s="2" t="s">
        <v>845</v>
      </c>
      <c r="K125" s="2" t="s">
        <v>34</v>
      </c>
      <c r="L125" t="s">
        <v>315</v>
      </c>
      <c r="M125" t="s">
        <v>29</v>
      </c>
      <c r="N125" t="s">
        <v>30</v>
      </c>
      <c r="O125">
        <v>37208</v>
      </c>
      <c r="P125" t="s">
        <v>846</v>
      </c>
      <c r="Q125" s="2">
        <v>0.3</v>
      </c>
      <c r="R125" s="2">
        <v>78</v>
      </c>
      <c r="S125" s="2">
        <v>133</v>
      </c>
      <c r="T125" t="s">
        <v>847</v>
      </c>
      <c r="U125" s="6">
        <v>24055</v>
      </c>
      <c r="V125" s="2">
        <v>47037012702</v>
      </c>
      <c r="W125" s="2" t="s">
        <v>68</v>
      </c>
      <c r="X125" s="1">
        <v>45658</v>
      </c>
      <c r="Y125" s="2">
        <v>83600</v>
      </c>
      <c r="Z125" s="2">
        <v>0</v>
      </c>
      <c r="AA125" s="2">
        <v>83600</v>
      </c>
    </row>
    <row r="126" spans="1:27" x14ac:dyDescent="0.3">
      <c r="A126" s="4" t="s">
        <v>386</v>
      </c>
      <c r="B126" s="2" t="str">
        <f>"05914003700"</f>
        <v>05914003700</v>
      </c>
      <c r="C126" s="2" t="s">
        <v>848</v>
      </c>
      <c r="D126" t="s">
        <v>29</v>
      </c>
      <c r="E126" s="2" t="s">
        <v>30</v>
      </c>
      <c r="F126" s="2">
        <v>37218</v>
      </c>
      <c r="G126" s="2" t="s">
        <v>64</v>
      </c>
      <c r="H126" t="s">
        <v>379</v>
      </c>
      <c r="I126" s="6">
        <v>45098</v>
      </c>
      <c r="J126" s="2" t="s">
        <v>849</v>
      </c>
      <c r="K126" s="2">
        <v>0</v>
      </c>
      <c r="L126" t="s">
        <v>85</v>
      </c>
      <c r="M126" t="s">
        <v>29</v>
      </c>
      <c r="N126" t="s">
        <v>30</v>
      </c>
      <c r="O126">
        <v>37219</v>
      </c>
      <c r="P126" t="s">
        <v>850</v>
      </c>
      <c r="Q126" s="2">
        <v>0.39</v>
      </c>
      <c r="R126" s="2">
        <v>75</v>
      </c>
      <c r="S126" s="2">
        <v>225</v>
      </c>
      <c r="T126" t="s">
        <v>851</v>
      </c>
      <c r="U126" s="6">
        <v>27338</v>
      </c>
      <c r="V126" s="2">
        <v>47037012801</v>
      </c>
      <c r="W126" s="2" t="s">
        <v>68</v>
      </c>
      <c r="X126" s="1">
        <v>45658</v>
      </c>
      <c r="Y126" s="2">
        <v>83200</v>
      </c>
      <c r="Z126" s="2">
        <v>0</v>
      </c>
      <c r="AA126" s="2">
        <v>83200</v>
      </c>
    </row>
    <row r="127" spans="1:27" x14ac:dyDescent="0.3">
      <c r="A127" s="4" t="s">
        <v>386</v>
      </c>
      <c r="B127" s="2" t="str">
        <f>"05914003200"</f>
        <v>05914003200</v>
      </c>
      <c r="C127" s="2" t="s">
        <v>852</v>
      </c>
      <c r="D127" t="s">
        <v>29</v>
      </c>
      <c r="E127" s="2" t="s">
        <v>30</v>
      </c>
      <c r="F127" s="2">
        <v>37218</v>
      </c>
      <c r="G127" s="2" t="s">
        <v>64</v>
      </c>
      <c r="H127" t="s">
        <v>379</v>
      </c>
      <c r="I127" s="6">
        <v>45098</v>
      </c>
      <c r="J127" s="2" t="s">
        <v>853</v>
      </c>
      <c r="K127" s="2">
        <v>0</v>
      </c>
      <c r="L127" t="s">
        <v>85</v>
      </c>
      <c r="M127" t="s">
        <v>29</v>
      </c>
      <c r="N127" t="s">
        <v>30</v>
      </c>
      <c r="O127">
        <v>37219</v>
      </c>
      <c r="P127" t="s">
        <v>854</v>
      </c>
      <c r="Q127" s="2">
        <v>0.45</v>
      </c>
      <c r="R127" s="2">
        <v>75</v>
      </c>
      <c r="S127" s="2">
        <v>276</v>
      </c>
      <c r="T127" t="s">
        <v>855</v>
      </c>
      <c r="U127" s="6">
        <v>25183</v>
      </c>
      <c r="V127" s="2">
        <v>47037012801</v>
      </c>
      <c r="W127" s="2" t="s">
        <v>68</v>
      </c>
      <c r="X127" s="1">
        <v>45658</v>
      </c>
      <c r="Y127" s="2">
        <v>86000</v>
      </c>
      <c r="Z127" s="2">
        <v>0</v>
      </c>
      <c r="AA127" s="2">
        <v>86000</v>
      </c>
    </row>
    <row r="128" spans="1:27" x14ac:dyDescent="0.3">
      <c r="A128" s="4" t="s">
        <v>386</v>
      </c>
      <c r="B128" s="2" t="str">
        <f>"05914003100"</f>
        <v>05914003100</v>
      </c>
      <c r="C128" s="2" t="s">
        <v>856</v>
      </c>
      <c r="D128" t="s">
        <v>29</v>
      </c>
      <c r="E128" s="2" t="s">
        <v>30</v>
      </c>
      <c r="F128" s="2">
        <v>37218</v>
      </c>
      <c r="G128" s="2" t="s">
        <v>64</v>
      </c>
      <c r="H128" t="s">
        <v>379</v>
      </c>
      <c r="I128" s="6">
        <v>45098</v>
      </c>
      <c r="J128" s="2" t="s">
        <v>857</v>
      </c>
      <c r="K128" s="2">
        <v>0</v>
      </c>
      <c r="L128" t="s">
        <v>85</v>
      </c>
      <c r="M128" t="s">
        <v>29</v>
      </c>
      <c r="N128" t="s">
        <v>30</v>
      </c>
      <c r="O128">
        <v>37219</v>
      </c>
      <c r="P128" t="s">
        <v>858</v>
      </c>
      <c r="Q128" s="2">
        <v>0.48</v>
      </c>
      <c r="R128" s="2">
        <v>75</v>
      </c>
      <c r="S128" s="2">
        <v>282</v>
      </c>
      <c r="T128" t="s">
        <v>859</v>
      </c>
      <c r="U128" s="6">
        <v>27232</v>
      </c>
      <c r="V128" s="2">
        <v>47037012801</v>
      </c>
      <c r="W128" s="2" t="s">
        <v>68</v>
      </c>
      <c r="X128" s="1">
        <v>45658</v>
      </c>
      <c r="Y128" s="2">
        <v>86000</v>
      </c>
      <c r="Z128" s="2">
        <v>0</v>
      </c>
      <c r="AA128" s="2">
        <v>86000</v>
      </c>
    </row>
    <row r="129" spans="1:27" x14ac:dyDescent="0.3">
      <c r="A129" s="4" t="s">
        <v>386</v>
      </c>
      <c r="B129" s="2" t="str">
        <f>"05913013300"</f>
        <v>05913013300</v>
      </c>
      <c r="C129" s="2" t="s">
        <v>860</v>
      </c>
      <c r="D129" t="s">
        <v>29</v>
      </c>
      <c r="E129" s="2" t="s">
        <v>30</v>
      </c>
      <c r="F129" s="2">
        <v>37218</v>
      </c>
      <c r="G129" s="2" t="s">
        <v>64</v>
      </c>
      <c r="H129" t="s">
        <v>379</v>
      </c>
      <c r="I129" s="6">
        <v>45098</v>
      </c>
      <c r="J129" s="2" t="s">
        <v>861</v>
      </c>
      <c r="K129" s="2">
        <v>0</v>
      </c>
      <c r="L129" t="s">
        <v>85</v>
      </c>
      <c r="M129" t="s">
        <v>29</v>
      </c>
      <c r="N129" t="s">
        <v>30</v>
      </c>
      <c r="O129">
        <v>37219</v>
      </c>
      <c r="P129" t="s">
        <v>862</v>
      </c>
      <c r="Q129" s="2">
        <v>0.84</v>
      </c>
      <c r="R129" s="2">
        <v>110</v>
      </c>
      <c r="S129" s="2">
        <v>319</v>
      </c>
      <c r="T129" t="s">
        <v>863</v>
      </c>
      <c r="U129" s="6">
        <v>22970</v>
      </c>
      <c r="V129" s="2">
        <v>47037012801</v>
      </c>
      <c r="W129" s="2" t="s">
        <v>68</v>
      </c>
      <c r="X129" s="1">
        <v>45658</v>
      </c>
      <c r="Y129" s="2">
        <v>91700</v>
      </c>
      <c r="Z129" s="2">
        <v>0</v>
      </c>
      <c r="AA129" s="2">
        <v>91700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BC8-DF53-4F86-B228-4589AF137BEE}">
  <sheetPr>
    <tabColor rgb="FF002060"/>
  </sheetPr>
  <dimension ref="A1:AA17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29</v>
      </c>
      <c r="B2" s="2" t="str">
        <f>"13614016900"</f>
        <v>13614016900</v>
      </c>
      <c r="C2" s="2" t="s">
        <v>7445</v>
      </c>
      <c r="D2" t="s">
        <v>29</v>
      </c>
      <c r="E2" s="2" t="s">
        <v>30</v>
      </c>
      <c r="F2" s="2">
        <v>37217</v>
      </c>
      <c r="G2" s="2" t="s">
        <v>64</v>
      </c>
      <c r="H2" t="s">
        <v>32</v>
      </c>
      <c r="I2" s="6">
        <v>41285</v>
      </c>
      <c r="J2" s="2" t="s">
        <v>7446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7447</v>
      </c>
      <c r="Q2" s="2">
        <v>0.02</v>
      </c>
      <c r="R2" s="2">
        <v>61</v>
      </c>
      <c r="S2" s="2">
        <v>46</v>
      </c>
      <c r="T2" t="s">
        <v>7448</v>
      </c>
      <c r="U2" s="6">
        <v>31254</v>
      </c>
      <c r="V2" s="2">
        <v>47037015618</v>
      </c>
      <c r="W2" s="2" t="s">
        <v>68</v>
      </c>
      <c r="X2" s="1">
        <v>45658</v>
      </c>
      <c r="Y2" s="2">
        <v>500</v>
      </c>
      <c r="Z2" s="2">
        <v>0</v>
      </c>
      <c r="AA2" s="2">
        <v>500</v>
      </c>
    </row>
    <row r="3" spans="1:27" x14ac:dyDescent="0.3">
      <c r="A3" s="3">
        <v>29</v>
      </c>
      <c r="B3" s="2" t="str">
        <f>"13600007100"</f>
        <v>13600007100</v>
      </c>
      <c r="C3" s="2" t="s">
        <v>7449</v>
      </c>
      <c r="D3" t="s">
        <v>29</v>
      </c>
      <c r="E3" s="2" t="s">
        <v>30</v>
      </c>
      <c r="F3" s="2">
        <v>37217</v>
      </c>
      <c r="G3" s="2" t="s">
        <v>64</v>
      </c>
      <c r="H3" t="s">
        <v>32</v>
      </c>
      <c r="I3" s="6">
        <v>41285</v>
      </c>
      <c r="J3" s="2" t="s">
        <v>7446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7450</v>
      </c>
      <c r="Q3" s="2">
        <v>12.66</v>
      </c>
      <c r="R3" s="2">
        <v>0</v>
      </c>
      <c r="S3" s="2">
        <v>0</v>
      </c>
      <c r="T3" t="s">
        <v>7451</v>
      </c>
      <c r="U3" s="6">
        <v>33786</v>
      </c>
      <c r="V3" s="2">
        <v>47037015618</v>
      </c>
      <c r="W3" s="2" t="s">
        <v>68</v>
      </c>
      <c r="X3" s="1">
        <v>45658</v>
      </c>
      <c r="Y3" s="2">
        <v>943400</v>
      </c>
      <c r="Z3" s="2">
        <v>0</v>
      </c>
      <c r="AA3" s="2">
        <v>943400</v>
      </c>
    </row>
    <row r="4" spans="1:27" x14ac:dyDescent="0.3">
      <c r="A4" s="3">
        <v>29</v>
      </c>
      <c r="B4" s="2" t="str">
        <f>"13600011300"</f>
        <v>13600011300</v>
      </c>
      <c r="C4" s="2" t="s">
        <v>7452</v>
      </c>
      <c r="D4" t="s">
        <v>29</v>
      </c>
      <c r="E4" s="2" t="s">
        <v>30</v>
      </c>
      <c r="F4" s="2">
        <v>37217</v>
      </c>
      <c r="G4" s="2" t="s">
        <v>31</v>
      </c>
      <c r="H4" t="s">
        <v>32</v>
      </c>
      <c r="I4" s="6">
        <v>41285</v>
      </c>
      <c r="J4" s="2" t="s">
        <v>7446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7453</v>
      </c>
      <c r="Q4" s="2">
        <v>2.2000000000000002</v>
      </c>
      <c r="R4" s="2">
        <v>0</v>
      </c>
      <c r="S4" s="2">
        <v>0</v>
      </c>
      <c r="T4" t="s">
        <v>7454</v>
      </c>
      <c r="U4" s="6">
        <v>23791</v>
      </c>
      <c r="V4" s="2">
        <v>47037015618</v>
      </c>
      <c r="W4" s="2" t="s">
        <v>68</v>
      </c>
      <c r="X4" s="1">
        <v>45658</v>
      </c>
      <c r="Y4" s="2">
        <v>138200</v>
      </c>
      <c r="Z4" s="2">
        <v>0</v>
      </c>
      <c r="AA4" s="2">
        <v>138200</v>
      </c>
    </row>
    <row r="5" spans="1:27" x14ac:dyDescent="0.3">
      <c r="A5" s="3">
        <v>29</v>
      </c>
      <c r="B5" s="2" t="str">
        <f>"13614016800"</f>
        <v>13614016800</v>
      </c>
      <c r="C5" s="2" t="s">
        <v>7445</v>
      </c>
      <c r="D5" t="s">
        <v>29</v>
      </c>
      <c r="E5" s="2" t="s">
        <v>30</v>
      </c>
      <c r="F5" s="2">
        <v>37217</v>
      </c>
      <c r="G5" s="2" t="s">
        <v>64</v>
      </c>
      <c r="H5" t="s">
        <v>32</v>
      </c>
      <c r="I5" s="6">
        <v>41285</v>
      </c>
      <c r="J5" s="2" t="s">
        <v>7446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7447</v>
      </c>
      <c r="Q5" s="2">
        <v>0.35</v>
      </c>
      <c r="R5" s="2">
        <v>45</v>
      </c>
      <c r="S5" s="2">
        <v>135</v>
      </c>
      <c r="T5" t="s">
        <v>7448</v>
      </c>
      <c r="U5" s="6">
        <v>31254</v>
      </c>
      <c r="V5" s="2">
        <v>47037015618</v>
      </c>
      <c r="W5" s="2" t="s">
        <v>68</v>
      </c>
      <c r="X5" s="1">
        <v>45658</v>
      </c>
      <c r="Y5" s="2">
        <v>500</v>
      </c>
      <c r="Z5" s="2">
        <v>0</v>
      </c>
      <c r="AA5" s="2">
        <v>500</v>
      </c>
    </row>
    <row r="6" spans="1:27" x14ac:dyDescent="0.3">
      <c r="A6" s="3">
        <v>29</v>
      </c>
      <c r="B6" s="2" t="str">
        <f>"13614016700"</f>
        <v>13614016700</v>
      </c>
      <c r="C6" s="2" t="s">
        <v>7455</v>
      </c>
      <c r="D6" t="s">
        <v>29</v>
      </c>
      <c r="E6" s="2" t="s">
        <v>30</v>
      </c>
      <c r="F6" s="2">
        <v>37217</v>
      </c>
      <c r="G6" s="2" t="s">
        <v>64</v>
      </c>
      <c r="H6" t="s">
        <v>32</v>
      </c>
      <c r="I6" s="6">
        <v>41285</v>
      </c>
      <c r="J6" s="2" t="s">
        <v>7446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7456</v>
      </c>
      <c r="Q6" s="2">
        <v>0.2</v>
      </c>
      <c r="R6" s="2">
        <v>0</v>
      </c>
      <c r="S6" s="2">
        <v>172</v>
      </c>
      <c r="T6" t="s">
        <v>7457</v>
      </c>
      <c r="U6" s="6">
        <v>30846</v>
      </c>
      <c r="V6" s="2">
        <v>47037015618</v>
      </c>
      <c r="W6" s="2" t="s">
        <v>68</v>
      </c>
      <c r="X6" s="1">
        <v>45658</v>
      </c>
      <c r="Y6" s="2">
        <v>500</v>
      </c>
      <c r="Z6" s="2">
        <v>0</v>
      </c>
      <c r="AA6" s="2">
        <v>500</v>
      </c>
    </row>
    <row r="7" spans="1:27" x14ac:dyDescent="0.3">
      <c r="A7" s="3">
        <v>29</v>
      </c>
      <c r="B7" s="2" t="str">
        <f>"15001035300"</f>
        <v>15001035300</v>
      </c>
      <c r="C7" s="2" t="s">
        <v>7458</v>
      </c>
      <c r="D7" t="s">
        <v>1945</v>
      </c>
      <c r="E7" s="2" t="s">
        <v>30</v>
      </c>
      <c r="F7" s="2">
        <v>37013</v>
      </c>
      <c r="G7" s="2" t="s">
        <v>64</v>
      </c>
      <c r="H7" t="s">
        <v>99</v>
      </c>
      <c r="I7" s="6">
        <v>41626</v>
      </c>
      <c r="J7" s="2" t="s">
        <v>7459</v>
      </c>
      <c r="K7" s="2">
        <v>648</v>
      </c>
      <c r="L7" t="s">
        <v>35</v>
      </c>
      <c r="M7" t="s">
        <v>29</v>
      </c>
      <c r="N7" t="s">
        <v>30</v>
      </c>
      <c r="O7">
        <v>37219</v>
      </c>
      <c r="P7" t="s">
        <v>7460</v>
      </c>
      <c r="Q7" s="2">
        <v>0.04</v>
      </c>
      <c r="R7" s="2">
        <v>0</v>
      </c>
      <c r="S7" s="2">
        <v>113</v>
      </c>
      <c r="T7" t="s">
        <v>7461</v>
      </c>
      <c r="U7" s="6">
        <v>26647</v>
      </c>
      <c r="V7" s="2">
        <v>47037015618</v>
      </c>
      <c r="W7" s="2" t="s">
        <v>68</v>
      </c>
      <c r="X7" s="1">
        <v>45658</v>
      </c>
      <c r="Y7" s="2">
        <v>500</v>
      </c>
      <c r="Z7" s="2">
        <v>0</v>
      </c>
      <c r="AA7" s="2">
        <v>500</v>
      </c>
    </row>
    <row r="8" spans="1:27" x14ac:dyDescent="0.3">
      <c r="A8" s="3">
        <v>29</v>
      </c>
      <c r="B8" s="2" t="str">
        <f>"14900024900"</f>
        <v>14900024900</v>
      </c>
      <c r="C8" s="2" t="s">
        <v>7462</v>
      </c>
      <c r="D8" t="s">
        <v>1945</v>
      </c>
      <c r="E8" s="2" t="s">
        <v>30</v>
      </c>
      <c r="F8" s="2">
        <v>37013</v>
      </c>
      <c r="G8" s="2" t="s">
        <v>147</v>
      </c>
      <c r="H8" t="s">
        <v>1131</v>
      </c>
      <c r="I8" s="6">
        <v>28524</v>
      </c>
      <c r="J8" s="2" t="s">
        <v>7463</v>
      </c>
      <c r="K8" s="2">
        <v>85000</v>
      </c>
      <c r="L8" t="s">
        <v>35</v>
      </c>
      <c r="M8" t="s">
        <v>29</v>
      </c>
      <c r="N8" t="s">
        <v>30</v>
      </c>
      <c r="O8">
        <v>37219</v>
      </c>
      <c r="P8" t="s">
        <v>7464</v>
      </c>
      <c r="Q8" s="2">
        <v>0.92</v>
      </c>
      <c r="R8" s="2">
        <v>170</v>
      </c>
      <c r="S8" s="2">
        <v>201</v>
      </c>
      <c r="T8" t="s">
        <v>7465</v>
      </c>
      <c r="U8" s="6">
        <v>28597</v>
      </c>
      <c r="V8" s="2">
        <v>47037015620</v>
      </c>
      <c r="W8" s="2" t="s">
        <v>68</v>
      </c>
      <c r="X8" s="1">
        <v>45658</v>
      </c>
      <c r="Y8" s="2">
        <v>601100</v>
      </c>
      <c r="Z8" s="2">
        <v>0</v>
      </c>
      <c r="AA8" s="2">
        <v>601100</v>
      </c>
    </row>
    <row r="9" spans="1:27" x14ac:dyDescent="0.3">
      <c r="A9" s="3">
        <v>29</v>
      </c>
      <c r="B9" s="2" t="str">
        <f>"14904004200"</f>
        <v>14904004200</v>
      </c>
      <c r="C9" s="2" t="s">
        <v>7466</v>
      </c>
      <c r="D9" t="s">
        <v>29</v>
      </c>
      <c r="E9" s="2" t="s">
        <v>30</v>
      </c>
      <c r="F9" s="2">
        <v>37217</v>
      </c>
      <c r="G9" s="2" t="s">
        <v>253</v>
      </c>
      <c r="H9" t="s">
        <v>7467</v>
      </c>
      <c r="I9" s="6">
        <v>23279</v>
      </c>
      <c r="J9" s="2" t="s">
        <v>7468</v>
      </c>
      <c r="K9" s="2" t="s">
        <v>34</v>
      </c>
      <c r="L9" t="s">
        <v>35</v>
      </c>
      <c r="M9" t="s">
        <v>29</v>
      </c>
      <c r="N9" t="s">
        <v>30</v>
      </c>
      <c r="O9">
        <v>37219</v>
      </c>
      <c r="P9" t="s">
        <v>7469</v>
      </c>
      <c r="Q9" s="2">
        <v>11.34</v>
      </c>
      <c r="R9" s="2">
        <v>533</v>
      </c>
      <c r="S9" s="2">
        <v>0</v>
      </c>
      <c r="T9" t="s">
        <v>7470</v>
      </c>
      <c r="U9" s="6">
        <v>45294</v>
      </c>
      <c r="V9" s="2">
        <v>47047037015618</v>
      </c>
      <c r="W9" s="2" t="s">
        <v>68</v>
      </c>
      <c r="X9" s="1">
        <v>45658</v>
      </c>
      <c r="Y9" s="2">
        <v>693500</v>
      </c>
      <c r="Z9" s="2">
        <v>0</v>
      </c>
      <c r="AA9" s="2">
        <v>693500</v>
      </c>
    </row>
    <row r="10" spans="1:27" x14ac:dyDescent="0.3">
      <c r="A10" s="3">
        <v>29</v>
      </c>
      <c r="B10" s="2" t="str">
        <f>"13606000100"</f>
        <v>13606000100</v>
      </c>
      <c r="C10" s="2" t="s">
        <v>7471</v>
      </c>
      <c r="D10" t="s">
        <v>29</v>
      </c>
      <c r="E10" s="2" t="s">
        <v>30</v>
      </c>
      <c r="F10" s="2">
        <v>37217</v>
      </c>
      <c r="G10" s="2" t="s">
        <v>64</v>
      </c>
      <c r="H10" t="s">
        <v>280</v>
      </c>
      <c r="I10" s="6">
        <v>40198</v>
      </c>
      <c r="J10" s="2" t="s">
        <v>7472</v>
      </c>
      <c r="K10" s="2">
        <v>432</v>
      </c>
      <c r="L10" t="s">
        <v>35</v>
      </c>
      <c r="M10" t="s">
        <v>29</v>
      </c>
      <c r="N10" t="s">
        <v>30</v>
      </c>
      <c r="O10">
        <v>37219</v>
      </c>
      <c r="P10" t="s">
        <v>7473</v>
      </c>
      <c r="Q10" s="2">
        <v>0.05</v>
      </c>
      <c r="R10" s="2">
        <v>20</v>
      </c>
      <c r="S10" s="2">
        <v>128</v>
      </c>
      <c r="T10" t="s">
        <v>7474</v>
      </c>
      <c r="U10" s="6">
        <v>23977</v>
      </c>
      <c r="V10" s="2">
        <v>47037015617</v>
      </c>
      <c r="W10" s="2" t="s">
        <v>68</v>
      </c>
      <c r="X10" s="1">
        <v>45658</v>
      </c>
      <c r="Y10" s="2">
        <v>500</v>
      </c>
      <c r="Z10" s="2">
        <v>0</v>
      </c>
      <c r="AA10" s="2">
        <v>500</v>
      </c>
    </row>
    <row r="11" spans="1:27" x14ac:dyDescent="0.3">
      <c r="A11" s="3">
        <v>29</v>
      </c>
      <c r="B11" s="2" t="str">
        <f>"13600006401"</f>
        <v>13600006401</v>
      </c>
      <c r="C11" s="2" t="s">
        <v>7475</v>
      </c>
      <c r="D11" t="s">
        <v>29</v>
      </c>
      <c r="E11" s="2" t="s">
        <v>30</v>
      </c>
      <c r="F11" s="2">
        <v>37217</v>
      </c>
      <c r="G11" s="2" t="s">
        <v>152</v>
      </c>
      <c r="H11" t="s">
        <v>280</v>
      </c>
      <c r="I11" s="6">
        <v>26846</v>
      </c>
      <c r="J11" s="2" t="s">
        <v>1990</v>
      </c>
      <c r="K11" s="2" t="s">
        <v>34</v>
      </c>
      <c r="L11" t="s">
        <v>35</v>
      </c>
      <c r="M11" t="s">
        <v>29</v>
      </c>
      <c r="N11" t="s">
        <v>30</v>
      </c>
      <c r="O11">
        <v>37219</v>
      </c>
      <c r="P11" t="s">
        <v>7476</v>
      </c>
      <c r="Q11" s="2">
        <v>2.2000000000000002</v>
      </c>
      <c r="R11" s="2">
        <v>0</v>
      </c>
      <c r="S11" s="2">
        <v>0</v>
      </c>
      <c r="T11" t="s">
        <v>7477</v>
      </c>
      <c r="U11" s="6">
        <v>23249</v>
      </c>
      <c r="V11" s="2">
        <v>47037015618</v>
      </c>
      <c r="W11" s="2" t="s">
        <v>68</v>
      </c>
      <c r="X11" s="1">
        <v>45658</v>
      </c>
      <c r="Y11" s="2">
        <v>184200</v>
      </c>
      <c r="Z11" s="2">
        <v>0</v>
      </c>
      <c r="AA11" s="2">
        <v>184200</v>
      </c>
    </row>
    <row r="12" spans="1:27" x14ac:dyDescent="0.3">
      <c r="A12" s="3">
        <v>29</v>
      </c>
      <c r="B12" s="2" t="str">
        <f>"15002050100"</f>
        <v>15002050100</v>
      </c>
      <c r="C12" s="2" t="s">
        <v>7478</v>
      </c>
      <c r="D12" t="s">
        <v>29</v>
      </c>
      <c r="E12" s="2" t="s">
        <v>30</v>
      </c>
      <c r="F12" s="2">
        <v>37217</v>
      </c>
      <c r="G12" s="2" t="s">
        <v>64</v>
      </c>
      <c r="H12" t="s">
        <v>280</v>
      </c>
      <c r="I12" s="6">
        <v>43074</v>
      </c>
      <c r="J12" s="2" t="s">
        <v>7479</v>
      </c>
      <c r="K12" s="2" t="s">
        <v>34</v>
      </c>
      <c r="L12" t="s">
        <v>343</v>
      </c>
      <c r="M12" t="s">
        <v>29</v>
      </c>
      <c r="N12" t="s">
        <v>30</v>
      </c>
      <c r="O12">
        <v>37201</v>
      </c>
      <c r="P12" t="s">
        <v>7480</v>
      </c>
      <c r="Q12" s="2">
        <v>0.15</v>
      </c>
      <c r="R12" s="2">
        <v>31</v>
      </c>
      <c r="S12" s="2">
        <v>200</v>
      </c>
      <c r="T12" t="s">
        <v>7481</v>
      </c>
      <c r="U12" s="6">
        <v>32331</v>
      </c>
      <c r="V12" s="2">
        <v>47037015618</v>
      </c>
      <c r="W12" s="2" t="s">
        <v>68</v>
      </c>
      <c r="X12" s="1">
        <v>45658</v>
      </c>
      <c r="Y12" s="2">
        <v>52000</v>
      </c>
      <c r="Z12" s="2">
        <v>0</v>
      </c>
      <c r="AA12" s="2">
        <v>52000</v>
      </c>
    </row>
    <row r="13" spans="1:27" x14ac:dyDescent="0.3">
      <c r="A13" s="3">
        <v>29</v>
      </c>
      <c r="B13" s="2" t="str">
        <f>"15002028400"</f>
        <v>15002028400</v>
      </c>
      <c r="C13" s="2" t="s">
        <v>7482</v>
      </c>
      <c r="D13" t="s">
        <v>29</v>
      </c>
      <c r="E13" s="2" t="s">
        <v>30</v>
      </c>
      <c r="F13" s="2">
        <v>37217</v>
      </c>
      <c r="G13" s="2" t="s">
        <v>7483</v>
      </c>
      <c r="H13" t="s">
        <v>280</v>
      </c>
      <c r="I13" s="6">
        <v>43074</v>
      </c>
      <c r="J13" s="2" t="s">
        <v>7484</v>
      </c>
      <c r="K13" s="2" t="s">
        <v>34</v>
      </c>
      <c r="L13" t="s">
        <v>343</v>
      </c>
      <c r="M13" t="s">
        <v>29</v>
      </c>
      <c r="N13" t="s">
        <v>30</v>
      </c>
      <c r="O13">
        <v>37201</v>
      </c>
      <c r="P13" t="s">
        <v>7485</v>
      </c>
      <c r="Q13" s="2">
        <v>0.13</v>
      </c>
      <c r="R13" s="2">
        <v>29</v>
      </c>
      <c r="S13" s="2">
        <v>200</v>
      </c>
      <c r="T13" t="s">
        <v>7481</v>
      </c>
      <c r="U13" s="6">
        <v>32331</v>
      </c>
      <c r="V13" s="2">
        <v>47037015618</v>
      </c>
      <c r="W13" s="2" t="s">
        <v>68</v>
      </c>
      <c r="X13" s="1">
        <v>45658</v>
      </c>
      <c r="Y13" s="2">
        <v>52000</v>
      </c>
      <c r="Z13" s="2">
        <v>0</v>
      </c>
      <c r="AA13" s="2">
        <v>52000</v>
      </c>
    </row>
    <row r="14" spans="1:27" x14ac:dyDescent="0.3">
      <c r="A14" s="3">
        <v>29</v>
      </c>
      <c r="B14" s="2" t="str">
        <f>"15002050200"</f>
        <v>15002050200</v>
      </c>
      <c r="C14" s="2" t="s">
        <v>7486</v>
      </c>
      <c r="D14" t="s">
        <v>29</v>
      </c>
      <c r="E14" s="2" t="s">
        <v>30</v>
      </c>
      <c r="F14" s="2">
        <v>37217</v>
      </c>
      <c r="G14" s="2" t="s">
        <v>64</v>
      </c>
      <c r="H14" t="s">
        <v>280</v>
      </c>
      <c r="I14" s="6">
        <v>42937</v>
      </c>
      <c r="J14" s="2" t="s">
        <v>7487</v>
      </c>
      <c r="K14" s="2" t="s">
        <v>34</v>
      </c>
      <c r="L14" t="s">
        <v>343</v>
      </c>
      <c r="M14" t="s">
        <v>29</v>
      </c>
      <c r="N14" t="s">
        <v>30</v>
      </c>
      <c r="O14">
        <v>37201</v>
      </c>
      <c r="P14" t="s">
        <v>7488</v>
      </c>
      <c r="Q14" s="2">
        <v>0.15</v>
      </c>
      <c r="R14" s="2">
        <v>32</v>
      </c>
      <c r="S14" s="2">
        <v>200</v>
      </c>
      <c r="T14" t="s">
        <v>7481</v>
      </c>
      <c r="U14" s="6">
        <v>32331</v>
      </c>
      <c r="V14" s="2">
        <v>47037015618</v>
      </c>
      <c r="W14" s="2" t="s">
        <v>68</v>
      </c>
      <c r="X14" s="1">
        <v>45658</v>
      </c>
      <c r="Y14" s="2">
        <v>52000</v>
      </c>
      <c r="Z14" s="2">
        <v>0</v>
      </c>
      <c r="AA14" s="2">
        <v>52000</v>
      </c>
    </row>
    <row r="15" spans="1:27" x14ac:dyDescent="0.3">
      <c r="A15" s="3">
        <v>29</v>
      </c>
      <c r="B15" s="2" t="str">
        <f>"15002028500"</f>
        <v>15002028500</v>
      </c>
      <c r="C15" s="2" t="s">
        <v>7489</v>
      </c>
      <c r="D15" t="s">
        <v>29</v>
      </c>
      <c r="E15" s="2" t="s">
        <v>30</v>
      </c>
      <c r="F15" s="2">
        <v>37217</v>
      </c>
      <c r="G15" s="2" t="s">
        <v>7483</v>
      </c>
      <c r="H15" t="s">
        <v>280</v>
      </c>
      <c r="I15" s="6">
        <v>42860</v>
      </c>
      <c r="J15" s="2" t="s">
        <v>7490</v>
      </c>
      <c r="K15" s="2" t="s">
        <v>34</v>
      </c>
      <c r="L15" t="s">
        <v>343</v>
      </c>
      <c r="M15" t="s">
        <v>29</v>
      </c>
      <c r="N15" t="s">
        <v>30</v>
      </c>
      <c r="O15">
        <v>37201</v>
      </c>
      <c r="P15" t="s">
        <v>7491</v>
      </c>
      <c r="Q15" s="2">
        <v>0.13</v>
      </c>
      <c r="R15" s="2">
        <v>28</v>
      </c>
      <c r="S15" s="2">
        <v>200</v>
      </c>
      <c r="T15" t="s">
        <v>7481</v>
      </c>
      <c r="U15" s="6">
        <v>32331</v>
      </c>
      <c r="V15" s="2">
        <v>47037015618</v>
      </c>
      <c r="W15" s="2" t="s">
        <v>68</v>
      </c>
      <c r="X15" s="1">
        <v>45658</v>
      </c>
      <c r="Y15" s="2">
        <v>52000</v>
      </c>
      <c r="Z15" s="2">
        <v>0</v>
      </c>
      <c r="AA15" s="2">
        <v>52000</v>
      </c>
    </row>
    <row r="16" spans="1:27" x14ac:dyDescent="0.3">
      <c r="A16" s="3">
        <v>29</v>
      </c>
      <c r="B16" s="2" t="str">
        <f>"15002028600"</f>
        <v>15002028600</v>
      </c>
      <c r="C16" s="2" t="s">
        <v>7492</v>
      </c>
      <c r="D16" t="s">
        <v>29</v>
      </c>
      <c r="E16" s="2" t="s">
        <v>30</v>
      </c>
      <c r="F16" s="2">
        <v>37217</v>
      </c>
      <c r="G16" s="2" t="s">
        <v>64</v>
      </c>
      <c r="H16" t="s">
        <v>280</v>
      </c>
      <c r="I16" s="6">
        <v>42208</v>
      </c>
      <c r="J16" s="2" t="s">
        <v>7493</v>
      </c>
      <c r="K16" s="2">
        <v>0</v>
      </c>
      <c r="L16" t="s">
        <v>35</v>
      </c>
      <c r="M16" t="s">
        <v>29</v>
      </c>
      <c r="N16" t="s">
        <v>30</v>
      </c>
      <c r="O16">
        <v>37219</v>
      </c>
      <c r="P16" t="s">
        <v>7494</v>
      </c>
      <c r="Q16" s="2">
        <v>0.34</v>
      </c>
      <c r="R16" s="2">
        <v>10</v>
      </c>
      <c r="S16" s="2">
        <v>242</v>
      </c>
      <c r="T16" t="s">
        <v>7495</v>
      </c>
      <c r="U16" s="6">
        <v>32122</v>
      </c>
      <c r="V16" s="2">
        <v>47037015618</v>
      </c>
      <c r="W16" s="2" t="s">
        <v>68</v>
      </c>
      <c r="X16" s="1">
        <v>45658</v>
      </c>
      <c r="Y16" s="2">
        <v>500</v>
      </c>
      <c r="Z16" s="2">
        <v>0</v>
      </c>
      <c r="AA16" s="2">
        <v>500</v>
      </c>
    </row>
    <row r="17" spans="1:27" x14ac:dyDescent="0.3">
      <c r="A17" s="3">
        <v>29</v>
      </c>
      <c r="B17" s="2" t="str">
        <f>"15002028800"</f>
        <v>15002028800</v>
      </c>
      <c r="C17" s="2" t="s">
        <v>7492</v>
      </c>
      <c r="D17" t="s">
        <v>29</v>
      </c>
      <c r="E17" s="2" t="s">
        <v>30</v>
      </c>
      <c r="F17" s="2">
        <v>37217</v>
      </c>
      <c r="G17" s="2" t="s">
        <v>64</v>
      </c>
      <c r="H17" t="s">
        <v>280</v>
      </c>
      <c r="I17" s="6">
        <v>42208</v>
      </c>
      <c r="J17" s="2" t="s">
        <v>7496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7497</v>
      </c>
      <c r="Q17" s="2">
        <v>0.03</v>
      </c>
      <c r="R17" s="2">
        <v>44</v>
      </c>
      <c r="S17" s="2">
        <v>69</v>
      </c>
      <c r="T17" t="s">
        <v>7457</v>
      </c>
      <c r="U17" s="6">
        <v>30846</v>
      </c>
      <c r="V17" s="2">
        <v>47037015618</v>
      </c>
      <c r="W17" s="2" t="s">
        <v>68</v>
      </c>
      <c r="X17" s="1">
        <v>45658</v>
      </c>
      <c r="Y17" s="2">
        <v>500</v>
      </c>
      <c r="Z17" s="2">
        <v>0</v>
      </c>
      <c r="AA17" s="2">
        <v>500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C740C-9356-4151-BC38-BA7C79D60F08}">
  <sheetPr>
    <tabColor rgb="FF002060"/>
  </sheetPr>
  <dimension ref="A1:AA41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30</v>
      </c>
      <c r="B2" s="2" t="str">
        <f>"13312000200"</f>
        <v>13312000200</v>
      </c>
      <c r="C2" s="2" t="s">
        <v>7498</v>
      </c>
      <c r="D2" t="s">
        <v>29</v>
      </c>
      <c r="E2" s="2" t="s">
        <v>30</v>
      </c>
      <c r="F2" s="2">
        <v>37211</v>
      </c>
      <c r="G2" s="2" t="s">
        <v>152</v>
      </c>
      <c r="H2" t="s">
        <v>176</v>
      </c>
      <c r="I2" s="6">
        <v>23475</v>
      </c>
      <c r="J2" s="2" t="s">
        <v>7499</v>
      </c>
      <c r="K2" s="2" t="s">
        <v>34</v>
      </c>
      <c r="L2" t="s">
        <v>178</v>
      </c>
      <c r="M2" t="s">
        <v>29</v>
      </c>
      <c r="N2" t="s">
        <v>30</v>
      </c>
      <c r="O2">
        <v>37246</v>
      </c>
      <c r="P2" t="s">
        <v>7500</v>
      </c>
      <c r="Q2" s="2">
        <v>0.3</v>
      </c>
      <c r="R2" s="2">
        <v>72</v>
      </c>
      <c r="S2" s="2">
        <v>226</v>
      </c>
      <c r="T2" t="s">
        <v>7501</v>
      </c>
      <c r="U2" s="6">
        <v>31615</v>
      </c>
      <c r="V2" s="2">
        <v>47037019006</v>
      </c>
      <c r="W2" s="2" t="s">
        <v>68</v>
      </c>
      <c r="X2" s="1">
        <v>45658</v>
      </c>
      <c r="Y2" s="2">
        <v>76000</v>
      </c>
      <c r="Z2" s="2">
        <v>0</v>
      </c>
      <c r="AA2" s="2">
        <v>76000</v>
      </c>
    </row>
    <row r="3" spans="1:27" x14ac:dyDescent="0.3">
      <c r="A3" s="3">
        <v>30</v>
      </c>
      <c r="B3" s="2" t="str">
        <f>"13315006000"</f>
        <v>13315006000</v>
      </c>
      <c r="C3" s="2" t="s">
        <v>7502</v>
      </c>
      <c r="D3" t="s">
        <v>29</v>
      </c>
      <c r="E3" s="2" t="s">
        <v>30</v>
      </c>
      <c r="F3" s="2">
        <v>37211</v>
      </c>
      <c r="G3" s="2" t="s">
        <v>152</v>
      </c>
      <c r="H3" t="s">
        <v>176</v>
      </c>
      <c r="I3" s="6">
        <v>23012</v>
      </c>
      <c r="J3" s="2" t="s">
        <v>7503</v>
      </c>
      <c r="K3" s="2" t="s">
        <v>34</v>
      </c>
      <c r="L3" t="s">
        <v>178</v>
      </c>
      <c r="M3" t="s">
        <v>29</v>
      </c>
      <c r="N3" t="s">
        <v>30</v>
      </c>
      <c r="O3">
        <v>37246</v>
      </c>
      <c r="P3" t="s">
        <v>7504</v>
      </c>
      <c r="Q3" s="2">
        <v>0.42</v>
      </c>
      <c r="R3" s="2">
        <v>70</v>
      </c>
      <c r="S3" s="2">
        <v>279</v>
      </c>
      <c r="T3" t="s">
        <v>7505</v>
      </c>
      <c r="U3" s="6">
        <v>22875</v>
      </c>
      <c r="V3" s="2">
        <v>47037019006</v>
      </c>
      <c r="W3" s="2" t="s">
        <v>68</v>
      </c>
      <c r="X3" s="1">
        <v>45658</v>
      </c>
      <c r="Y3" s="2">
        <v>70000</v>
      </c>
      <c r="Z3" s="2">
        <v>0</v>
      </c>
      <c r="AA3" s="2">
        <v>70000</v>
      </c>
    </row>
    <row r="4" spans="1:27" x14ac:dyDescent="0.3">
      <c r="A4" s="3">
        <v>30</v>
      </c>
      <c r="B4" s="2" t="str">
        <f>"14704010400"</f>
        <v>14704010400</v>
      </c>
      <c r="C4" s="2" t="s">
        <v>7506</v>
      </c>
      <c r="D4" t="s">
        <v>29</v>
      </c>
      <c r="E4" s="2" t="s">
        <v>30</v>
      </c>
      <c r="F4" s="2">
        <v>37211</v>
      </c>
      <c r="G4" s="2" t="s">
        <v>152</v>
      </c>
      <c r="H4" t="s">
        <v>176</v>
      </c>
      <c r="I4" s="6">
        <v>23205</v>
      </c>
      <c r="J4" s="2" t="s">
        <v>7507</v>
      </c>
      <c r="K4" s="2" t="s">
        <v>34</v>
      </c>
      <c r="L4" t="s">
        <v>178</v>
      </c>
      <c r="M4" t="s">
        <v>29</v>
      </c>
      <c r="N4" t="s">
        <v>30</v>
      </c>
      <c r="O4">
        <v>37246</v>
      </c>
      <c r="P4" t="s">
        <v>7508</v>
      </c>
      <c r="Q4" s="2">
        <v>0.28000000000000003</v>
      </c>
      <c r="R4" s="2">
        <v>60</v>
      </c>
      <c r="S4" s="2">
        <v>174</v>
      </c>
      <c r="T4" t="s">
        <v>7507</v>
      </c>
      <c r="U4" s="6">
        <v>23205</v>
      </c>
      <c r="V4" s="2">
        <v>47037019003</v>
      </c>
      <c r="W4" s="2" t="s">
        <v>68</v>
      </c>
      <c r="X4" s="1">
        <v>45658</v>
      </c>
      <c r="Y4" s="2">
        <v>75000</v>
      </c>
      <c r="Z4" s="2">
        <v>0</v>
      </c>
      <c r="AA4" s="2">
        <v>75000</v>
      </c>
    </row>
    <row r="5" spans="1:27" x14ac:dyDescent="0.3">
      <c r="A5" s="3">
        <v>30</v>
      </c>
      <c r="B5" s="2" t="str">
        <f>"13300011000"</f>
        <v>13300011000</v>
      </c>
      <c r="C5" s="2" t="s">
        <v>7509</v>
      </c>
      <c r="D5" t="s">
        <v>29</v>
      </c>
      <c r="E5" s="2" t="s">
        <v>30</v>
      </c>
      <c r="F5" s="2">
        <v>37211</v>
      </c>
      <c r="G5" s="2" t="s">
        <v>200</v>
      </c>
      <c r="H5" t="s">
        <v>7510</v>
      </c>
      <c r="I5" s="6">
        <v>26921</v>
      </c>
      <c r="J5" s="2" t="s">
        <v>7511</v>
      </c>
      <c r="K5" s="2" t="s">
        <v>34</v>
      </c>
      <c r="L5" t="s">
        <v>35</v>
      </c>
      <c r="M5" t="s">
        <v>29</v>
      </c>
      <c r="N5" t="s">
        <v>30</v>
      </c>
      <c r="O5">
        <v>37219</v>
      </c>
      <c r="P5" t="s">
        <v>7512</v>
      </c>
      <c r="Q5" s="2">
        <v>35.43</v>
      </c>
      <c r="R5" s="2">
        <v>0</v>
      </c>
      <c r="S5" s="2">
        <v>0</v>
      </c>
      <c r="T5" t="s">
        <v>278</v>
      </c>
      <c r="U5" s="6">
        <v>30068</v>
      </c>
      <c r="V5" s="2">
        <v>47037019006</v>
      </c>
      <c r="W5" s="2" t="s">
        <v>68</v>
      </c>
      <c r="X5" s="1">
        <v>45658</v>
      </c>
      <c r="Y5" s="2">
        <v>1323100</v>
      </c>
      <c r="Z5" s="2">
        <v>0</v>
      </c>
      <c r="AA5" s="2">
        <v>1323100</v>
      </c>
    </row>
    <row r="6" spans="1:27" x14ac:dyDescent="0.3">
      <c r="A6" s="3">
        <v>30</v>
      </c>
      <c r="B6" s="2" t="str">
        <f>"134090B15100CO"</f>
        <v>134090B15100CO</v>
      </c>
      <c r="C6" s="2" t="s">
        <v>7513</v>
      </c>
      <c r="D6" t="s">
        <v>29</v>
      </c>
      <c r="E6" s="2" t="s">
        <v>30</v>
      </c>
      <c r="F6" s="2">
        <v>37211</v>
      </c>
      <c r="G6" s="2" t="s">
        <v>64</v>
      </c>
      <c r="H6" t="s">
        <v>206</v>
      </c>
      <c r="I6" s="6">
        <v>39090</v>
      </c>
      <c r="J6" s="2" t="s">
        <v>7514</v>
      </c>
      <c r="K6" s="2">
        <v>0</v>
      </c>
      <c r="L6" t="s">
        <v>7515</v>
      </c>
      <c r="M6" t="s">
        <v>29</v>
      </c>
      <c r="N6" t="s">
        <v>30</v>
      </c>
      <c r="O6">
        <v>37219</v>
      </c>
      <c r="P6" t="s">
        <v>7516</v>
      </c>
      <c r="Q6" s="2">
        <v>0.62</v>
      </c>
      <c r="R6" s="2">
        <v>110</v>
      </c>
      <c r="S6" s="2">
        <v>144</v>
      </c>
      <c r="T6" t="s">
        <v>7517</v>
      </c>
      <c r="U6" s="6">
        <v>39111</v>
      </c>
      <c r="V6" s="2">
        <v>47037019006</v>
      </c>
      <c r="W6" s="2" t="s">
        <v>68</v>
      </c>
      <c r="X6" s="1">
        <v>45658</v>
      </c>
      <c r="Y6" s="2">
        <v>200</v>
      </c>
      <c r="Z6" s="2">
        <v>0</v>
      </c>
      <c r="AA6" s="2">
        <v>200</v>
      </c>
    </row>
    <row r="7" spans="1:27" x14ac:dyDescent="0.3">
      <c r="A7" s="3">
        <v>30</v>
      </c>
      <c r="B7" s="2" t="str">
        <f>"13409017400"</f>
        <v>13409017400</v>
      </c>
      <c r="C7" s="2" t="s">
        <v>7518</v>
      </c>
      <c r="D7" t="s">
        <v>29</v>
      </c>
      <c r="E7" s="2" t="s">
        <v>30</v>
      </c>
      <c r="F7" s="2">
        <v>37211</v>
      </c>
      <c r="G7" s="2" t="s">
        <v>64</v>
      </c>
      <c r="H7" t="s">
        <v>211</v>
      </c>
      <c r="I7" s="6">
        <v>38163</v>
      </c>
      <c r="J7" s="2" t="s">
        <v>7519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7520</v>
      </c>
      <c r="Q7" s="2">
        <v>4.13</v>
      </c>
      <c r="R7" s="2">
        <v>0</v>
      </c>
      <c r="S7" s="2">
        <v>0</v>
      </c>
      <c r="T7" t="s">
        <v>7519</v>
      </c>
      <c r="U7" s="6">
        <v>38163</v>
      </c>
      <c r="V7" s="2">
        <v>47037019006</v>
      </c>
      <c r="W7" s="2" t="s">
        <v>68</v>
      </c>
      <c r="X7" s="1">
        <v>45658</v>
      </c>
      <c r="Y7" s="2">
        <v>51600</v>
      </c>
      <c r="Z7" s="2">
        <v>0</v>
      </c>
      <c r="AA7" s="2">
        <v>51600</v>
      </c>
    </row>
    <row r="8" spans="1:27" x14ac:dyDescent="0.3">
      <c r="A8" s="3">
        <v>30</v>
      </c>
      <c r="B8" s="2" t="str">
        <f>"13306015202"</f>
        <v>13306015202</v>
      </c>
      <c r="C8" s="2" t="s">
        <v>7521</v>
      </c>
      <c r="D8" t="s">
        <v>29</v>
      </c>
      <c r="E8" s="2" t="s">
        <v>30</v>
      </c>
      <c r="F8" s="2">
        <v>37211</v>
      </c>
      <c r="G8" s="2" t="s">
        <v>152</v>
      </c>
      <c r="H8" t="s">
        <v>7522</v>
      </c>
      <c r="I8" s="6">
        <v>27117</v>
      </c>
      <c r="J8" s="2" t="s">
        <v>7523</v>
      </c>
      <c r="K8" s="2">
        <v>160000</v>
      </c>
      <c r="L8" t="s">
        <v>35</v>
      </c>
      <c r="M8" t="s">
        <v>29</v>
      </c>
      <c r="N8" t="s">
        <v>30</v>
      </c>
      <c r="O8">
        <v>37219</v>
      </c>
      <c r="P8" t="s">
        <v>7524</v>
      </c>
      <c r="Q8" s="2">
        <v>0.32</v>
      </c>
      <c r="R8" s="2">
        <v>130</v>
      </c>
      <c r="S8" s="2">
        <v>200</v>
      </c>
      <c r="T8" t="s">
        <v>7523</v>
      </c>
      <c r="U8" s="6">
        <v>27117</v>
      </c>
      <c r="V8" s="2">
        <v>47037017402</v>
      </c>
      <c r="W8" s="2" t="s">
        <v>68</v>
      </c>
      <c r="X8" s="1">
        <v>45658</v>
      </c>
      <c r="Y8" s="2">
        <v>348500</v>
      </c>
      <c r="Z8" s="2">
        <v>0</v>
      </c>
      <c r="AA8" s="2">
        <v>348500</v>
      </c>
    </row>
    <row r="9" spans="1:27" x14ac:dyDescent="0.3">
      <c r="A9" s="3">
        <v>30</v>
      </c>
      <c r="B9" s="2" t="str">
        <f>"14805010400"</f>
        <v>14805010400</v>
      </c>
      <c r="C9" s="2" t="s">
        <v>7525</v>
      </c>
      <c r="D9" t="s">
        <v>29</v>
      </c>
      <c r="E9" s="2" t="s">
        <v>30</v>
      </c>
      <c r="F9" s="2">
        <v>37211</v>
      </c>
      <c r="G9" s="2" t="s">
        <v>253</v>
      </c>
      <c r="H9" t="s">
        <v>7526</v>
      </c>
      <c r="I9" s="6">
        <v>21441</v>
      </c>
      <c r="J9" s="2" t="s">
        <v>7527</v>
      </c>
      <c r="K9" s="2" t="s">
        <v>34</v>
      </c>
      <c r="L9" t="s">
        <v>35</v>
      </c>
      <c r="M9" t="s">
        <v>29</v>
      </c>
      <c r="N9" t="s">
        <v>30</v>
      </c>
      <c r="O9">
        <v>37219</v>
      </c>
      <c r="P9" t="s">
        <v>7528</v>
      </c>
      <c r="Q9" s="2">
        <v>11.87</v>
      </c>
      <c r="R9" s="2">
        <v>0</v>
      </c>
      <c r="S9" s="2">
        <v>0</v>
      </c>
      <c r="T9" t="s">
        <v>278</v>
      </c>
      <c r="U9" s="6">
        <v>36581</v>
      </c>
      <c r="V9" s="2">
        <v>47037019003</v>
      </c>
      <c r="W9" s="2" t="s">
        <v>68</v>
      </c>
      <c r="X9" s="1">
        <v>45658</v>
      </c>
      <c r="Y9" s="2">
        <v>875200</v>
      </c>
      <c r="Z9" s="2">
        <v>0</v>
      </c>
      <c r="AA9" s="2">
        <v>875200</v>
      </c>
    </row>
    <row r="10" spans="1:27" x14ac:dyDescent="0.3">
      <c r="A10" s="3">
        <v>30</v>
      </c>
      <c r="B10" s="2" t="str">
        <f>"13400006400"</f>
        <v>13400006400</v>
      </c>
      <c r="C10" s="2" t="s">
        <v>7529</v>
      </c>
      <c r="D10" t="s">
        <v>29</v>
      </c>
      <c r="E10" s="2" t="s">
        <v>30</v>
      </c>
      <c r="F10" s="2">
        <v>37211</v>
      </c>
      <c r="G10" s="2" t="s">
        <v>253</v>
      </c>
      <c r="H10" t="s">
        <v>7530</v>
      </c>
      <c r="I10" s="6">
        <v>22971</v>
      </c>
      <c r="J10" s="2" t="s">
        <v>7531</v>
      </c>
      <c r="K10" s="2" t="s">
        <v>34</v>
      </c>
      <c r="L10" t="s">
        <v>35</v>
      </c>
      <c r="M10" t="s">
        <v>29</v>
      </c>
      <c r="N10" t="s">
        <v>30</v>
      </c>
      <c r="O10">
        <v>37219</v>
      </c>
      <c r="P10" t="s">
        <v>7532</v>
      </c>
      <c r="Q10" s="2">
        <v>7.89</v>
      </c>
      <c r="R10" s="2">
        <v>0</v>
      </c>
      <c r="S10" s="2">
        <v>0</v>
      </c>
      <c r="T10" t="s">
        <v>7531</v>
      </c>
      <c r="U10" s="6">
        <v>22971</v>
      </c>
      <c r="V10" s="2">
        <v>47037019006</v>
      </c>
      <c r="W10" s="2" t="s">
        <v>68</v>
      </c>
      <c r="X10" s="1">
        <v>45658</v>
      </c>
      <c r="Y10" s="2">
        <v>498400</v>
      </c>
      <c r="Z10" s="2">
        <v>0</v>
      </c>
      <c r="AA10" s="2">
        <v>498400</v>
      </c>
    </row>
    <row r="11" spans="1:27" x14ac:dyDescent="0.3">
      <c r="A11" s="3">
        <v>30</v>
      </c>
      <c r="B11" s="2" t="str">
        <f>"13312016900"</f>
        <v>13312016900</v>
      </c>
      <c r="C11" s="2" t="s">
        <v>7533</v>
      </c>
      <c r="D11" t="s">
        <v>29</v>
      </c>
      <c r="E11" s="2" t="s">
        <v>30</v>
      </c>
      <c r="F11" s="2">
        <v>37211</v>
      </c>
      <c r="G11" s="2" t="s">
        <v>64</v>
      </c>
      <c r="H11" t="s">
        <v>280</v>
      </c>
      <c r="I11" s="6">
        <v>38799</v>
      </c>
      <c r="J11" s="2" t="s">
        <v>7534</v>
      </c>
      <c r="K11" s="2">
        <v>132000</v>
      </c>
      <c r="L11" t="s">
        <v>35</v>
      </c>
      <c r="M11" t="s">
        <v>29</v>
      </c>
      <c r="N11" t="s">
        <v>30</v>
      </c>
      <c r="O11">
        <v>37219</v>
      </c>
      <c r="P11" t="s">
        <v>7535</v>
      </c>
      <c r="Q11" s="2">
        <v>0.48</v>
      </c>
      <c r="R11" s="2">
        <v>75</v>
      </c>
      <c r="S11" s="2">
        <v>236</v>
      </c>
      <c r="T11" t="s">
        <v>7536</v>
      </c>
      <c r="U11" s="6">
        <v>24964</v>
      </c>
      <c r="V11" s="2">
        <v>47037019006</v>
      </c>
      <c r="W11" s="2" t="s">
        <v>68</v>
      </c>
      <c r="X11" s="1">
        <v>45658</v>
      </c>
      <c r="Y11" s="2">
        <v>76000</v>
      </c>
      <c r="Z11" s="2">
        <v>0</v>
      </c>
      <c r="AA11" s="2">
        <v>76000</v>
      </c>
    </row>
    <row r="12" spans="1:27" x14ac:dyDescent="0.3">
      <c r="A12" s="3">
        <v>30</v>
      </c>
      <c r="B12" s="2" t="str">
        <f>"13300006900"</f>
        <v>13300006900</v>
      </c>
      <c r="C12" s="2" t="s">
        <v>7537</v>
      </c>
      <c r="D12" t="s">
        <v>29</v>
      </c>
      <c r="E12" s="2" t="s">
        <v>30</v>
      </c>
      <c r="F12" s="2">
        <v>37211</v>
      </c>
      <c r="G12" s="2" t="s">
        <v>64</v>
      </c>
      <c r="H12" t="s">
        <v>280</v>
      </c>
      <c r="I12" s="6">
        <v>38799</v>
      </c>
      <c r="J12" s="2" t="s">
        <v>7538</v>
      </c>
      <c r="K12" s="2">
        <v>216000</v>
      </c>
      <c r="L12" t="s">
        <v>35</v>
      </c>
      <c r="M12" t="s">
        <v>29</v>
      </c>
      <c r="N12" t="s">
        <v>30</v>
      </c>
      <c r="O12">
        <v>37219</v>
      </c>
      <c r="P12" t="s">
        <v>7539</v>
      </c>
      <c r="Q12" s="2">
        <v>1.96</v>
      </c>
      <c r="R12" s="2">
        <v>0</v>
      </c>
      <c r="S12" s="2">
        <v>0</v>
      </c>
      <c r="T12" t="s">
        <v>7540</v>
      </c>
      <c r="U12" s="6">
        <v>32283</v>
      </c>
      <c r="V12" s="2">
        <v>47037019006</v>
      </c>
      <c r="W12" s="2" t="s">
        <v>68</v>
      </c>
      <c r="X12" s="1">
        <v>45658</v>
      </c>
      <c r="Y12" s="2">
        <v>134800</v>
      </c>
      <c r="Z12" s="2">
        <v>0</v>
      </c>
      <c r="AA12" s="2">
        <v>134800</v>
      </c>
    </row>
    <row r="13" spans="1:27" x14ac:dyDescent="0.3">
      <c r="A13" s="3">
        <v>30</v>
      </c>
      <c r="B13" s="2" t="str">
        <f>"14704003800"</f>
        <v>14704003800</v>
      </c>
      <c r="C13" s="2" t="s">
        <v>7541</v>
      </c>
      <c r="D13" t="s">
        <v>29</v>
      </c>
      <c r="E13" s="2" t="s">
        <v>30</v>
      </c>
      <c r="F13" s="2">
        <v>37211</v>
      </c>
      <c r="G13" s="2" t="s">
        <v>64</v>
      </c>
      <c r="H13" t="s">
        <v>280</v>
      </c>
      <c r="I13" s="6">
        <v>33305</v>
      </c>
      <c r="J13" s="2" t="s">
        <v>7542</v>
      </c>
      <c r="K13" s="2">
        <v>85000</v>
      </c>
      <c r="L13" t="s">
        <v>35</v>
      </c>
      <c r="M13" t="s">
        <v>29</v>
      </c>
      <c r="N13" t="s">
        <v>30</v>
      </c>
      <c r="O13">
        <v>37219</v>
      </c>
      <c r="P13" t="s">
        <v>7543</v>
      </c>
      <c r="Q13" s="2">
        <v>0.91</v>
      </c>
      <c r="R13" s="2">
        <v>170</v>
      </c>
      <c r="S13" s="2">
        <v>207</v>
      </c>
      <c r="T13" t="s">
        <v>7544</v>
      </c>
      <c r="U13" s="6">
        <v>23273</v>
      </c>
      <c r="V13" s="2">
        <v>47037019004</v>
      </c>
      <c r="W13" s="2" t="s">
        <v>68</v>
      </c>
      <c r="X13" s="1">
        <v>45658</v>
      </c>
      <c r="Y13" s="2">
        <v>100800</v>
      </c>
      <c r="Z13" s="2">
        <v>0</v>
      </c>
      <c r="AA13" s="2">
        <v>100800</v>
      </c>
    </row>
    <row r="14" spans="1:27" x14ac:dyDescent="0.3">
      <c r="A14" s="3">
        <v>30</v>
      </c>
      <c r="B14" s="2" t="str">
        <f>"14704018100"</f>
        <v>14704018100</v>
      </c>
      <c r="C14" s="2" t="s">
        <v>7545</v>
      </c>
      <c r="D14" t="s">
        <v>29</v>
      </c>
      <c r="E14" s="2" t="s">
        <v>30</v>
      </c>
      <c r="F14" s="2">
        <v>37211</v>
      </c>
      <c r="G14" s="2" t="s">
        <v>152</v>
      </c>
      <c r="H14" t="s">
        <v>280</v>
      </c>
      <c r="I14" s="6">
        <v>31390</v>
      </c>
      <c r="J14" s="2" t="s">
        <v>7546</v>
      </c>
      <c r="K14" s="2">
        <v>4200</v>
      </c>
      <c r="L14" t="s">
        <v>35</v>
      </c>
      <c r="M14" t="s">
        <v>29</v>
      </c>
      <c r="N14" t="s">
        <v>30</v>
      </c>
      <c r="O14">
        <v>37219</v>
      </c>
      <c r="P14" t="s">
        <v>7547</v>
      </c>
      <c r="Q14" s="2">
        <v>0.02</v>
      </c>
      <c r="R14" s="2">
        <v>25</v>
      </c>
      <c r="S14" s="2">
        <v>40</v>
      </c>
      <c r="T14" t="s">
        <v>7546</v>
      </c>
      <c r="U14" s="6">
        <v>31390</v>
      </c>
      <c r="V14" s="2">
        <v>47037019004</v>
      </c>
      <c r="W14" s="2" t="s">
        <v>68</v>
      </c>
      <c r="X14" s="1">
        <v>45658</v>
      </c>
      <c r="Y14" s="2">
        <v>500</v>
      </c>
      <c r="Z14" s="2">
        <v>0</v>
      </c>
      <c r="AA14" s="2">
        <v>500</v>
      </c>
    </row>
    <row r="15" spans="1:27" x14ac:dyDescent="0.3">
      <c r="A15" s="3">
        <v>30</v>
      </c>
      <c r="B15" s="2" t="str">
        <f>"14704003900"</f>
        <v>14704003900</v>
      </c>
      <c r="C15" s="2" t="s">
        <v>7548</v>
      </c>
      <c r="D15" t="s">
        <v>29</v>
      </c>
      <c r="E15" s="2" t="s">
        <v>30</v>
      </c>
      <c r="F15" s="2">
        <v>37211</v>
      </c>
      <c r="G15" s="2" t="s">
        <v>64</v>
      </c>
      <c r="H15" t="s">
        <v>280</v>
      </c>
      <c r="I15" s="6">
        <v>33317</v>
      </c>
      <c r="J15" s="2" t="s">
        <v>7549</v>
      </c>
      <c r="K15" s="2">
        <v>68000</v>
      </c>
      <c r="L15" t="s">
        <v>35</v>
      </c>
      <c r="M15" t="s">
        <v>29</v>
      </c>
      <c r="N15" t="s">
        <v>30</v>
      </c>
      <c r="O15">
        <v>37219</v>
      </c>
      <c r="P15" t="s">
        <v>7550</v>
      </c>
      <c r="Q15" s="2">
        <v>0.95</v>
      </c>
      <c r="R15" s="2">
        <v>196</v>
      </c>
      <c r="S15" s="2">
        <v>188</v>
      </c>
      <c r="T15" t="s">
        <v>7551</v>
      </c>
      <c r="U15" s="6">
        <v>25122</v>
      </c>
      <c r="V15" s="2">
        <v>47037019004</v>
      </c>
      <c r="W15" s="2" t="s">
        <v>68</v>
      </c>
      <c r="X15" s="1">
        <v>45658</v>
      </c>
      <c r="Y15" s="2">
        <v>100800</v>
      </c>
      <c r="Z15" s="2">
        <v>0</v>
      </c>
      <c r="AA15" s="2">
        <v>100800</v>
      </c>
    </row>
    <row r="16" spans="1:27" x14ac:dyDescent="0.3">
      <c r="A16" s="3">
        <v>30</v>
      </c>
      <c r="B16" s="2" t="str">
        <f>"14704005500"</f>
        <v>14704005500</v>
      </c>
      <c r="C16" s="2" t="s">
        <v>7552</v>
      </c>
      <c r="D16" t="s">
        <v>29</v>
      </c>
      <c r="E16" s="2" t="s">
        <v>30</v>
      </c>
      <c r="F16" s="2">
        <v>37211</v>
      </c>
      <c r="G16" s="2" t="s">
        <v>64</v>
      </c>
      <c r="H16" t="s">
        <v>280</v>
      </c>
      <c r="I16" s="6">
        <v>42859</v>
      </c>
      <c r="J16" s="2" t="s">
        <v>7553</v>
      </c>
      <c r="K16" s="2">
        <v>0</v>
      </c>
      <c r="L16" t="s">
        <v>343</v>
      </c>
      <c r="M16" t="s">
        <v>29</v>
      </c>
      <c r="N16" t="s">
        <v>30</v>
      </c>
      <c r="O16">
        <v>37201</v>
      </c>
      <c r="P16" t="s">
        <v>7554</v>
      </c>
      <c r="Q16" s="2">
        <v>0.9</v>
      </c>
      <c r="R16" s="2">
        <v>135</v>
      </c>
      <c r="S16" s="2">
        <v>243</v>
      </c>
      <c r="T16" t="s">
        <v>7555</v>
      </c>
      <c r="U16" s="6">
        <v>24561</v>
      </c>
      <c r="V16" s="2">
        <v>47037019004</v>
      </c>
      <c r="W16" s="2" t="s">
        <v>68</v>
      </c>
      <c r="X16" s="1">
        <v>45658</v>
      </c>
      <c r="Y16" s="2">
        <v>100800</v>
      </c>
      <c r="Z16" s="2">
        <v>0</v>
      </c>
      <c r="AA16" s="2">
        <v>100800</v>
      </c>
    </row>
    <row r="17" spans="1:27" x14ac:dyDescent="0.3">
      <c r="A17" s="3">
        <v>30</v>
      </c>
      <c r="B17" s="2" t="str">
        <f>"13300007000"</f>
        <v>13300007000</v>
      </c>
      <c r="C17" s="2" t="s">
        <v>7556</v>
      </c>
      <c r="D17" t="s">
        <v>29</v>
      </c>
      <c r="E17" s="2" t="s">
        <v>30</v>
      </c>
      <c r="F17" s="2">
        <v>37211</v>
      </c>
      <c r="G17" s="2" t="s">
        <v>64</v>
      </c>
      <c r="H17" t="s">
        <v>280</v>
      </c>
      <c r="I17" s="6">
        <v>38800</v>
      </c>
      <c r="J17" s="2" t="s">
        <v>7557</v>
      </c>
      <c r="K17" s="2">
        <v>220000</v>
      </c>
      <c r="L17" t="s">
        <v>35</v>
      </c>
      <c r="M17" t="s">
        <v>29</v>
      </c>
      <c r="N17" t="s">
        <v>30</v>
      </c>
      <c r="O17">
        <v>37219</v>
      </c>
      <c r="P17" t="s">
        <v>7539</v>
      </c>
      <c r="Q17" s="2">
        <v>2.84</v>
      </c>
      <c r="R17" s="2">
        <v>0</v>
      </c>
      <c r="S17" s="2">
        <v>0</v>
      </c>
      <c r="T17" t="s">
        <v>7558</v>
      </c>
      <c r="U17" s="6">
        <v>32225</v>
      </c>
      <c r="V17" s="2">
        <v>47037019006</v>
      </c>
      <c r="W17" s="2" t="s">
        <v>68</v>
      </c>
      <c r="X17" s="1">
        <v>45658</v>
      </c>
      <c r="Y17" s="2">
        <v>187800</v>
      </c>
      <c r="Z17" s="2">
        <v>0</v>
      </c>
      <c r="AA17" s="2">
        <v>187800</v>
      </c>
    </row>
    <row r="18" spans="1:27" x14ac:dyDescent="0.3">
      <c r="A18" s="3">
        <v>30</v>
      </c>
      <c r="B18" s="2" t="str">
        <f>"13308005100"</f>
        <v>13308005100</v>
      </c>
      <c r="C18" s="2" t="s">
        <v>7559</v>
      </c>
      <c r="D18" t="s">
        <v>29</v>
      </c>
      <c r="E18" s="2" t="s">
        <v>30</v>
      </c>
      <c r="F18" s="2">
        <v>37211</v>
      </c>
      <c r="G18" s="2" t="s">
        <v>194</v>
      </c>
      <c r="H18" t="s">
        <v>1084</v>
      </c>
      <c r="I18" s="6">
        <v>44995</v>
      </c>
      <c r="J18" s="2" t="s">
        <v>7560</v>
      </c>
      <c r="K18" s="2">
        <v>0</v>
      </c>
      <c r="L18" t="s">
        <v>7561</v>
      </c>
      <c r="M18" t="s">
        <v>29</v>
      </c>
      <c r="N18" t="s">
        <v>30</v>
      </c>
      <c r="O18">
        <v>37208</v>
      </c>
      <c r="P18" t="s">
        <v>7562</v>
      </c>
      <c r="Q18" s="2">
        <v>0.28000000000000003</v>
      </c>
      <c r="R18" s="2">
        <v>94</v>
      </c>
      <c r="S18" s="2">
        <v>133</v>
      </c>
      <c r="T18" t="s">
        <v>7563</v>
      </c>
      <c r="U18" s="6">
        <v>27267</v>
      </c>
      <c r="V18" s="2">
        <v>47037019006</v>
      </c>
      <c r="W18" s="2" t="s">
        <v>68</v>
      </c>
      <c r="X18" s="1">
        <v>45658</v>
      </c>
      <c r="Y18" s="2">
        <v>76000</v>
      </c>
      <c r="Z18" s="2">
        <v>0</v>
      </c>
      <c r="AA18" s="2">
        <v>76000</v>
      </c>
    </row>
    <row r="19" spans="1:27" x14ac:dyDescent="0.3">
      <c r="A19" s="3">
        <v>30</v>
      </c>
      <c r="B19" s="2" t="str">
        <f>"13312014700"</f>
        <v>13312014700</v>
      </c>
      <c r="C19" s="2" t="s">
        <v>7564</v>
      </c>
      <c r="D19" t="s">
        <v>29</v>
      </c>
      <c r="E19" s="2" t="s">
        <v>30</v>
      </c>
      <c r="F19" s="2">
        <v>37211</v>
      </c>
      <c r="G19" s="2" t="s">
        <v>194</v>
      </c>
      <c r="H19" t="s">
        <v>1084</v>
      </c>
      <c r="I19" s="6">
        <v>44813</v>
      </c>
      <c r="J19" s="2" t="s">
        <v>7565</v>
      </c>
      <c r="K19" s="2">
        <v>0</v>
      </c>
      <c r="L19" t="s">
        <v>1104</v>
      </c>
      <c r="M19" t="s">
        <v>29</v>
      </c>
      <c r="N19" t="s">
        <v>30</v>
      </c>
      <c r="O19">
        <v>37208</v>
      </c>
      <c r="P19" t="s">
        <v>7566</v>
      </c>
      <c r="Q19" s="2">
        <v>0.23</v>
      </c>
      <c r="R19" s="2">
        <v>80</v>
      </c>
      <c r="S19" s="2">
        <v>133</v>
      </c>
      <c r="T19" t="s">
        <v>7567</v>
      </c>
      <c r="U19" s="6">
        <v>24678</v>
      </c>
      <c r="V19" s="2">
        <v>47037019006</v>
      </c>
      <c r="W19" s="2" t="s">
        <v>68</v>
      </c>
      <c r="X19" s="1">
        <v>45658</v>
      </c>
      <c r="Y19" s="2">
        <v>76000</v>
      </c>
      <c r="Z19" s="2">
        <v>0</v>
      </c>
      <c r="AA19" s="2">
        <v>76000</v>
      </c>
    </row>
    <row r="20" spans="1:27" x14ac:dyDescent="0.3">
      <c r="A20" s="3">
        <v>30</v>
      </c>
      <c r="B20" s="2" t="str">
        <f>"13311007200"</f>
        <v>13311007200</v>
      </c>
      <c r="C20" s="2" t="s">
        <v>7568</v>
      </c>
      <c r="D20" t="s">
        <v>29</v>
      </c>
      <c r="E20" s="2" t="s">
        <v>30</v>
      </c>
      <c r="F20" s="2">
        <v>37211</v>
      </c>
      <c r="G20" s="2" t="s">
        <v>194</v>
      </c>
      <c r="H20" t="s">
        <v>1084</v>
      </c>
      <c r="I20" s="6">
        <v>45555</v>
      </c>
      <c r="J20" s="2" t="s">
        <v>7569</v>
      </c>
      <c r="K20" s="2" t="s">
        <v>34</v>
      </c>
      <c r="L20" t="s">
        <v>315</v>
      </c>
      <c r="M20" t="s">
        <v>29</v>
      </c>
      <c r="N20" t="s">
        <v>30</v>
      </c>
      <c r="O20">
        <v>37208</v>
      </c>
      <c r="P20" t="s">
        <v>7570</v>
      </c>
      <c r="Q20" s="2">
        <v>0.22</v>
      </c>
      <c r="R20" s="2">
        <v>80</v>
      </c>
      <c r="S20" s="2">
        <v>135</v>
      </c>
      <c r="T20" t="s">
        <v>7571</v>
      </c>
      <c r="U20" s="6">
        <v>24242</v>
      </c>
      <c r="V20" s="2">
        <v>47037019006</v>
      </c>
      <c r="W20" s="2" t="s">
        <v>68</v>
      </c>
      <c r="X20" s="1">
        <v>45658</v>
      </c>
      <c r="Y20" s="2">
        <v>456500</v>
      </c>
      <c r="Z20" s="2">
        <v>380500</v>
      </c>
      <c r="AA20" s="2">
        <v>76000</v>
      </c>
    </row>
    <row r="21" spans="1:27" x14ac:dyDescent="0.3">
      <c r="A21" s="3">
        <v>30</v>
      </c>
      <c r="B21" s="2" t="str">
        <f>"13312011700"</f>
        <v>13312011700</v>
      </c>
      <c r="C21" s="2" t="s">
        <v>7572</v>
      </c>
      <c r="D21" t="s">
        <v>29</v>
      </c>
      <c r="E21" s="2" t="s">
        <v>30</v>
      </c>
      <c r="F21" s="2">
        <v>37211</v>
      </c>
      <c r="G21" s="2" t="s">
        <v>194</v>
      </c>
      <c r="H21" t="s">
        <v>1084</v>
      </c>
      <c r="I21" s="6">
        <v>44951</v>
      </c>
      <c r="J21" s="2" t="s">
        <v>7573</v>
      </c>
      <c r="K21" s="2">
        <v>0</v>
      </c>
      <c r="L21" t="s">
        <v>315</v>
      </c>
      <c r="M21" t="s">
        <v>29</v>
      </c>
      <c r="N21" t="s">
        <v>30</v>
      </c>
      <c r="O21">
        <v>37208</v>
      </c>
      <c r="P21" t="s">
        <v>7574</v>
      </c>
      <c r="Q21" s="2">
        <v>0.45</v>
      </c>
      <c r="R21" s="2">
        <v>72</v>
      </c>
      <c r="S21" s="2">
        <v>276</v>
      </c>
      <c r="T21" t="s">
        <v>7575</v>
      </c>
      <c r="U21" s="6">
        <v>25269</v>
      </c>
      <c r="V21" s="2">
        <v>47037019006</v>
      </c>
      <c r="W21" s="2" t="s">
        <v>68</v>
      </c>
      <c r="X21" s="1">
        <v>45658</v>
      </c>
      <c r="Y21" s="2">
        <v>76000</v>
      </c>
      <c r="Z21" s="2">
        <v>0</v>
      </c>
      <c r="AA21" s="2">
        <v>76000</v>
      </c>
    </row>
    <row r="22" spans="1:27" x14ac:dyDescent="0.3">
      <c r="A22" s="3">
        <v>30</v>
      </c>
      <c r="B22" s="2" t="str">
        <f>"13312015700"</f>
        <v>13312015700</v>
      </c>
      <c r="C22" s="2" t="s">
        <v>7576</v>
      </c>
      <c r="D22" t="s">
        <v>29</v>
      </c>
      <c r="E22" s="2" t="s">
        <v>30</v>
      </c>
      <c r="F22" s="2">
        <v>37211</v>
      </c>
      <c r="G22" s="2" t="s">
        <v>194</v>
      </c>
      <c r="H22" t="s">
        <v>379</v>
      </c>
      <c r="I22" s="6">
        <v>45042</v>
      </c>
      <c r="J22" s="2" t="s">
        <v>7577</v>
      </c>
      <c r="K22" s="2" t="s">
        <v>34</v>
      </c>
      <c r="L22" t="s">
        <v>315</v>
      </c>
      <c r="M22" t="s">
        <v>29</v>
      </c>
      <c r="N22" t="s">
        <v>30</v>
      </c>
      <c r="O22">
        <v>37208</v>
      </c>
      <c r="P22" t="s">
        <v>7578</v>
      </c>
      <c r="Q22" s="2">
        <v>0.39</v>
      </c>
      <c r="R22" s="2">
        <v>80</v>
      </c>
      <c r="S22" s="2">
        <v>186</v>
      </c>
      <c r="T22" t="s">
        <v>7579</v>
      </c>
      <c r="U22" s="6">
        <v>27134</v>
      </c>
      <c r="V22" s="2">
        <v>47037019006</v>
      </c>
      <c r="W22" s="2" t="s">
        <v>68</v>
      </c>
      <c r="X22" s="1">
        <v>45658</v>
      </c>
      <c r="Y22" s="2">
        <v>76000</v>
      </c>
      <c r="Z22" s="2">
        <v>0</v>
      </c>
      <c r="AA22" s="2">
        <v>76000</v>
      </c>
    </row>
    <row r="23" spans="1:27" x14ac:dyDescent="0.3">
      <c r="A23" s="3">
        <v>30</v>
      </c>
      <c r="B23" s="2" t="str">
        <f>"13312013800"</f>
        <v>13312013800</v>
      </c>
      <c r="C23" s="2" t="s">
        <v>7580</v>
      </c>
      <c r="D23" t="s">
        <v>29</v>
      </c>
      <c r="E23" s="2" t="s">
        <v>30</v>
      </c>
      <c r="F23" s="2">
        <v>37211</v>
      </c>
      <c r="G23" s="2" t="s">
        <v>64</v>
      </c>
      <c r="H23" t="s">
        <v>379</v>
      </c>
      <c r="I23" s="6">
        <v>44467</v>
      </c>
      <c r="J23" s="2" t="s">
        <v>7581</v>
      </c>
      <c r="K23" s="2" t="s">
        <v>34</v>
      </c>
      <c r="L23" t="s">
        <v>315</v>
      </c>
      <c r="M23" t="s">
        <v>29</v>
      </c>
      <c r="N23" t="s">
        <v>30</v>
      </c>
      <c r="O23">
        <v>37208</v>
      </c>
      <c r="P23" t="s">
        <v>7582</v>
      </c>
      <c r="Q23" s="2">
        <v>0.25</v>
      </c>
      <c r="R23" s="2">
        <v>80</v>
      </c>
      <c r="S23" s="2">
        <v>133</v>
      </c>
      <c r="T23" t="s">
        <v>7583</v>
      </c>
      <c r="U23" s="6">
        <v>25055</v>
      </c>
      <c r="V23" s="2">
        <v>47037019006</v>
      </c>
      <c r="W23" s="2" t="s">
        <v>68</v>
      </c>
      <c r="X23" s="1">
        <v>45658</v>
      </c>
      <c r="Y23" s="2">
        <v>76000</v>
      </c>
      <c r="Z23" s="2">
        <v>0</v>
      </c>
      <c r="AA23" s="2">
        <v>76000</v>
      </c>
    </row>
    <row r="24" spans="1:27" x14ac:dyDescent="0.3">
      <c r="A24" s="3">
        <v>30</v>
      </c>
      <c r="B24" s="2" t="str">
        <f>"13312016000"</f>
        <v>13312016000</v>
      </c>
      <c r="C24" s="2" t="s">
        <v>7584</v>
      </c>
      <c r="D24" t="s">
        <v>29</v>
      </c>
      <c r="E24" s="2" t="s">
        <v>30</v>
      </c>
      <c r="F24" s="2">
        <v>37211</v>
      </c>
      <c r="G24" s="2" t="s">
        <v>64</v>
      </c>
      <c r="H24" t="s">
        <v>379</v>
      </c>
      <c r="I24" s="6">
        <v>44516</v>
      </c>
      <c r="J24" s="2" t="s">
        <v>7585</v>
      </c>
      <c r="K24" s="2" t="s">
        <v>34</v>
      </c>
      <c r="L24" t="s">
        <v>315</v>
      </c>
      <c r="M24" t="s">
        <v>29</v>
      </c>
      <c r="N24" t="s">
        <v>30</v>
      </c>
      <c r="O24">
        <v>37208</v>
      </c>
      <c r="P24" t="s">
        <v>7586</v>
      </c>
      <c r="Q24" s="2">
        <v>0.3</v>
      </c>
      <c r="R24" s="2">
        <v>76</v>
      </c>
      <c r="S24" s="2">
        <v>181</v>
      </c>
      <c r="T24" t="s">
        <v>7587</v>
      </c>
      <c r="U24" s="6">
        <v>24922</v>
      </c>
      <c r="V24" s="2">
        <v>47037019006</v>
      </c>
      <c r="W24" s="2" t="s">
        <v>68</v>
      </c>
      <c r="X24" s="1">
        <v>45658</v>
      </c>
      <c r="Y24" s="2">
        <v>76000</v>
      </c>
      <c r="Z24" s="2">
        <v>0</v>
      </c>
      <c r="AA24" s="2">
        <v>76000</v>
      </c>
    </row>
    <row r="25" spans="1:27" x14ac:dyDescent="0.3">
      <c r="A25" s="3">
        <v>30</v>
      </c>
      <c r="B25" s="2" t="str">
        <f>"13312016100"</f>
        <v>13312016100</v>
      </c>
      <c r="C25" s="2" t="s">
        <v>7588</v>
      </c>
      <c r="D25" t="s">
        <v>29</v>
      </c>
      <c r="E25" s="2" t="s">
        <v>30</v>
      </c>
      <c r="F25" s="2">
        <v>37211</v>
      </c>
      <c r="G25" s="2" t="s">
        <v>64</v>
      </c>
      <c r="H25" t="s">
        <v>379</v>
      </c>
      <c r="I25" s="6">
        <v>44517</v>
      </c>
      <c r="J25" s="2" t="s">
        <v>7589</v>
      </c>
      <c r="K25" s="2" t="s">
        <v>34</v>
      </c>
      <c r="L25" t="s">
        <v>315</v>
      </c>
      <c r="M25" t="s">
        <v>29</v>
      </c>
      <c r="N25" t="s">
        <v>30</v>
      </c>
      <c r="O25">
        <v>37208</v>
      </c>
      <c r="P25" t="s">
        <v>7590</v>
      </c>
      <c r="Q25" s="2">
        <v>0.32</v>
      </c>
      <c r="R25" s="2">
        <v>80</v>
      </c>
      <c r="S25" s="2">
        <v>193</v>
      </c>
      <c r="T25" t="s">
        <v>7591</v>
      </c>
      <c r="U25" s="6">
        <v>27055</v>
      </c>
      <c r="V25" s="2">
        <v>47037019006</v>
      </c>
      <c r="W25" s="2" t="s">
        <v>68</v>
      </c>
      <c r="X25" s="1">
        <v>45658</v>
      </c>
      <c r="Y25" s="2">
        <v>76000</v>
      </c>
      <c r="Z25" s="2">
        <v>0</v>
      </c>
      <c r="AA25" s="2">
        <v>76000</v>
      </c>
    </row>
    <row r="26" spans="1:27" x14ac:dyDescent="0.3">
      <c r="A26" s="3">
        <v>30</v>
      </c>
      <c r="B26" s="2" t="str">
        <f>"13312016200"</f>
        <v>13312016200</v>
      </c>
      <c r="C26" s="2" t="s">
        <v>7592</v>
      </c>
      <c r="D26" t="s">
        <v>29</v>
      </c>
      <c r="E26" s="2" t="s">
        <v>30</v>
      </c>
      <c r="F26" s="2">
        <v>37211</v>
      </c>
      <c r="G26" s="2" t="s">
        <v>64</v>
      </c>
      <c r="H26" t="s">
        <v>379</v>
      </c>
      <c r="I26" s="6">
        <v>44474</v>
      </c>
      <c r="J26" s="2" t="s">
        <v>7593</v>
      </c>
      <c r="K26" s="2" t="s">
        <v>34</v>
      </c>
      <c r="L26" t="s">
        <v>315</v>
      </c>
      <c r="M26" t="s">
        <v>29</v>
      </c>
      <c r="N26" t="s">
        <v>30</v>
      </c>
      <c r="O26">
        <v>37208</v>
      </c>
      <c r="P26" t="s">
        <v>7594</v>
      </c>
      <c r="Q26" s="2">
        <v>0.32</v>
      </c>
      <c r="R26" s="2">
        <v>75</v>
      </c>
      <c r="S26" s="2">
        <v>205</v>
      </c>
      <c r="T26" t="s">
        <v>7595</v>
      </c>
      <c r="U26" s="6">
        <v>25038</v>
      </c>
      <c r="V26" s="2">
        <v>47037019006</v>
      </c>
      <c r="W26" s="2" t="s">
        <v>68</v>
      </c>
      <c r="X26" s="1">
        <v>45658</v>
      </c>
      <c r="Y26" s="2">
        <v>76000</v>
      </c>
      <c r="Z26" s="2">
        <v>0</v>
      </c>
      <c r="AA26" s="2">
        <v>76000</v>
      </c>
    </row>
    <row r="27" spans="1:27" x14ac:dyDescent="0.3">
      <c r="A27" s="3">
        <v>30</v>
      </c>
      <c r="B27" s="2" t="str">
        <f>"13312016300"</f>
        <v>13312016300</v>
      </c>
      <c r="C27" s="2" t="s">
        <v>7596</v>
      </c>
      <c r="D27" t="s">
        <v>29</v>
      </c>
      <c r="E27" s="2" t="s">
        <v>30</v>
      </c>
      <c r="F27" s="2">
        <v>37211</v>
      </c>
      <c r="G27" s="2" t="s">
        <v>64</v>
      </c>
      <c r="H27" t="s">
        <v>379</v>
      </c>
      <c r="I27" s="6">
        <v>44785</v>
      </c>
      <c r="J27" s="2" t="s">
        <v>7597</v>
      </c>
      <c r="K27" s="2">
        <v>0</v>
      </c>
      <c r="L27" t="s">
        <v>1104</v>
      </c>
      <c r="M27" t="s">
        <v>29</v>
      </c>
      <c r="N27" t="s">
        <v>30</v>
      </c>
      <c r="O27">
        <v>37208</v>
      </c>
      <c r="P27" t="s">
        <v>7598</v>
      </c>
      <c r="Q27" s="2">
        <v>0.37</v>
      </c>
      <c r="R27" s="2">
        <v>80</v>
      </c>
      <c r="S27" s="2">
        <v>207</v>
      </c>
      <c r="T27" t="s">
        <v>7599</v>
      </c>
      <c r="U27" s="6">
        <v>24953</v>
      </c>
      <c r="V27" s="2">
        <v>47037019006</v>
      </c>
      <c r="W27" s="2" t="s">
        <v>68</v>
      </c>
      <c r="X27" s="1">
        <v>45658</v>
      </c>
      <c r="Y27" s="2">
        <v>76000</v>
      </c>
      <c r="Z27" s="2">
        <v>0</v>
      </c>
      <c r="AA27" s="2">
        <v>76000</v>
      </c>
    </row>
    <row r="28" spans="1:27" x14ac:dyDescent="0.3">
      <c r="A28" s="3">
        <v>30</v>
      </c>
      <c r="B28" s="2" t="str">
        <f>"13312016400"</f>
        <v>13312016400</v>
      </c>
      <c r="C28" s="2" t="s">
        <v>7600</v>
      </c>
      <c r="D28" t="s">
        <v>29</v>
      </c>
      <c r="E28" s="2" t="s">
        <v>30</v>
      </c>
      <c r="F28" s="2">
        <v>37211</v>
      </c>
      <c r="G28" s="2" t="s">
        <v>64</v>
      </c>
      <c r="H28" t="s">
        <v>379</v>
      </c>
      <c r="I28" s="6">
        <v>44452</v>
      </c>
      <c r="J28" s="2" t="s">
        <v>7601</v>
      </c>
      <c r="K28" s="2" t="s">
        <v>34</v>
      </c>
      <c r="L28" t="s">
        <v>315</v>
      </c>
      <c r="M28" t="s">
        <v>29</v>
      </c>
      <c r="N28" t="s">
        <v>30</v>
      </c>
      <c r="O28">
        <v>37208</v>
      </c>
      <c r="P28" t="s">
        <v>7602</v>
      </c>
      <c r="Q28" s="2">
        <v>0.34</v>
      </c>
      <c r="R28" s="2">
        <v>75</v>
      </c>
      <c r="S28" s="2">
        <v>207</v>
      </c>
      <c r="T28" t="s">
        <v>7603</v>
      </c>
      <c r="U28" s="6">
        <v>24568</v>
      </c>
      <c r="V28" s="2">
        <v>47037019006</v>
      </c>
      <c r="W28" s="2" t="s">
        <v>68</v>
      </c>
      <c r="X28" s="1">
        <v>45658</v>
      </c>
      <c r="Y28" s="2">
        <v>76000</v>
      </c>
      <c r="Z28" s="2">
        <v>0</v>
      </c>
      <c r="AA28" s="2">
        <v>76000</v>
      </c>
    </row>
    <row r="29" spans="1:27" x14ac:dyDescent="0.3">
      <c r="A29" s="3">
        <v>30</v>
      </c>
      <c r="B29" s="2" t="str">
        <f>"13312014600"</f>
        <v>13312014600</v>
      </c>
      <c r="C29" s="2" t="s">
        <v>7604</v>
      </c>
      <c r="D29" t="s">
        <v>29</v>
      </c>
      <c r="E29" s="2" t="s">
        <v>30</v>
      </c>
      <c r="F29" s="2">
        <v>37211</v>
      </c>
      <c r="G29" s="2" t="s">
        <v>64</v>
      </c>
      <c r="H29" t="s">
        <v>379</v>
      </c>
      <c r="I29" s="6">
        <v>44580</v>
      </c>
      <c r="J29" s="2" t="s">
        <v>7605</v>
      </c>
      <c r="K29" s="2" t="s">
        <v>34</v>
      </c>
      <c r="L29" t="s">
        <v>315</v>
      </c>
      <c r="M29" t="s">
        <v>29</v>
      </c>
      <c r="N29" t="s">
        <v>30</v>
      </c>
      <c r="O29">
        <v>37208</v>
      </c>
      <c r="P29" t="s">
        <v>7606</v>
      </c>
      <c r="Q29" s="2">
        <v>0.24</v>
      </c>
      <c r="R29" s="2">
        <v>87</v>
      </c>
      <c r="S29" s="2">
        <v>133</v>
      </c>
      <c r="T29" t="s">
        <v>7607</v>
      </c>
      <c r="U29" s="6">
        <v>24798</v>
      </c>
      <c r="V29" s="2">
        <v>47037019006</v>
      </c>
      <c r="W29" s="2" t="s">
        <v>68</v>
      </c>
      <c r="X29" s="1">
        <v>45658</v>
      </c>
      <c r="Y29" s="2">
        <v>76000</v>
      </c>
      <c r="Z29" s="2">
        <v>0</v>
      </c>
      <c r="AA29" s="2">
        <v>76000</v>
      </c>
    </row>
    <row r="30" spans="1:27" x14ac:dyDescent="0.3">
      <c r="A30" s="3">
        <v>30</v>
      </c>
      <c r="B30" s="2" t="str">
        <f>"13312016500"</f>
        <v>13312016500</v>
      </c>
      <c r="C30" s="2" t="s">
        <v>7608</v>
      </c>
      <c r="D30" t="s">
        <v>29</v>
      </c>
      <c r="E30" s="2" t="s">
        <v>30</v>
      </c>
      <c r="F30" s="2">
        <v>37211</v>
      </c>
      <c r="G30" s="2" t="s">
        <v>64</v>
      </c>
      <c r="H30" t="s">
        <v>379</v>
      </c>
      <c r="I30" s="6">
        <v>44417</v>
      </c>
      <c r="J30" s="2" t="s">
        <v>7609</v>
      </c>
      <c r="K30" s="2" t="s">
        <v>34</v>
      </c>
      <c r="L30" t="s">
        <v>315</v>
      </c>
      <c r="M30" t="s">
        <v>29</v>
      </c>
      <c r="N30" t="s">
        <v>30</v>
      </c>
      <c r="O30">
        <v>37208</v>
      </c>
      <c r="P30" t="s">
        <v>7610</v>
      </c>
      <c r="Q30" s="2">
        <v>0.36</v>
      </c>
      <c r="R30" s="2">
        <v>80</v>
      </c>
      <c r="S30" s="2">
        <v>205</v>
      </c>
      <c r="T30" t="s">
        <v>7611</v>
      </c>
      <c r="U30" s="6">
        <v>24723</v>
      </c>
      <c r="V30" s="2">
        <v>47037019006</v>
      </c>
      <c r="W30" s="2" t="s">
        <v>68</v>
      </c>
      <c r="X30" s="1">
        <v>45658</v>
      </c>
      <c r="Y30" s="2">
        <v>76000</v>
      </c>
      <c r="Z30" s="2">
        <v>0</v>
      </c>
      <c r="AA30" s="2">
        <v>76000</v>
      </c>
    </row>
    <row r="31" spans="1:27" x14ac:dyDescent="0.3">
      <c r="A31" s="3">
        <v>30</v>
      </c>
      <c r="B31" s="2" t="str">
        <f>"13312014500"</f>
        <v>13312014500</v>
      </c>
      <c r="C31" s="2" t="s">
        <v>7612</v>
      </c>
      <c r="D31" t="s">
        <v>29</v>
      </c>
      <c r="E31" s="2" t="s">
        <v>30</v>
      </c>
      <c r="F31" s="2">
        <v>37211</v>
      </c>
      <c r="G31" s="2" t="s">
        <v>64</v>
      </c>
      <c r="H31" t="s">
        <v>379</v>
      </c>
      <c r="I31" s="6">
        <v>44544</v>
      </c>
      <c r="J31" s="2" t="s">
        <v>7613</v>
      </c>
      <c r="K31" s="2" t="s">
        <v>34</v>
      </c>
      <c r="L31" t="s">
        <v>315</v>
      </c>
      <c r="M31" t="s">
        <v>29</v>
      </c>
      <c r="N31" t="s">
        <v>30</v>
      </c>
      <c r="O31">
        <v>37208</v>
      </c>
      <c r="P31" t="s">
        <v>7614</v>
      </c>
      <c r="Q31" s="2">
        <v>0.23</v>
      </c>
      <c r="R31" s="2">
        <v>92</v>
      </c>
      <c r="S31" s="2">
        <v>135</v>
      </c>
      <c r="T31" t="s">
        <v>7615</v>
      </c>
      <c r="U31" s="6">
        <v>25070</v>
      </c>
      <c r="V31" s="2">
        <v>47037019006</v>
      </c>
      <c r="W31" s="2" t="s">
        <v>68</v>
      </c>
      <c r="X31" s="1">
        <v>45658</v>
      </c>
      <c r="Y31" s="2">
        <v>76000</v>
      </c>
      <c r="Z31" s="2">
        <v>0</v>
      </c>
      <c r="AA31" s="2">
        <v>76000</v>
      </c>
    </row>
    <row r="32" spans="1:27" x14ac:dyDescent="0.3">
      <c r="A32" s="3">
        <v>30</v>
      </c>
      <c r="B32" s="2" t="str">
        <f>"13312016600"</f>
        <v>13312016600</v>
      </c>
      <c r="C32" s="2" t="s">
        <v>7616</v>
      </c>
      <c r="D32" t="s">
        <v>29</v>
      </c>
      <c r="E32" s="2" t="s">
        <v>30</v>
      </c>
      <c r="F32" s="2">
        <v>37211</v>
      </c>
      <c r="G32" s="2" t="s">
        <v>64</v>
      </c>
      <c r="H32" t="s">
        <v>379</v>
      </c>
      <c r="I32" s="6">
        <v>44601</v>
      </c>
      <c r="J32" s="2" t="s">
        <v>7617</v>
      </c>
      <c r="K32" s="2">
        <v>0</v>
      </c>
      <c r="L32" t="s">
        <v>1104</v>
      </c>
      <c r="M32" t="s">
        <v>29</v>
      </c>
      <c r="N32" t="s">
        <v>30</v>
      </c>
      <c r="O32">
        <v>37208</v>
      </c>
      <c r="P32" t="s">
        <v>7618</v>
      </c>
      <c r="Q32" s="2">
        <v>0.37</v>
      </c>
      <c r="R32" s="2">
        <v>76</v>
      </c>
      <c r="S32" s="2">
        <v>203</v>
      </c>
      <c r="T32" t="s">
        <v>7619</v>
      </c>
      <c r="U32" s="6">
        <v>25101</v>
      </c>
      <c r="V32" s="2">
        <v>47037019006</v>
      </c>
      <c r="W32" s="2" t="s">
        <v>68</v>
      </c>
      <c r="X32" s="1">
        <v>45658</v>
      </c>
      <c r="Y32" s="2">
        <v>76000</v>
      </c>
      <c r="Z32" s="2">
        <v>0</v>
      </c>
      <c r="AA32" s="2">
        <v>76000</v>
      </c>
    </row>
    <row r="33" spans="1:27" x14ac:dyDescent="0.3">
      <c r="A33" s="3">
        <v>30</v>
      </c>
      <c r="B33" s="2" t="str">
        <f>"13312016700"</f>
        <v>13312016700</v>
      </c>
      <c r="C33" s="2" t="s">
        <v>7620</v>
      </c>
      <c r="D33" t="s">
        <v>29</v>
      </c>
      <c r="E33" s="2" t="s">
        <v>30</v>
      </c>
      <c r="F33" s="2">
        <v>37211</v>
      </c>
      <c r="G33" s="2" t="s">
        <v>64</v>
      </c>
      <c r="H33" t="s">
        <v>379</v>
      </c>
      <c r="I33" s="6">
        <v>44448</v>
      </c>
      <c r="J33" s="2" t="s">
        <v>7621</v>
      </c>
      <c r="K33" s="2" t="s">
        <v>34</v>
      </c>
      <c r="L33" t="s">
        <v>315</v>
      </c>
      <c r="M33" t="s">
        <v>29</v>
      </c>
      <c r="N33" t="s">
        <v>30</v>
      </c>
      <c r="O33">
        <v>37208</v>
      </c>
      <c r="P33" t="s">
        <v>7622</v>
      </c>
      <c r="Q33" s="2">
        <v>0.41</v>
      </c>
      <c r="R33" s="2">
        <v>71</v>
      </c>
      <c r="S33" s="2">
        <v>213</v>
      </c>
      <c r="T33" t="s">
        <v>7623</v>
      </c>
      <c r="U33" s="6">
        <v>24982</v>
      </c>
      <c r="V33" s="2">
        <v>47037019006</v>
      </c>
      <c r="W33" s="2" t="s">
        <v>68</v>
      </c>
      <c r="X33" s="1">
        <v>45658</v>
      </c>
      <c r="Y33" s="2">
        <v>76000</v>
      </c>
      <c r="Z33" s="2">
        <v>0</v>
      </c>
      <c r="AA33" s="2">
        <v>76000</v>
      </c>
    </row>
    <row r="34" spans="1:27" x14ac:dyDescent="0.3">
      <c r="A34" s="3">
        <v>30</v>
      </c>
      <c r="B34" s="2" t="str">
        <f>"13312012000"</f>
        <v>13312012000</v>
      </c>
      <c r="C34" s="2" t="s">
        <v>7624</v>
      </c>
      <c r="D34" t="s">
        <v>29</v>
      </c>
      <c r="E34" s="2" t="s">
        <v>30</v>
      </c>
      <c r="F34" s="2">
        <v>37211</v>
      </c>
      <c r="G34" s="2" t="s">
        <v>64</v>
      </c>
      <c r="H34" t="s">
        <v>379</v>
      </c>
      <c r="I34" s="6">
        <v>44496</v>
      </c>
      <c r="J34" s="2" t="s">
        <v>7625</v>
      </c>
      <c r="K34" s="2" t="s">
        <v>34</v>
      </c>
      <c r="L34" t="s">
        <v>315</v>
      </c>
      <c r="M34" t="s">
        <v>29</v>
      </c>
      <c r="N34" t="s">
        <v>30</v>
      </c>
      <c r="O34">
        <v>37208</v>
      </c>
      <c r="P34" t="s">
        <v>7626</v>
      </c>
      <c r="Q34" s="2">
        <v>0.28999999999999998</v>
      </c>
      <c r="R34" s="2">
        <v>120</v>
      </c>
      <c r="S34" s="2">
        <v>87</v>
      </c>
      <c r="T34" t="s">
        <v>7627</v>
      </c>
      <c r="U34" s="6">
        <v>27225</v>
      </c>
      <c r="V34" s="2">
        <v>47037019006</v>
      </c>
      <c r="W34" s="2" t="s">
        <v>68</v>
      </c>
      <c r="X34" s="1">
        <v>45658</v>
      </c>
      <c r="Y34" s="2">
        <v>76000</v>
      </c>
      <c r="Z34" s="2">
        <v>0</v>
      </c>
      <c r="AA34" s="2">
        <v>76000</v>
      </c>
    </row>
    <row r="35" spans="1:27" x14ac:dyDescent="0.3">
      <c r="A35" s="3">
        <v>30</v>
      </c>
      <c r="B35" s="2" t="str">
        <f>"13312016800"</f>
        <v>13312016800</v>
      </c>
      <c r="C35" s="2" t="s">
        <v>7628</v>
      </c>
      <c r="D35" t="s">
        <v>29</v>
      </c>
      <c r="E35" s="2" t="s">
        <v>30</v>
      </c>
      <c r="F35" s="2">
        <v>37211</v>
      </c>
      <c r="G35" s="2" t="s">
        <v>64</v>
      </c>
      <c r="H35" t="s">
        <v>379</v>
      </c>
      <c r="I35" s="6">
        <v>44452</v>
      </c>
      <c r="J35" s="2" t="s">
        <v>7629</v>
      </c>
      <c r="K35" s="2" t="s">
        <v>34</v>
      </c>
      <c r="L35" t="s">
        <v>315</v>
      </c>
      <c r="M35" t="s">
        <v>29</v>
      </c>
      <c r="N35" t="s">
        <v>30</v>
      </c>
      <c r="O35">
        <v>37208</v>
      </c>
      <c r="P35" t="s">
        <v>7630</v>
      </c>
      <c r="Q35" s="2">
        <v>0.44</v>
      </c>
      <c r="R35" s="2">
        <v>75</v>
      </c>
      <c r="S35" s="2">
        <v>236</v>
      </c>
      <c r="T35" t="s">
        <v>7631</v>
      </c>
      <c r="U35" s="6">
        <v>24953</v>
      </c>
      <c r="V35" s="2">
        <v>47037019006</v>
      </c>
      <c r="W35" s="2" t="s">
        <v>68</v>
      </c>
      <c r="X35" s="1">
        <v>45658</v>
      </c>
      <c r="Y35" s="2">
        <v>76000</v>
      </c>
      <c r="Z35" s="2">
        <v>0</v>
      </c>
      <c r="AA35" s="2">
        <v>76000</v>
      </c>
    </row>
    <row r="36" spans="1:27" x14ac:dyDescent="0.3">
      <c r="A36" s="3">
        <v>30</v>
      </c>
      <c r="B36" s="2" t="str">
        <f>"13312011900"</f>
        <v>13312011900</v>
      </c>
      <c r="C36" s="2" t="s">
        <v>7632</v>
      </c>
      <c r="D36" t="s">
        <v>29</v>
      </c>
      <c r="E36" s="2" t="s">
        <v>30</v>
      </c>
      <c r="F36" s="2">
        <v>37211</v>
      </c>
      <c r="G36" s="2" t="s">
        <v>64</v>
      </c>
      <c r="H36" t="s">
        <v>379</v>
      </c>
      <c r="I36" s="6">
        <v>44426</v>
      </c>
      <c r="J36" s="2" t="s">
        <v>7633</v>
      </c>
      <c r="K36" s="2" t="s">
        <v>34</v>
      </c>
      <c r="L36" t="s">
        <v>315</v>
      </c>
      <c r="M36" t="s">
        <v>29</v>
      </c>
      <c r="N36" t="s">
        <v>30</v>
      </c>
      <c r="O36">
        <v>37208</v>
      </c>
      <c r="P36" t="s">
        <v>7634</v>
      </c>
      <c r="Q36" s="2">
        <v>0.32</v>
      </c>
      <c r="R36" s="2">
        <v>46</v>
      </c>
      <c r="S36" s="2">
        <v>175</v>
      </c>
      <c r="T36" t="s">
        <v>7635</v>
      </c>
      <c r="U36" s="6">
        <v>25483</v>
      </c>
      <c r="V36" s="2">
        <v>47037019006</v>
      </c>
      <c r="W36" s="2" t="s">
        <v>68</v>
      </c>
      <c r="X36" s="1">
        <v>45658</v>
      </c>
      <c r="Y36" s="2">
        <v>76000</v>
      </c>
      <c r="Z36" s="2">
        <v>0</v>
      </c>
      <c r="AA36" s="2">
        <v>76000</v>
      </c>
    </row>
    <row r="37" spans="1:27" x14ac:dyDescent="0.3">
      <c r="A37" s="3">
        <v>30</v>
      </c>
      <c r="B37" s="2" t="str">
        <f>"13312011800"</f>
        <v>13312011800</v>
      </c>
      <c r="C37" s="2" t="s">
        <v>7636</v>
      </c>
      <c r="D37" t="s">
        <v>29</v>
      </c>
      <c r="E37" s="2" t="s">
        <v>30</v>
      </c>
      <c r="F37" s="2">
        <v>37211</v>
      </c>
      <c r="G37" s="2" t="s">
        <v>64</v>
      </c>
      <c r="H37" t="s">
        <v>379</v>
      </c>
      <c r="I37" s="6">
        <v>44441</v>
      </c>
      <c r="J37" s="2" t="s">
        <v>7637</v>
      </c>
      <c r="K37" s="2">
        <v>0</v>
      </c>
      <c r="L37" t="s">
        <v>315</v>
      </c>
      <c r="M37" t="s">
        <v>29</v>
      </c>
      <c r="N37" t="s">
        <v>30</v>
      </c>
      <c r="O37">
        <v>37208</v>
      </c>
      <c r="P37" t="s">
        <v>7638</v>
      </c>
      <c r="Q37" s="2">
        <v>0.45</v>
      </c>
      <c r="R37" s="2">
        <v>71</v>
      </c>
      <c r="S37" s="2">
        <v>276</v>
      </c>
      <c r="T37" t="s">
        <v>7639</v>
      </c>
      <c r="U37" s="6">
        <v>25190</v>
      </c>
      <c r="V37" s="2">
        <v>47037019006</v>
      </c>
      <c r="W37" s="2" t="s">
        <v>68</v>
      </c>
      <c r="X37" s="1">
        <v>45658</v>
      </c>
      <c r="Y37" s="2">
        <v>76000</v>
      </c>
      <c r="Z37" s="2">
        <v>0</v>
      </c>
      <c r="AA37" s="2">
        <v>76000</v>
      </c>
    </row>
    <row r="38" spans="1:27" x14ac:dyDescent="0.3">
      <c r="A38" s="3">
        <v>30</v>
      </c>
      <c r="B38" s="2" t="str">
        <f>"13311007100"</f>
        <v>13311007100</v>
      </c>
      <c r="C38" s="2" t="s">
        <v>7640</v>
      </c>
      <c r="D38" t="s">
        <v>29</v>
      </c>
      <c r="E38" s="2" t="s">
        <v>30</v>
      </c>
      <c r="F38" s="2">
        <v>37211</v>
      </c>
      <c r="G38" s="2" t="s">
        <v>194</v>
      </c>
      <c r="H38" t="s">
        <v>379</v>
      </c>
      <c r="I38" s="6">
        <v>44775</v>
      </c>
      <c r="J38" s="2" t="s">
        <v>7641</v>
      </c>
      <c r="K38" s="2">
        <v>0</v>
      </c>
      <c r="L38" t="s">
        <v>315</v>
      </c>
      <c r="M38" t="s">
        <v>29</v>
      </c>
      <c r="N38" t="s">
        <v>30</v>
      </c>
      <c r="O38">
        <v>37208</v>
      </c>
      <c r="P38" t="s">
        <v>7642</v>
      </c>
      <c r="Q38" s="2">
        <v>0.27</v>
      </c>
      <c r="R38" s="2">
        <v>82</v>
      </c>
      <c r="S38" s="2">
        <v>93</v>
      </c>
      <c r="T38" t="s">
        <v>7643</v>
      </c>
      <c r="U38" s="6">
        <v>23977</v>
      </c>
      <c r="V38" s="2">
        <v>47037019006</v>
      </c>
      <c r="W38" s="2" t="s">
        <v>68</v>
      </c>
      <c r="X38" s="1">
        <v>45658</v>
      </c>
      <c r="Y38" s="2">
        <v>76000</v>
      </c>
      <c r="Z38" s="2">
        <v>0</v>
      </c>
      <c r="AA38" s="2">
        <v>76000</v>
      </c>
    </row>
    <row r="39" spans="1:27" x14ac:dyDescent="0.3">
      <c r="A39" s="3">
        <v>30</v>
      </c>
      <c r="B39" s="2" t="str">
        <f>"13311007000"</f>
        <v>13311007000</v>
      </c>
      <c r="C39" s="2" t="s">
        <v>7644</v>
      </c>
      <c r="D39" t="s">
        <v>29</v>
      </c>
      <c r="E39" s="2" t="s">
        <v>30</v>
      </c>
      <c r="F39" s="2">
        <v>37211</v>
      </c>
      <c r="G39" s="2" t="s">
        <v>194</v>
      </c>
      <c r="H39" t="s">
        <v>379</v>
      </c>
      <c r="I39" s="6">
        <v>45413</v>
      </c>
      <c r="J39" s="2" t="s">
        <v>7645</v>
      </c>
      <c r="K39" s="2" t="s">
        <v>34</v>
      </c>
      <c r="L39" t="s">
        <v>315</v>
      </c>
      <c r="M39" t="s">
        <v>29</v>
      </c>
      <c r="N39" t="s">
        <v>30</v>
      </c>
      <c r="O39">
        <v>37208</v>
      </c>
      <c r="P39" t="s">
        <v>7646</v>
      </c>
      <c r="Q39" s="2">
        <v>0.24</v>
      </c>
      <c r="R39" s="2">
        <v>82</v>
      </c>
      <c r="S39" s="2">
        <v>154</v>
      </c>
      <c r="T39" t="s">
        <v>7647</v>
      </c>
      <c r="U39" s="6">
        <v>24090</v>
      </c>
      <c r="V39" s="2">
        <v>47037019006</v>
      </c>
      <c r="W39" s="2" t="s">
        <v>68</v>
      </c>
      <c r="X39" s="1">
        <v>45658</v>
      </c>
      <c r="Y39" s="2">
        <v>76000</v>
      </c>
      <c r="Z39" s="2">
        <v>0</v>
      </c>
      <c r="AA39" s="2">
        <v>76000</v>
      </c>
    </row>
    <row r="40" spans="1:27" x14ac:dyDescent="0.3">
      <c r="A40" s="3">
        <v>30</v>
      </c>
      <c r="B40" s="2" t="str">
        <f>"14806001300"</f>
        <v>14806001300</v>
      </c>
      <c r="C40" s="2" t="s">
        <v>7648</v>
      </c>
      <c r="D40" t="s">
        <v>29</v>
      </c>
      <c r="E40" s="2" t="s">
        <v>30</v>
      </c>
      <c r="F40" s="2">
        <v>37211</v>
      </c>
      <c r="G40" s="2" t="s">
        <v>64</v>
      </c>
      <c r="H40" t="s">
        <v>379</v>
      </c>
      <c r="I40" s="6">
        <v>44356</v>
      </c>
      <c r="J40" s="2" t="s">
        <v>7649</v>
      </c>
      <c r="K40" s="2" t="s">
        <v>34</v>
      </c>
      <c r="L40" t="s">
        <v>315</v>
      </c>
      <c r="M40" t="s">
        <v>29</v>
      </c>
      <c r="N40" t="s">
        <v>30</v>
      </c>
      <c r="O40">
        <v>37208</v>
      </c>
      <c r="P40" t="s">
        <v>7650</v>
      </c>
      <c r="Q40" s="2">
        <v>1.07</v>
      </c>
      <c r="R40" s="2">
        <v>330</v>
      </c>
      <c r="S40" s="2">
        <v>210</v>
      </c>
      <c r="T40" t="s">
        <v>7651</v>
      </c>
      <c r="U40" s="6">
        <v>26619</v>
      </c>
      <c r="V40" s="2">
        <v>47037019003</v>
      </c>
      <c r="W40" s="2" t="s">
        <v>68</v>
      </c>
      <c r="X40" s="1">
        <v>45658</v>
      </c>
      <c r="Y40" s="2">
        <v>105900</v>
      </c>
      <c r="Z40" s="2">
        <v>0</v>
      </c>
      <c r="AA40" s="2">
        <v>105900</v>
      </c>
    </row>
    <row r="41" spans="1:27" x14ac:dyDescent="0.3">
      <c r="A41" s="3">
        <v>30</v>
      </c>
      <c r="B41" s="2" t="str">
        <f>"13311006100"</f>
        <v>13311006100</v>
      </c>
      <c r="C41" s="2" t="s">
        <v>7652</v>
      </c>
      <c r="D41" t="s">
        <v>29</v>
      </c>
      <c r="E41" s="2" t="s">
        <v>30</v>
      </c>
      <c r="F41" s="2">
        <v>37211</v>
      </c>
      <c r="G41" s="2" t="s">
        <v>194</v>
      </c>
      <c r="H41" t="s">
        <v>379</v>
      </c>
      <c r="I41" s="6">
        <v>44715</v>
      </c>
      <c r="J41" s="2" t="s">
        <v>7653</v>
      </c>
      <c r="K41" s="2" t="s">
        <v>34</v>
      </c>
      <c r="L41" t="s">
        <v>315</v>
      </c>
      <c r="M41" t="s">
        <v>29</v>
      </c>
      <c r="N41" t="s">
        <v>30</v>
      </c>
      <c r="O41">
        <v>37208</v>
      </c>
      <c r="P41" t="s">
        <v>7654</v>
      </c>
      <c r="Q41" s="2">
        <v>0.26</v>
      </c>
      <c r="R41" s="2">
        <v>77</v>
      </c>
      <c r="S41" s="2">
        <v>134</v>
      </c>
      <c r="T41" t="s">
        <v>7655</v>
      </c>
      <c r="U41" s="6">
        <v>25853</v>
      </c>
      <c r="V41" s="2">
        <v>47037019006</v>
      </c>
      <c r="W41" s="2" t="s">
        <v>68</v>
      </c>
      <c r="X41" s="1">
        <v>45658</v>
      </c>
      <c r="Y41" s="2">
        <v>76000</v>
      </c>
      <c r="Z41" s="2">
        <v>0</v>
      </c>
      <c r="AA41" s="2">
        <v>76000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1542-1E3F-4139-8BD5-58FADF78B685}">
  <sheetPr>
    <tabColor rgb="FF002060"/>
  </sheetPr>
  <dimension ref="A1:AA38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31</v>
      </c>
      <c r="B2" s="2" t="str">
        <f>"17300004500"</f>
        <v>17300004500</v>
      </c>
      <c r="C2" s="2" t="s">
        <v>7656</v>
      </c>
      <c r="D2" t="s">
        <v>1945</v>
      </c>
      <c r="E2" s="2" t="s">
        <v>30</v>
      </c>
      <c r="F2" s="2">
        <v>37013</v>
      </c>
      <c r="G2" s="2" t="s">
        <v>31</v>
      </c>
      <c r="H2" t="s">
        <v>32</v>
      </c>
      <c r="I2" s="6">
        <v>36384</v>
      </c>
      <c r="J2" s="2" t="s">
        <v>7657</v>
      </c>
      <c r="K2" s="2">
        <v>425000</v>
      </c>
      <c r="L2" t="s">
        <v>35</v>
      </c>
      <c r="M2" t="s">
        <v>29</v>
      </c>
      <c r="N2" t="s">
        <v>30</v>
      </c>
      <c r="O2">
        <v>37219</v>
      </c>
      <c r="P2" t="s">
        <v>7658</v>
      </c>
      <c r="Q2" s="2">
        <v>15.83</v>
      </c>
      <c r="R2" s="2">
        <v>0</v>
      </c>
      <c r="S2" s="2">
        <v>0</v>
      </c>
      <c r="T2" t="s">
        <v>7659</v>
      </c>
      <c r="U2" s="6">
        <v>29524</v>
      </c>
      <c r="V2" s="2">
        <v>47037019112</v>
      </c>
      <c r="W2" s="2" t="s">
        <v>837</v>
      </c>
      <c r="X2" s="1">
        <v>45658</v>
      </c>
      <c r="Y2" s="2">
        <v>780300</v>
      </c>
      <c r="Z2" s="2">
        <v>0</v>
      </c>
      <c r="AA2" s="2">
        <v>780300</v>
      </c>
    </row>
    <row r="3" spans="1:27" x14ac:dyDescent="0.3">
      <c r="A3" s="3">
        <v>31</v>
      </c>
      <c r="B3" s="2" t="str">
        <f>"17400000700"</f>
        <v>17400000700</v>
      </c>
      <c r="C3" s="2" t="s">
        <v>7660</v>
      </c>
      <c r="D3" t="s">
        <v>1945</v>
      </c>
      <c r="E3" s="2" t="s">
        <v>30</v>
      </c>
      <c r="F3" s="2">
        <v>37013</v>
      </c>
      <c r="G3" s="2" t="s">
        <v>31</v>
      </c>
      <c r="H3" t="s">
        <v>32</v>
      </c>
      <c r="I3" s="6">
        <v>41787</v>
      </c>
      <c r="J3" s="2" t="s">
        <v>7661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7662</v>
      </c>
      <c r="Q3" s="2">
        <v>44.07</v>
      </c>
      <c r="R3" s="2">
        <v>0</v>
      </c>
      <c r="S3" s="2">
        <v>0</v>
      </c>
      <c r="T3" t="s">
        <v>7663</v>
      </c>
      <c r="U3" s="6">
        <v>29817</v>
      </c>
      <c r="V3" s="2">
        <v>47037019114</v>
      </c>
      <c r="W3" s="2" t="s">
        <v>38</v>
      </c>
      <c r="X3" s="1">
        <v>45658</v>
      </c>
      <c r="Y3" s="2">
        <v>341300</v>
      </c>
      <c r="Z3" s="2">
        <v>0</v>
      </c>
      <c r="AA3" s="2">
        <v>341300</v>
      </c>
    </row>
    <row r="4" spans="1:27" x14ac:dyDescent="0.3">
      <c r="A4" s="3">
        <v>31</v>
      </c>
      <c r="B4" s="2" t="str">
        <f>"17300009600"</f>
        <v>17300009600</v>
      </c>
      <c r="C4" s="2" t="s">
        <v>7664</v>
      </c>
      <c r="D4" t="s">
        <v>1945</v>
      </c>
      <c r="E4" s="2" t="s">
        <v>30</v>
      </c>
      <c r="F4" s="2">
        <v>37013</v>
      </c>
      <c r="G4" s="2" t="s">
        <v>31</v>
      </c>
      <c r="H4" t="s">
        <v>32</v>
      </c>
      <c r="I4" s="6">
        <v>41787</v>
      </c>
      <c r="J4" s="2" t="s">
        <v>7661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7665</v>
      </c>
      <c r="Q4" s="2">
        <v>13.1</v>
      </c>
      <c r="R4" s="2">
        <v>0</v>
      </c>
      <c r="S4" s="2">
        <v>0</v>
      </c>
      <c r="T4" t="s">
        <v>7666</v>
      </c>
      <c r="U4" s="6">
        <v>26022</v>
      </c>
      <c r="V4" s="2">
        <v>47037019114</v>
      </c>
      <c r="W4" s="2" t="s">
        <v>38</v>
      </c>
      <c r="X4" s="1">
        <v>45658</v>
      </c>
      <c r="Y4" s="2">
        <v>380100</v>
      </c>
      <c r="Z4" s="2">
        <v>0</v>
      </c>
      <c r="AA4" s="2">
        <v>380100</v>
      </c>
    </row>
    <row r="5" spans="1:27" x14ac:dyDescent="0.3">
      <c r="A5" s="3">
        <v>31</v>
      </c>
      <c r="B5" s="2" t="str">
        <f>"17300009500"</f>
        <v>17300009500</v>
      </c>
      <c r="C5" s="2" t="s">
        <v>7667</v>
      </c>
      <c r="D5" t="s">
        <v>1945</v>
      </c>
      <c r="E5" s="2" t="s">
        <v>30</v>
      </c>
      <c r="F5" s="2">
        <v>37013</v>
      </c>
      <c r="G5" s="2" t="s">
        <v>64</v>
      </c>
      <c r="H5" t="s">
        <v>32</v>
      </c>
      <c r="I5" s="6">
        <v>41787</v>
      </c>
      <c r="J5" s="2" t="s">
        <v>7661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7665</v>
      </c>
      <c r="Q5" s="2">
        <v>3</v>
      </c>
      <c r="R5" s="2">
        <v>0</v>
      </c>
      <c r="S5" s="2">
        <v>0</v>
      </c>
      <c r="T5" t="s">
        <v>7668</v>
      </c>
      <c r="U5" s="6">
        <v>23984</v>
      </c>
      <c r="V5" s="2">
        <v>47037019114</v>
      </c>
      <c r="W5" s="2" t="s">
        <v>38</v>
      </c>
      <c r="X5" s="1">
        <v>45658</v>
      </c>
      <c r="Y5" s="2">
        <v>183900</v>
      </c>
      <c r="Z5" s="2">
        <v>0</v>
      </c>
      <c r="AA5" s="2">
        <v>183900</v>
      </c>
    </row>
    <row r="6" spans="1:27" x14ac:dyDescent="0.3">
      <c r="A6" s="3">
        <v>31</v>
      </c>
      <c r="B6" s="2" t="str">
        <f>"17400012100"</f>
        <v>17400012100</v>
      </c>
      <c r="C6" s="2" t="s">
        <v>7669</v>
      </c>
      <c r="D6" t="s">
        <v>1945</v>
      </c>
      <c r="E6" s="2" t="s">
        <v>30</v>
      </c>
      <c r="F6" s="2">
        <v>37013</v>
      </c>
      <c r="G6" s="2" t="s">
        <v>31</v>
      </c>
      <c r="H6" t="s">
        <v>32</v>
      </c>
      <c r="I6" s="6">
        <v>42257</v>
      </c>
      <c r="J6" s="2" t="s">
        <v>7670</v>
      </c>
      <c r="K6" s="2">
        <v>0</v>
      </c>
      <c r="L6" t="s">
        <v>35</v>
      </c>
      <c r="M6" t="s">
        <v>29</v>
      </c>
      <c r="N6" t="s">
        <v>30</v>
      </c>
      <c r="O6">
        <v>37219</v>
      </c>
      <c r="P6" t="s">
        <v>7671</v>
      </c>
      <c r="Q6" s="2">
        <v>7.34</v>
      </c>
      <c r="R6" s="2">
        <v>0</v>
      </c>
      <c r="S6" s="2">
        <v>0</v>
      </c>
      <c r="T6" t="s">
        <v>7672</v>
      </c>
      <c r="U6" s="6">
        <v>29280</v>
      </c>
      <c r="V6" s="2">
        <v>47037019114</v>
      </c>
      <c r="W6" s="2" t="s">
        <v>38</v>
      </c>
      <c r="X6" s="1">
        <v>45658</v>
      </c>
      <c r="Y6" s="2">
        <v>116900</v>
      </c>
      <c r="Z6" s="2">
        <v>0</v>
      </c>
      <c r="AA6" s="2">
        <v>116900</v>
      </c>
    </row>
    <row r="7" spans="1:27" x14ac:dyDescent="0.3">
      <c r="A7" s="3">
        <v>31</v>
      </c>
      <c r="B7" s="2" t="str">
        <f>"17400007200"</f>
        <v>17400007200</v>
      </c>
      <c r="C7" s="2" t="s">
        <v>7673</v>
      </c>
      <c r="D7" t="s">
        <v>1945</v>
      </c>
      <c r="E7" s="2" t="s">
        <v>30</v>
      </c>
      <c r="F7" s="2">
        <v>37013</v>
      </c>
      <c r="G7" s="2" t="s">
        <v>31</v>
      </c>
      <c r="H7" t="s">
        <v>32</v>
      </c>
      <c r="I7" s="6">
        <v>42257</v>
      </c>
      <c r="J7" s="2" t="s">
        <v>7670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7674</v>
      </c>
      <c r="Q7" s="2">
        <v>4.22</v>
      </c>
      <c r="R7" s="2">
        <v>0</v>
      </c>
      <c r="S7" s="2">
        <v>0</v>
      </c>
      <c r="T7" t="s">
        <v>7675</v>
      </c>
      <c r="U7" s="6">
        <v>26386</v>
      </c>
      <c r="V7" s="2">
        <v>47037019114</v>
      </c>
      <c r="W7" s="2" t="s">
        <v>38</v>
      </c>
      <c r="X7" s="1">
        <v>45658</v>
      </c>
      <c r="Y7" s="2">
        <v>84700</v>
      </c>
      <c r="Z7" s="2">
        <v>0</v>
      </c>
      <c r="AA7" s="2">
        <v>84700</v>
      </c>
    </row>
    <row r="8" spans="1:27" x14ac:dyDescent="0.3">
      <c r="A8" s="3">
        <v>31</v>
      </c>
      <c r="B8" s="2" t="str">
        <f>"18100001900"</f>
        <v>18100001900</v>
      </c>
      <c r="C8" s="2" t="s">
        <v>7676</v>
      </c>
      <c r="D8" t="s">
        <v>1945</v>
      </c>
      <c r="E8" s="2" t="s">
        <v>30</v>
      </c>
      <c r="F8" s="2">
        <v>37013</v>
      </c>
      <c r="G8" s="2" t="s">
        <v>64</v>
      </c>
      <c r="H8" t="s">
        <v>32</v>
      </c>
      <c r="I8" s="6">
        <v>41528</v>
      </c>
      <c r="J8" s="2" t="s">
        <v>7677</v>
      </c>
      <c r="K8" s="2">
        <v>0</v>
      </c>
      <c r="L8" t="s">
        <v>35</v>
      </c>
      <c r="M8" t="s">
        <v>29</v>
      </c>
      <c r="N8" t="s">
        <v>30</v>
      </c>
      <c r="O8">
        <v>37219</v>
      </c>
      <c r="P8" t="s">
        <v>7678</v>
      </c>
      <c r="Q8" s="2">
        <v>8.25</v>
      </c>
      <c r="R8" s="2">
        <v>140</v>
      </c>
      <c r="S8" s="2">
        <v>0</v>
      </c>
      <c r="T8" t="s">
        <v>7679</v>
      </c>
      <c r="U8" s="6">
        <v>38835</v>
      </c>
      <c r="V8" s="2">
        <v>47037019114</v>
      </c>
      <c r="W8" s="2" t="s">
        <v>38</v>
      </c>
      <c r="X8" s="1">
        <v>45658</v>
      </c>
      <c r="Y8" s="2">
        <v>371300</v>
      </c>
      <c r="Z8" s="2">
        <v>0</v>
      </c>
      <c r="AA8" s="2">
        <v>371300</v>
      </c>
    </row>
    <row r="9" spans="1:27" x14ac:dyDescent="0.3">
      <c r="A9" s="3">
        <v>31</v>
      </c>
      <c r="B9" s="2" t="str">
        <f>"18100029100"</f>
        <v>18100029100</v>
      </c>
      <c r="C9" s="2" t="s">
        <v>7680</v>
      </c>
      <c r="D9" t="s">
        <v>1945</v>
      </c>
      <c r="E9" s="2" t="s">
        <v>30</v>
      </c>
      <c r="F9" s="2">
        <v>37013</v>
      </c>
      <c r="G9" s="2" t="s">
        <v>64</v>
      </c>
      <c r="H9" t="s">
        <v>32</v>
      </c>
      <c r="I9" s="6">
        <v>41528</v>
      </c>
      <c r="J9" s="2" t="s">
        <v>7681</v>
      </c>
      <c r="K9" s="2">
        <v>0</v>
      </c>
      <c r="L9" t="s">
        <v>35</v>
      </c>
      <c r="M9" t="s">
        <v>29</v>
      </c>
      <c r="N9" t="s">
        <v>30</v>
      </c>
      <c r="O9">
        <v>37219</v>
      </c>
      <c r="P9" t="s">
        <v>7682</v>
      </c>
      <c r="Q9" s="2">
        <v>6.99</v>
      </c>
      <c r="R9" s="2">
        <v>104</v>
      </c>
      <c r="S9" s="2">
        <v>0</v>
      </c>
      <c r="T9" t="s">
        <v>7681</v>
      </c>
      <c r="U9" s="6">
        <v>41528</v>
      </c>
      <c r="V9" s="2">
        <v>47037019114</v>
      </c>
      <c r="W9" s="2" t="s">
        <v>38</v>
      </c>
      <c r="X9" s="1">
        <v>45658</v>
      </c>
      <c r="Y9" s="2">
        <v>816000</v>
      </c>
      <c r="Z9" s="2">
        <v>0</v>
      </c>
      <c r="AA9" s="2">
        <v>816000</v>
      </c>
    </row>
    <row r="10" spans="1:27" x14ac:dyDescent="0.3">
      <c r="A10" s="3">
        <v>31</v>
      </c>
      <c r="B10" s="2" t="str">
        <f>"17300023800"</f>
        <v>17300023800</v>
      </c>
      <c r="C10" s="2" t="s">
        <v>7683</v>
      </c>
      <c r="D10" t="s">
        <v>1945</v>
      </c>
      <c r="E10" s="2" t="s">
        <v>30</v>
      </c>
      <c r="F10" s="2">
        <v>37013</v>
      </c>
      <c r="G10" s="2" t="s">
        <v>31</v>
      </c>
      <c r="H10" t="s">
        <v>32</v>
      </c>
      <c r="I10" s="6">
        <v>41218</v>
      </c>
      <c r="J10" s="2" t="s">
        <v>7684</v>
      </c>
      <c r="K10" s="2">
        <v>0</v>
      </c>
      <c r="L10" t="s">
        <v>35</v>
      </c>
      <c r="M10" t="s">
        <v>29</v>
      </c>
      <c r="N10" t="s">
        <v>30</v>
      </c>
      <c r="O10">
        <v>37219</v>
      </c>
      <c r="P10" t="s">
        <v>7685</v>
      </c>
      <c r="Q10" s="2">
        <v>0.39</v>
      </c>
      <c r="R10" s="2">
        <v>0</v>
      </c>
      <c r="S10" s="2">
        <v>0</v>
      </c>
      <c r="T10" t="s">
        <v>7684</v>
      </c>
      <c r="U10" s="6">
        <v>41218</v>
      </c>
      <c r="V10" s="2">
        <v>47037019114</v>
      </c>
      <c r="W10" s="2" t="s">
        <v>38</v>
      </c>
      <c r="X10" s="1">
        <v>45658</v>
      </c>
      <c r="Y10" s="2">
        <v>3300</v>
      </c>
      <c r="Z10" s="2">
        <v>0</v>
      </c>
      <c r="AA10" s="2">
        <v>3300</v>
      </c>
    </row>
    <row r="11" spans="1:27" x14ac:dyDescent="0.3">
      <c r="A11" s="3">
        <v>31</v>
      </c>
      <c r="B11" s="2" t="str">
        <f>"17400011800"</f>
        <v>17400011800</v>
      </c>
      <c r="C11" s="2" t="s">
        <v>7686</v>
      </c>
      <c r="D11" t="s">
        <v>1945</v>
      </c>
      <c r="E11" s="2" t="s">
        <v>30</v>
      </c>
      <c r="F11" s="2">
        <v>37013</v>
      </c>
      <c r="G11" s="2" t="s">
        <v>31</v>
      </c>
      <c r="H11" t="s">
        <v>32</v>
      </c>
      <c r="I11" s="6">
        <v>42257</v>
      </c>
      <c r="J11" s="2" t="s">
        <v>7670</v>
      </c>
      <c r="K11" s="2">
        <v>0</v>
      </c>
      <c r="L11" t="s">
        <v>35</v>
      </c>
      <c r="M11" t="s">
        <v>29</v>
      </c>
      <c r="N11" t="s">
        <v>30</v>
      </c>
      <c r="O11">
        <v>37219</v>
      </c>
      <c r="P11" t="s">
        <v>7687</v>
      </c>
      <c r="Q11" s="2">
        <v>7.94</v>
      </c>
      <c r="R11" s="2">
        <v>0</v>
      </c>
      <c r="S11" s="2">
        <v>0</v>
      </c>
      <c r="T11" t="s">
        <v>7688</v>
      </c>
      <c r="U11" s="6">
        <v>29028</v>
      </c>
      <c r="V11" s="2">
        <v>47037019114</v>
      </c>
      <c r="W11" s="2" t="s">
        <v>38</v>
      </c>
      <c r="X11" s="1">
        <v>45658</v>
      </c>
      <c r="Y11" s="2">
        <v>201600</v>
      </c>
      <c r="Z11" s="2">
        <v>0</v>
      </c>
      <c r="AA11" s="2">
        <v>201600</v>
      </c>
    </row>
    <row r="12" spans="1:27" x14ac:dyDescent="0.3">
      <c r="A12" s="3">
        <v>31</v>
      </c>
      <c r="B12" s="2" t="str">
        <f>"17400011900"</f>
        <v>17400011900</v>
      </c>
      <c r="C12" s="2" t="s">
        <v>7669</v>
      </c>
      <c r="D12" t="s">
        <v>1945</v>
      </c>
      <c r="E12" s="2" t="s">
        <v>30</v>
      </c>
      <c r="F12" s="2">
        <v>37013</v>
      </c>
      <c r="G12" s="2" t="s">
        <v>31</v>
      </c>
      <c r="H12" t="s">
        <v>32</v>
      </c>
      <c r="I12" s="6">
        <v>42257</v>
      </c>
      <c r="J12" s="2" t="s">
        <v>7670</v>
      </c>
      <c r="K12" s="2">
        <v>0</v>
      </c>
      <c r="L12" t="s">
        <v>35</v>
      </c>
      <c r="M12" t="s">
        <v>29</v>
      </c>
      <c r="N12" t="s">
        <v>30</v>
      </c>
      <c r="O12">
        <v>37219</v>
      </c>
      <c r="P12" t="s">
        <v>7689</v>
      </c>
      <c r="Q12" s="2">
        <v>2.54</v>
      </c>
      <c r="R12" s="2">
        <v>0</v>
      </c>
      <c r="S12" s="2">
        <v>0</v>
      </c>
      <c r="T12" t="s">
        <v>7690</v>
      </c>
      <c r="U12" s="6">
        <v>17458</v>
      </c>
      <c r="V12" s="2">
        <v>47037019114</v>
      </c>
      <c r="W12" s="2" t="s">
        <v>38</v>
      </c>
      <c r="X12" s="1">
        <v>45658</v>
      </c>
      <c r="Y12" s="2">
        <v>64300</v>
      </c>
      <c r="Z12" s="2">
        <v>0</v>
      </c>
      <c r="AA12" s="2">
        <v>64300</v>
      </c>
    </row>
    <row r="13" spans="1:27" x14ac:dyDescent="0.3">
      <c r="A13" s="3">
        <v>31</v>
      </c>
      <c r="B13" s="2" t="str">
        <f>"16210020100"</f>
        <v>16210020100</v>
      </c>
      <c r="C13" s="2" t="s">
        <v>7691</v>
      </c>
      <c r="D13" t="s">
        <v>1945</v>
      </c>
      <c r="E13" s="2" t="s">
        <v>30</v>
      </c>
      <c r="F13" s="2">
        <v>37013</v>
      </c>
      <c r="G13" s="2" t="s">
        <v>194</v>
      </c>
      <c r="H13" t="s">
        <v>7692</v>
      </c>
      <c r="I13" s="6">
        <v>44817</v>
      </c>
      <c r="J13" s="2" t="s">
        <v>7693</v>
      </c>
      <c r="K13" s="2">
        <v>0</v>
      </c>
      <c r="L13" t="s">
        <v>1104</v>
      </c>
      <c r="M13" t="s">
        <v>29</v>
      </c>
      <c r="N13" t="s">
        <v>30</v>
      </c>
      <c r="O13">
        <v>37208</v>
      </c>
      <c r="P13" t="s">
        <v>7694</v>
      </c>
      <c r="Q13" s="2">
        <v>0.24</v>
      </c>
      <c r="R13" s="2">
        <v>76</v>
      </c>
      <c r="S13" s="2">
        <v>160</v>
      </c>
      <c r="T13" t="s">
        <v>7695</v>
      </c>
      <c r="U13" s="6">
        <v>28268</v>
      </c>
      <c r="V13" s="2">
        <v>47037019110</v>
      </c>
      <c r="W13" s="2" t="s">
        <v>68</v>
      </c>
      <c r="X13" s="1">
        <v>45658</v>
      </c>
      <c r="Y13" s="2">
        <v>69000</v>
      </c>
      <c r="Z13" s="2">
        <v>0</v>
      </c>
      <c r="AA13" s="2">
        <v>69000</v>
      </c>
    </row>
    <row r="14" spans="1:27" x14ac:dyDescent="0.3">
      <c r="A14" s="3">
        <v>31</v>
      </c>
      <c r="B14" s="2" t="str">
        <f>"16213010900"</f>
        <v>16213010900</v>
      </c>
      <c r="C14" s="2" t="s">
        <v>7696</v>
      </c>
      <c r="D14" t="s">
        <v>1945</v>
      </c>
      <c r="E14" s="2" t="s">
        <v>30</v>
      </c>
      <c r="F14" s="2">
        <v>37013</v>
      </c>
      <c r="G14" s="2" t="s">
        <v>64</v>
      </c>
      <c r="H14" t="s">
        <v>99</v>
      </c>
      <c r="I14" s="6">
        <v>43290</v>
      </c>
      <c r="J14" s="2" t="s">
        <v>7697</v>
      </c>
      <c r="K14" s="2">
        <v>507</v>
      </c>
      <c r="L14" t="s">
        <v>893</v>
      </c>
      <c r="M14" t="s">
        <v>29</v>
      </c>
      <c r="N14" t="s">
        <v>30</v>
      </c>
      <c r="O14">
        <v>37219</v>
      </c>
      <c r="P14" t="s">
        <v>7698</v>
      </c>
      <c r="Q14" s="2">
        <v>0.05</v>
      </c>
      <c r="R14" s="2">
        <v>33</v>
      </c>
      <c r="S14" s="2">
        <v>163</v>
      </c>
      <c r="T14" t="s">
        <v>7699</v>
      </c>
      <c r="U14" s="6">
        <v>26648</v>
      </c>
      <c r="V14" s="2">
        <v>47037019112</v>
      </c>
      <c r="W14" s="2" t="s">
        <v>68</v>
      </c>
      <c r="X14" s="1">
        <v>45658</v>
      </c>
      <c r="Y14" s="2">
        <v>1500</v>
      </c>
      <c r="Z14" s="2">
        <v>0</v>
      </c>
      <c r="AA14" s="2">
        <v>1500</v>
      </c>
    </row>
    <row r="15" spans="1:27" x14ac:dyDescent="0.3">
      <c r="A15" s="3">
        <v>31</v>
      </c>
      <c r="B15" s="2" t="str">
        <f>"16200003900"</f>
        <v>16200003900</v>
      </c>
      <c r="C15" s="2" t="s">
        <v>7700</v>
      </c>
      <c r="D15" t="s">
        <v>29</v>
      </c>
      <c r="E15" s="2" t="s">
        <v>30</v>
      </c>
      <c r="F15" s="2">
        <v>37211</v>
      </c>
      <c r="G15" s="2" t="s">
        <v>152</v>
      </c>
      <c r="H15" t="s">
        <v>176</v>
      </c>
      <c r="I15" s="6">
        <v>22755</v>
      </c>
      <c r="J15" s="2" t="s">
        <v>7701</v>
      </c>
      <c r="K15" s="2" t="s">
        <v>34</v>
      </c>
      <c r="L15" t="s">
        <v>178</v>
      </c>
      <c r="M15" t="s">
        <v>29</v>
      </c>
      <c r="N15" t="s">
        <v>30</v>
      </c>
      <c r="O15">
        <v>37246</v>
      </c>
      <c r="P15" t="s">
        <v>7702</v>
      </c>
      <c r="Q15" s="2">
        <v>5.22</v>
      </c>
      <c r="R15" s="2">
        <v>0</v>
      </c>
      <c r="S15" s="2">
        <v>0</v>
      </c>
      <c r="T15" t="s">
        <v>7701</v>
      </c>
      <c r="U15" s="6">
        <v>22755</v>
      </c>
      <c r="V15" s="2">
        <v>47037019110</v>
      </c>
      <c r="W15" s="2" t="s">
        <v>68</v>
      </c>
      <c r="X15" s="1">
        <v>45658</v>
      </c>
      <c r="Y15" s="2">
        <v>392500</v>
      </c>
      <c r="Z15" s="2">
        <v>0</v>
      </c>
      <c r="AA15" s="2">
        <v>392500</v>
      </c>
    </row>
    <row r="16" spans="1:27" x14ac:dyDescent="0.3">
      <c r="A16" s="3">
        <v>31</v>
      </c>
      <c r="B16" s="2" t="str">
        <f>"16206019700"</f>
        <v>16206019700</v>
      </c>
      <c r="C16" s="2" t="s">
        <v>7703</v>
      </c>
      <c r="D16" t="s">
        <v>29</v>
      </c>
      <c r="E16" s="2" t="s">
        <v>30</v>
      </c>
      <c r="F16" s="2">
        <v>37211</v>
      </c>
      <c r="G16" s="2" t="s">
        <v>64</v>
      </c>
      <c r="H16" t="s">
        <v>211</v>
      </c>
      <c r="I16" s="6">
        <v>29230</v>
      </c>
      <c r="J16" s="2" t="s">
        <v>7704</v>
      </c>
      <c r="K16" s="2">
        <v>350</v>
      </c>
      <c r="L16" t="s">
        <v>35</v>
      </c>
      <c r="M16" t="s">
        <v>29</v>
      </c>
      <c r="N16" t="s">
        <v>30</v>
      </c>
      <c r="O16">
        <v>37219</v>
      </c>
      <c r="P16" t="s">
        <v>7705</v>
      </c>
      <c r="Q16" s="2">
        <v>0.16</v>
      </c>
      <c r="R16" s="2">
        <v>71</v>
      </c>
      <c r="S16" s="2">
        <v>144</v>
      </c>
      <c r="T16" t="s">
        <v>7706</v>
      </c>
      <c r="U16" s="6">
        <v>24755</v>
      </c>
      <c r="V16" s="2">
        <v>47037019110</v>
      </c>
      <c r="W16" s="2" t="s">
        <v>68</v>
      </c>
      <c r="X16" s="1">
        <v>45658</v>
      </c>
      <c r="Y16" s="2">
        <v>9000</v>
      </c>
      <c r="Z16" s="2">
        <v>0</v>
      </c>
      <c r="AA16" s="2">
        <v>9000</v>
      </c>
    </row>
    <row r="17" spans="1:27" x14ac:dyDescent="0.3">
      <c r="A17" s="3">
        <v>31</v>
      </c>
      <c r="B17" s="2" t="str">
        <f>"16206019800"</f>
        <v>16206019800</v>
      </c>
      <c r="C17" s="2" t="s">
        <v>7707</v>
      </c>
      <c r="D17" t="s">
        <v>29</v>
      </c>
      <c r="E17" s="2" t="s">
        <v>30</v>
      </c>
      <c r="F17" s="2">
        <v>37211</v>
      </c>
      <c r="G17" s="2" t="s">
        <v>64</v>
      </c>
      <c r="H17" t="s">
        <v>211</v>
      </c>
      <c r="I17" s="6">
        <v>29230</v>
      </c>
      <c r="J17" s="2" t="s">
        <v>7708</v>
      </c>
      <c r="K17" s="2">
        <v>346</v>
      </c>
      <c r="L17" t="s">
        <v>35</v>
      </c>
      <c r="M17" t="s">
        <v>29</v>
      </c>
      <c r="N17" t="s">
        <v>30</v>
      </c>
      <c r="O17">
        <v>37219</v>
      </c>
      <c r="P17" t="s">
        <v>7709</v>
      </c>
      <c r="Q17" s="2">
        <v>0.25</v>
      </c>
      <c r="R17" s="2">
        <v>70</v>
      </c>
      <c r="S17" s="2">
        <v>144</v>
      </c>
      <c r="T17" t="s">
        <v>7706</v>
      </c>
      <c r="U17" s="6">
        <v>24755</v>
      </c>
      <c r="V17" s="2">
        <v>47037019110</v>
      </c>
      <c r="W17" s="2" t="s">
        <v>68</v>
      </c>
      <c r="X17" s="1">
        <v>45658</v>
      </c>
      <c r="Y17" s="2">
        <v>10000</v>
      </c>
      <c r="Z17" s="2">
        <v>0</v>
      </c>
      <c r="AA17" s="2">
        <v>10000</v>
      </c>
    </row>
    <row r="18" spans="1:27" x14ac:dyDescent="0.3">
      <c r="A18" s="3">
        <v>31</v>
      </c>
      <c r="B18" s="2" t="str">
        <f>"16206019900"</f>
        <v>16206019900</v>
      </c>
      <c r="C18" s="2" t="s">
        <v>7710</v>
      </c>
      <c r="D18" t="s">
        <v>29</v>
      </c>
      <c r="E18" s="2" t="s">
        <v>30</v>
      </c>
      <c r="F18" s="2">
        <v>37211</v>
      </c>
      <c r="G18" s="2" t="s">
        <v>64</v>
      </c>
      <c r="H18" t="s">
        <v>211</v>
      </c>
      <c r="I18" s="6">
        <v>29230</v>
      </c>
      <c r="J18" s="2" t="s">
        <v>7711</v>
      </c>
      <c r="K18" s="2">
        <v>356</v>
      </c>
      <c r="L18" t="s">
        <v>35</v>
      </c>
      <c r="M18" t="s">
        <v>29</v>
      </c>
      <c r="N18" t="s">
        <v>30</v>
      </c>
      <c r="O18">
        <v>37219</v>
      </c>
      <c r="P18" t="s">
        <v>7712</v>
      </c>
      <c r="Q18" s="2">
        <v>0.25</v>
      </c>
      <c r="R18" s="2">
        <v>73</v>
      </c>
      <c r="S18" s="2">
        <v>144</v>
      </c>
      <c r="T18" t="s">
        <v>7706</v>
      </c>
      <c r="U18" s="6">
        <v>24755</v>
      </c>
      <c r="V18" s="2">
        <v>47037019110</v>
      </c>
      <c r="W18" s="2" t="s">
        <v>68</v>
      </c>
      <c r="X18" s="1">
        <v>45658</v>
      </c>
      <c r="Y18" s="2">
        <v>10000</v>
      </c>
      <c r="Z18" s="2">
        <v>0</v>
      </c>
      <c r="AA18" s="2">
        <v>10000</v>
      </c>
    </row>
    <row r="19" spans="1:27" x14ac:dyDescent="0.3">
      <c r="A19" s="3">
        <v>31</v>
      </c>
      <c r="B19" s="2" t="str">
        <f>"16206020000"</f>
        <v>16206020000</v>
      </c>
      <c r="C19" s="2" t="s">
        <v>7713</v>
      </c>
      <c r="D19" t="s">
        <v>29</v>
      </c>
      <c r="E19" s="2" t="s">
        <v>30</v>
      </c>
      <c r="F19" s="2">
        <v>37211</v>
      </c>
      <c r="G19" s="2" t="s">
        <v>64</v>
      </c>
      <c r="H19" t="s">
        <v>211</v>
      </c>
      <c r="I19" s="6">
        <v>29230</v>
      </c>
      <c r="J19" s="2" t="s">
        <v>7714</v>
      </c>
      <c r="K19" s="2">
        <v>370</v>
      </c>
      <c r="L19" t="s">
        <v>35</v>
      </c>
      <c r="M19" t="s">
        <v>29</v>
      </c>
      <c r="N19" t="s">
        <v>30</v>
      </c>
      <c r="O19">
        <v>37219</v>
      </c>
      <c r="P19" t="s">
        <v>7715</v>
      </c>
      <c r="Q19" s="2">
        <v>0.23</v>
      </c>
      <c r="R19" s="2">
        <v>81</v>
      </c>
      <c r="S19" s="2">
        <v>135</v>
      </c>
      <c r="T19" t="s">
        <v>7706</v>
      </c>
      <c r="U19" s="6">
        <v>24755</v>
      </c>
      <c r="V19" s="2">
        <v>47037019110</v>
      </c>
      <c r="W19" s="2" t="s">
        <v>68</v>
      </c>
      <c r="X19" s="1">
        <v>45658</v>
      </c>
      <c r="Y19" s="2">
        <v>10000</v>
      </c>
      <c r="Z19" s="2">
        <v>0</v>
      </c>
      <c r="AA19" s="2">
        <v>10000</v>
      </c>
    </row>
    <row r="20" spans="1:27" x14ac:dyDescent="0.3">
      <c r="A20" s="3">
        <v>31</v>
      </c>
      <c r="B20" s="2" t="str">
        <f>"16206020100"</f>
        <v>16206020100</v>
      </c>
      <c r="C20" s="2" t="s">
        <v>7716</v>
      </c>
      <c r="D20" t="s">
        <v>29</v>
      </c>
      <c r="E20" s="2" t="s">
        <v>30</v>
      </c>
      <c r="F20" s="2">
        <v>37211</v>
      </c>
      <c r="G20" s="2" t="s">
        <v>64</v>
      </c>
      <c r="H20" t="s">
        <v>211</v>
      </c>
      <c r="I20" s="6">
        <v>29230</v>
      </c>
      <c r="J20" s="2" t="s">
        <v>7717</v>
      </c>
      <c r="K20" s="2">
        <v>392</v>
      </c>
      <c r="L20" t="s">
        <v>35</v>
      </c>
      <c r="M20" t="s">
        <v>29</v>
      </c>
      <c r="N20" t="s">
        <v>30</v>
      </c>
      <c r="O20">
        <v>37219</v>
      </c>
      <c r="P20" t="s">
        <v>7718</v>
      </c>
      <c r="Q20" s="2">
        <v>0.23</v>
      </c>
      <c r="R20" s="2">
        <v>85</v>
      </c>
      <c r="S20" s="2">
        <v>126</v>
      </c>
      <c r="T20" t="s">
        <v>7706</v>
      </c>
      <c r="U20" s="6">
        <v>24755</v>
      </c>
      <c r="V20" s="2">
        <v>47037019110</v>
      </c>
      <c r="W20" s="2" t="s">
        <v>68</v>
      </c>
      <c r="X20" s="1">
        <v>45658</v>
      </c>
      <c r="Y20" s="2">
        <v>10000</v>
      </c>
      <c r="Z20" s="2">
        <v>0</v>
      </c>
      <c r="AA20" s="2">
        <v>10000</v>
      </c>
    </row>
    <row r="21" spans="1:27" x14ac:dyDescent="0.3">
      <c r="A21" s="3">
        <v>31</v>
      </c>
      <c r="B21" s="2" t="str">
        <f>"16206020200"</f>
        <v>16206020200</v>
      </c>
      <c r="C21" s="2" t="s">
        <v>7719</v>
      </c>
      <c r="D21" t="s">
        <v>29</v>
      </c>
      <c r="E21" s="2" t="s">
        <v>30</v>
      </c>
      <c r="F21" s="2">
        <v>37211</v>
      </c>
      <c r="G21" s="2" t="s">
        <v>64</v>
      </c>
      <c r="H21" t="s">
        <v>211</v>
      </c>
      <c r="I21" s="6">
        <v>29230</v>
      </c>
      <c r="J21" s="2" t="s">
        <v>7720</v>
      </c>
      <c r="K21" s="2">
        <v>441</v>
      </c>
      <c r="L21" t="s">
        <v>35</v>
      </c>
      <c r="M21" t="s">
        <v>29</v>
      </c>
      <c r="N21" t="s">
        <v>30</v>
      </c>
      <c r="O21">
        <v>37219</v>
      </c>
      <c r="P21" t="s">
        <v>7721</v>
      </c>
      <c r="Q21" s="2">
        <v>0.23</v>
      </c>
      <c r="R21" s="2">
        <v>129</v>
      </c>
      <c r="S21" s="2">
        <v>115</v>
      </c>
      <c r="T21" t="s">
        <v>7706</v>
      </c>
      <c r="U21" s="6">
        <v>24755</v>
      </c>
      <c r="V21" s="2">
        <v>47037019110</v>
      </c>
      <c r="W21" s="2" t="s">
        <v>68</v>
      </c>
      <c r="X21" s="1">
        <v>45658</v>
      </c>
      <c r="Y21" s="2">
        <v>10000</v>
      </c>
      <c r="Z21" s="2">
        <v>0</v>
      </c>
      <c r="AA21" s="2">
        <v>10000</v>
      </c>
    </row>
    <row r="22" spans="1:27" x14ac:dyDescent="0.3">
      <c r="A22" s="3">
        <v>31</v>
      </c>
      <c r="B22" s="2" t="str">
        <f>"16206018900"</f>
        <v>16206018900</v>
      </c>
      <c r="C22" s="2" t="s">
        <v>7722</v>
      </c>
      <c r="D22" t="s">
        <v>29</v>
      </c>
      <c r="E22" s="2" t="s">
        <v>30</v>
      </c>
      <c r="F22" s="2">
        <v>37211</v>
      </c>
      <c r="G22" s="2" t="s">
        <v>64</v>
      </c>
      <c r="H22" t="s">
        <v>211</v>
      </c>
      <c r="I22" s="6">
        <v>29230</v>
      </c>
      <c r="J22" s="2" t="s">
        <v>7723</v>
      </c>
      <c r="K22" s="2">
        <v>343</v>
      </c>
      <c r="L22" t="s">
        <v>35</v>
      </c>
      <c r="M22" t="s">
        <v>29</v>
      </c>
      <c r="N22" t="s">
        <v>30</v>
      </c>
      <c r="O22">
        <v>37219</v>
      </c>
      <c r="P22" t="s">
        <v>7724</v>
      </c>
      <c r="Q22" s="2">
        <v>0.28000000000000003</v>
      </c>
      <c r="R22" s="2">
        <v>55</v>
      </c>
      <c r="S22" s="2">
        <v>208</v>
      </c>
      <c r="T22" t="s">
        <v>7706</v>
      </c>
      <c r="U22" s="6">
        <v>24755</v>
      </c>
      <c r="V22" s="2">
        <v>47037019110</v>
      </c>
      <c r="W22" s="2" t="s">
        <v>68</v>
      </c>
      <c r="X22" s="1">
        <v>45658</v>
      </c>
      <c r="Y22" s="2">
        <v>73000</v>
      </c>
      <c r="Z22" s="2">
        <v>0</v>
      </c>
      <c r="AA22" s="2">
        <v>73000</v>
      </c>
    </row>
    <row r="23" spans="1:27" x14ac:dyDescent="0.3">
      <c r="A23" s="3">
        <v>31</v>
      </c>
      <c r="B23" s="2" t="str">
        <f>"16206019000"</f>
        <v>16206019000</v>
      </c>
      <c r="C23" s="2" t="s">
        <v>7725</v>
      </c>
      <c r="D23" t="s">
        <v>29</v>
      </c>
      <c r="E23" s="2" t="s">
        <v>30</v>
      </c>
      <c r="F23" s="2">
        <v>37211</v>
      </c>
      <c r="G23" s="2" t="s">
        <v>64</v>
      </c>
      <c r="H23" t="s">
        <v>211</v>
      </c>
      <c r="I23" s="6">
        <v>29230</v>
      </c>
      <c r="J23" s="2" t="s">
        <v>7726</v>
      </c>
      <c r="K23" s="2">
        <v>385</v>
      </c>
      <c r="L23" t="s">
        <v>35</v>
      </c>
      <c r="M23" t="s">
        <v>29</v>
      </c>
      <c r="N23" t="s">
        <v>30</v>
      </c>
      <c r="O23">
        <v>37219</v>
      </c>
      <c r="P23" t="s">
        <v>7727</v>
      </c>
      <c r="Q23" s="2">
        <v>0.36</v>
      </c>
      <c r="R23" s="2">
        <v>55</v>
      </c>
      <c r="S23" s="2">
        <v>208</v>
      </c>
      <c r="T23" t="s">
        <v>7706</v>
      </c>
      <c r="U23" s="6">
        <v>24755</v>
      </c>
      <c r="V23" s="2">
        <v>47037019110</v>
      </c>
      <c r="W23" s="2" t="s">
        <v>68</v>
      </c>
      <c r="X23" s="1">
        <v>45658</v>
      </c>
      <c r="Y23" s="2">
        <v>73000</v>
      </c>
      <c r="Z23" s="2">
        <v>0</v>
      </c>
      <c r="AA23" s="2">
        <v>73000</v>
      </c>
    </row>
    <row r="24" spans="1:27" x14ac:dyDescent="0.3">
      <c r="A24" s="3">
        <v>31</v>
      </c>
      <c r="B24" s="2" t="str">
        <f>"16206018500"</f>
        <v>16206018500</v>
      </c>
      <c r="C24" s="2" t="s">
        <v>7728</v>
      </c>
      <c r="D24" t="s">
        <v>29</v>
      </c>
      <c r="E24" s="2" t="s">
        <v>30</v>
      </c>
      <c r="F24" s="2">
        <v>37211</v>
      </c>
      <c r="G24" s="2" t="s">
        <v>64</v>
      </c>
      <c r="H24" t="s">
        <v>211</v>
      </c>
      <c r="I24" s="6">
        <v>29300</v>
      </c>
      <c r="J24" s="2" t="s">
        <v>7729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7730</v>
      </c>
      <c r="Q24" s="2">
        <v>0.34</v>
      </c>
      <c r="R24" s="2">
        <v>71</v>
      </c>
      <c r="S24" s="2">
        <v>193</v>
      </c>
      <c r="T24" t="s">
        <v>7706</v>
      </c>
      <c r="U24" s="6">
        <v>24755</v>
      </c>
      <c r="V24" s="2">
        <v>47037019110</v>
      </c>
      <c r="W24" s="2" t="s">
        <v>68</v>
      </c>
      <c r="X24" s="1">
        <v>45658</v>
      </c>
      <c r="Y24" s="2">
        <v>73000</v>
      </c>
      <c r="Z24" s="2">
        <v>0</v>
      </c>
      <c r="AA24" s="2">
        <v>73000</v>
      </c>
    </row>
    <row r="25" spans="1:27" x14ac:dyDescent="0.3">
      <c r="A25" s="3">
        <v>31</v>
      </c>
      <c r="B25" s="2" t="str">
        <f>"16206018400"</f>
        <v>16206018400</v>
      </c>
      <c r="C25" s="2" t="s">
        <v>7731</v>
      </c>
      <c r="D25" t="s">
        <v>29</v>
      </c>
      <c r="E25" s="2" t="s">
        <v>30</v>
      </c>
      <c r="F25" s="2">
        <v>37211</v>
      </c>
      <c r="G25" s="2" t="s">
        <v>64</v>
      </c>
      <c r="H25" t="s">
        <v>211</v>
      </c>
      <c r="I25" s="6">
        <v>29300</v>
      </c>
      <c r="J25" s="2" t="s">
        <v>7732</v>
      </c>
      <c r="K25" s="2" t="s">
        <v>34</v>
      </c>
      <c r="L25" t="s">
        <v>35</v>
      </c>
      <c r="M25" t="s">
        <v>29</v>
      </c>
      <c r="N25" t="s">
        <v>30</v>
      </c>
      <c r="O25">
        <v>37219</v>
      </c>
      <c r="P25" t="s">
        <v>7733</v>
      </c>
      <c r="Q25" s="2">
        <v>0.28999999999999998</v>
      </c>
      <c r="R25" s="2">
        <v>71</v>
      </c>
      <c r="S25" s="2">
        <v>159</v>
      </c>
      <c r="T25" t="s">
        <v>7706</v>
      </c>
      <c r="U25" s="6">
        <v>24755</v>
      </c>
      <c r="V25" s="2">
        <v>47037019110</v>
      </c>
      <c r="W25" s="2" t="s">
        <v>68</v>
      </c>
      <c r="X25" s="1">
        <v>45658</v>
      </c>
      <c r="Y25" s="2">
        <v>73000</v>
      </c>
      <c r="Z25" s="2">
        <v>0</v>
      </c>
      <c r="AA25" s="2">
        <v>73000</v>
      </c>
    </row>
    <row r="26" spans="1:27" x14ac:dyDescent="0.3">
      <c r="A26" s="3">
        <v>31</v>
      </c>
      <c r="B26" s="2" t="str">
        <f>"16206018300"</f>
        <v>16206018300</v>
      </c>
      <c r="C26" s="2" t="s">
        <v>7734</v>
      </c>
      <c r="D26" t="s">
        <v>29</v>
      </c>
      <c r="E26" s="2" t="s">
        <v>30</v>
      </c>
      <c r="F26" s="2">
        <v>37211</v>
      </c>
      <c r="G26" s="2" t="s">
        <v>64</v>
      </c>
      <c r="H26" t="s">
        <v>211</v>
      </c>
      <c r="I26" s="6">
        <v>29300</v>
      </c>
      <c r="J26" s="2" t="s">
        <v>7735</v>
      </c>
      <c r="K26" s="2" t="s">
        <v>34</v>
      </c>
      <c r="L26" t="s">
        <v>35</v>
      </c>
      <c r="M26" t="s">
        <v>29</v>
      </c>
      <c r="N26" t="s">
        <v>30</v>
      </c>
      <c r="O26">
        <v>37219</v>
      </c>
      <c r="P26" t="s">
        <v>7736</v>
      </c>
      <c r="Q26" s="2">
        <v>0.27</v>
      </c>
      <c r="R26" s="2">
        <v>71</v>
      </c>
      <c r="S26" s="2">
        <v>139</v>
      </c>
      <c r="T26" t="s">
        <v>7706</v>
      </c>
      <c r="U26" s="6">
        <v>24755</v>
      </c>
      <c r="V26" s="2">
        <v>47037019110</v>
      </c>
      <c r="W26" s="2" t="s">
        <v>68</v>
      </c>
      <c r="X26" s="1">
        <v>45658</v>
      </c>
      <c r="Y26" s="2">
        <v>73000</v>
      </c>
      <c r="Z26" s="2">
        <v>0</v>
      </c>
      <c r="AA26" s="2">
        <v>73000</v>
      </c>
    </row>
    <row r="27" spans="1:27" x14ac:dyDescent="0.3">
      <c r="A27" s="3">
        <v>31</v>
      </c>
      <c r="B27" s="2" t="str">
        <f>"16206018200"</f>
        <v>16206018200</v>
      </c>
      <c r="C27" s="2" t="s">
        <v>7737</v>
      </c>
      <c r="D27" t="s">
        <v>29</v>
      </c>
      <c r="E27" s="2" t="s">
        <v>30</v>
      </c>
      <c r="F27" s="2">
        <v>37211</v>
      </c>
      <c r="G27" s="2" t="s">
        <v>64</v>
      </c>
      <c r="H27" t="s">
        <v>211</v>
      </c>
      <c r="I27" s="6">
        <v>29300</v>
      </c>
      <c r="J27" s="2" t="s">
        <v>7738</v>
      </c>
      <c r="K27" s="2" t="s">
        <v>34</v>
      </c>
      <c r="L27" t="s">
        <v>35</v>
      </c>
      <c r="M27" t="s">
        <v>29</v>
      </c>
      <c r="N27" t="s">
        <v>30</v>
      </c>
      <c r="O27">
        <v>37219</v>
      </c>
      <c r="P27" t="s">
        <v>7739</v>
      </c>
      <c r="Q27" s="2">
        <v>0.25</v>
      </c>
      <c r="R27" s="2">
        <v>78</v>
      </c>
      <c r="S27" s="2">
        <v>129</v>
      </c>
      <c r="T27" t="s">
        <v>7706</v>
      </c>
      <c r="U27" s="6">
        <v>24755</v>
      </c>
      <c r="V27" s="2">
        <v>47037019110</v>
      </c>
      <c r="W27" s="2" t="s">
        <v>68</v>
      </c>
      <c r="X27" s="1">
        <v>45658</v>
      </c>
      <c r="Y27" s="2">
        <v>73000</v>
      </c>
      <c r="Z27" s="2">
        <v>0</v>
      </c>
      <c r="AA27" s="2">
        <v>73000</v>
      </c>
    </row>
    <row r="28" spans="1:27" x14ac:dyDescent="0.3">
      <c r="A28" s="3">
        <v>31</v>
      </c>
      <c r="B28" s="2" t="str">
        <f>"18200004000"</f>
        <v>18200004000</v>
      </c>
      <c r="C28" s="2" t="s">
        <v>7740</v>
      </c>
      <c r="D28" t="s">
        <v>1945</v>
      </c>
      <c r="E28" s="2" t="s">
        <v>30</v>
      </c>
      <c r="F28" s="2">
        <v>37013</v>
      </c>
      <c r="G28" s="2" t="s">
        <v>194</v>
      </c>
      <c r="H28" t="s">
        <v>211</v>
      </c>
      <c r="I28" s="6">
        <v>39569</v>
      </c>
      <c r="J28" s="2" t="s">
        <v>7741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7742</v>
      </c>
      <c r="Q28" s="2">
        <v>40</v>
      </c>
      <c r="R28" s="2">
        <v>0</v>
      </c>
      <c r="S28" s="2">
        <v>0</v>
      </c>
      <c r="T28" t="s">
        <v>7743</v>
      </c>
      <c r="U28" s="6">
        <v>24918</v>
      </c>
      <c r="V28" s="2">
        <v>47037019114</v>
      </c>
      <c r="W28" s="2" t="s">
        <v>38</v>
      </c>
      <c r="X28" s="1">
        <v>45658</v>
      </c>
      <c r="Y28" s="2">
        <v>1746300</v>
      </c>
      <c r="Z28" s="2">
        <v>131100</v>
      </c>
      <c r="AA28" s="2">
        <v>1615200</v>
      </c>
    </row>
    <row r="29" spans="1:27" x14ac:dyDescent="0.3">
      <c r="A29" s="3">
        <v>31</v>
      </c>
      <c r="B29" s="2" t="str">
        <f>"18100002200"</f>
        <v>18100002200</v>
      </c>
      <c r="C29" s="2" t="s">
        <v>7744</v>
      </c>
      <c r="D29" t="s">
        <v>1945</v>
      </c>
      <c r="E29" s="2" t="s">
        <v>30</v>
      </c>
      <c r="F29" s="2">
        <v>37013</v>
      </c>
      <c r="G29" s="2" t="s">
        <v>31</v>
      </c>
      <c r="H29" t="s">
        <v>249</v>
      </c>
      <c r="I29" s="6">
        <v>39569</v>
      </c>
      <c r="J29" s="2" t="s">
        <v>7745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7678</v>
      </c>
      <c r="Q29" s="2">
        <v>72.319999999999993</v>
      </c>
      <c r="R29" s="2">
        <v>0</v>
      </c>
      <c r="S29" s="2">
        <v>0</v>
      </c>
      <c r="T29" t="s">
        <v>7746</v>
      </c>
      <c r="U29" s="6">
        <v>44999</v>
      </c>
      <c r="V29" s="2">
        <v>47037010103</v>
      </c>
      <c r="W29" s="2" t="s">
        <v>38</v>
      </c>
      <c r="X29" s="1">
        <v>45658</v>
      </c>
      <c r="Y29" s="2">
        <v>1627200</v>
      </c>
      <c r="Z29" s="2">
        <v>0</v>
      </c>
      <c r="AA29" s="2">
        <v>1627200</v>
      </c>
    </row>
    <row r="30" spans="1:27" x14ac:dyDescent="0.3">
      <c r="A30" s="3">
        <v>31</v>
      </c>
      <c r="B30" s="2" t="str">
        <f>"16210019800"</f>
        <v>16210019800</v>
      </c>
      <c r="C30" s="2" t="s">
        <v>7747</v>
      </c>
      <c r="D30" t="s">
        <v>1945</v>
      </c>
      <c r="E30" s="2" t="s">
        <v>30</v>
      </c>
      <c r="F30" s="2">
        <v>37013</v>
      </c>
      <c r="G30" s="2" t="s">
        <v>64</v>
      </c>
      <c r="H30" t="s">
        <v>280</v>
      </c>
      <c r="I30" s="6">
        <v>43713</v>
      </c>
      <c r="J30" s="2" t="s">
        <v>7748</v>
      </c>
      <c r="K30" s="2" t="s">
        <v>34</v>
      </c>
      <c r="L30" t="s">
        <v>315</v>
      </c>
      <c r="M30" t="s">
        <v>29</v>
      </c>
      <c r="N30" t="s">
        <v>30</v>
      </c>
      <c r="O30">
        <v>37208</v>
      </c>
      <c r="P30" t="s">
        <v>7749</v>
      </c>
      <c r="Q30" s="2">
        <v>0.24</v>
      </c>
      <c r="R30" s="2">
        <v>152</v>
      </c>
      <c r="S30" s="2">
        <v>152</v>
      </c>
      <c r="T30" t="s">
        <v>7750</v>
      </c>
      <c r="U30" s="6">
        <v>26814</v>
      </c>
      <c r="V30" s="2">
        <v>47037019110</v>
      </c>
      <c r="W30" s="2" t="s">
        <v>68</v>
      </c>
      <c r="X30" s="1">
        <v>45658</v>
      </c>
      <c r="Y30" s="2">
        <v>69000</v>
      </c>
      <c r="Z30" s="2">
        <v>0</v>
      </c>
      <c r="AA30" s="2">
        <v>69000</v>
      </c>
    </row>
    <row r="31" spans="1:27" x14ac:dyDescent="0.3">
      <c r="A31" s="3">
        <v>31</v>
      </c>
      <c r="B31" s="2" t="str">
        <f>"16210020200"</f>
        <v>16210020200</v>
      </c>
      <c r="C31" s="2" t="s">
        <v>7751</v>
      </c>
      <c r="D31" t="s">
        <v>1945</v>
      </c>
      <c r="E31" s="2" t="s">
        <v>30</v>
      </c>
      <c r="F31" s="2">
        <v>37013</v>
      </c>
      <c r="G31" s="2" t="s">
        <v>64</v>
      </c>
      <c r="H31" t="s">
        <v>280</v>
      </c>
      <c r="I31" s="6">
        <v>38646</v>
      </c>
      <c r="J31" s="2" t="s">
        <v>7752</v>
      </c>
      <c r="K31" s="2">
        <v>112500</v>
      </c>
      <c r="L31" t="s">
        <v>35</v>
      </c>
      <c r="M31" t="s">
        <v>29</v>
      </c>
      <c r="N31" t="s">
        <v>30</v>
      </c>
      <c r="O31">
        <v>37219</v>
      </c>
      <c r="P31" t="s">
        <v>7753</v>
      </c>
      <c r="Q31" s="2">
        <v>0.37</v>
      </c>
      <c r="R31" s="2">
        <v>190</v>
      </c>
      <c r="S31" s="2">
        <v>131</v>
      </c>
      <c r="T31" t="s">
        <v>7695</v>
      </c>
      <c r="U31" s="6">
        <v>28268</v>
      </c>
      <c r="V31" s="2">
        <v>47037019110</v>
      </c>
      <c r="W31" s="2" t="s">
        <v>68</v>
      </c>
      <c r="X31" s="1">
        <v>45658</v>
      </c>
      <c r="Y31" s="2">
        <v>69000</v>
      </c>
      <c r="Z31" s="2">
        <v>0</v>
      </c>
      <c r="AA31" s="2">
        <v>69000</v>
      </c>
    </row>
    <row r="32" spans="1:27" x14ac:dyDescent="0.3">
      <c r="A32" s="3">
        <v>31</v>
      </c>
      <c r="B32" s="2" t="str">
        <f>"16213001600"</f>
        <v>16213001600</v>
      </c>
      <c r="C32" s="2" t="s">
        <v>7754</v>
      </c>
      <c r="D32" t="s">
        <v>29</v>
      </c>
      <c r="E32" s="2" t="s">
        <v>30</v>
      </c>
      <c r="F32" s="2">
        <v>37211</v>
      </c>
      <c r="G32" s="2" t="s">
        <v>64</v>
      </c>
      <c r="H32" t="s">
        <v>280</v>
      </c>
      <c r="I32" s="6">
        <v>39000</v>
      </c>
      <c r="J32" s="2" t="s">
        <v>7755</v>
      </c>
      <c r="K32" s="2">
        <v>121000</v>
      </c>
      <c r="L32" t="s">
        <v>35</v>
      </c>
      <c r="M32" t="s">
        <v>29</v>
      </c>
      <c r="N32" t="s">
        <v>30</v>
      </c>
      <c r="O32">
        <v>37219</v>
      </c>
      <c r="P32" t="s">
        <v>7756</v>
      </c>
      <c r="Q32" s="2">
        <v>0.32</v>
      </c>
      <c r="R32" s="2">
        <v>35</v>
      </c>
      <c r="S32" s="2">
        <v>184</v>
      </c>
      <c r="T32" t="s">
        <v>7757</v>
      </c>
      <c r="U32" s="6">
        <v>26516</v>
      </c>
      <c r="V32" s="2">
        <v>47037019112</v>
      </c>
      <c r="W32" s="2" t="s">
        <v>68</v>
      </c>
      <c r="X32" s="1">
        <v>45658</v>
      </c>
      <c r="Y32" s="2">
        <v>71000</v>
      </c>
      <c r="Z32" s="2">
        <v>0</v>
      </c>
      <c r="AA32" s="2">
        <v>71000</v>
      </c>
    </row>
    <row r="33" spans="1:27" x14ac:dyDescent="0.3">
      <c r="A33" s="3">
        <v>31</v>
      </c>
      <c r="B33" s="2" t="str">
        <f>"16213000700"</f>
        <v>16213000700</v>
      </c>
      <c r="C33" s="2" t="s">
        <v>7758</v>
      </c>
      <c r="D33" t="s">
        <v>29</v>
      </c>
      <c r="E33" s="2" t="s">
        <v>30</v>
      </c>
      <c r="F33" s="2">
        <v>37211</v>
      </c>
      <c r="G33" s="2" t="s">
        <v>64</v>
      </c>
      <c r="H33" t="s">
        <v>280</v>
      </c>
      <c r="I33" s="6">
        <v>43580</v>
      </c>
      <c r="J33" s="2" t="s">
        <v>7759</v>
      </c>
      <c r="K33" s="2" t="s">
        <v>34</v>
      </c>
      <c r="L33" t="s">
        <v>315</v>
      </c>
      <c r="M33" t="s">
        <v>29</v>
      </c>
      <c r="N33" t="s">
        <v>30</v>
      </c>
      <c r="O33">
        <v>37208</v>
      </c>
      <c r="P33" t="s">
        <v>7760</v>
      </c>
      <c r="Q33" s="2">
        <v>0.28999999999999998</v>
      </c>
      <c r="R33" s="2">
        <v>80</v>
      </c>
      <c r="S33" s="2">
        <v>157</v>
      </c>
      <c r="T33" t="s">
        <v>7757</v>
      </c>
      <c r="U33" s="6">
        <v>26516</v>
      </c>
      <c r="V33" s="2">
        <v>47037019112</v>
      </c>
      <c r="W33" s="2" t="s">
        <v>68</v>
      </c>
      <c r="X33" s="1">
        <v>45658</v>
      </c>
      <c r="Y33" s="2">
        <v>71000</v>
      </c>
      <c r="Z33" s="2">
        <v>0</v>
      </c>
      <c r="AA33" s="2">
        <v>71000</v>
      </c>
    </row>
    <row r="34" spans="1:27" x14ac:dyDescent="0.3">
      <c r="A34" s="3">
        <v>31</v>
      </c>
      <c r="B34" s="2" t="str">
        <f>"16213001700"</f>
        <v>16213001700</v>
      </c>
      <c r="C34" s="2" t="s">
        <v>7761</v>
      </c>
      <c r="D34" t="s">
        <v>29</v>
      </c>
      <c r="E34" s="2" t="s">
        <v>30</v>
      </c>
      <c r="F34" s="2">
        <v>37211</v>
      </c>
      <c r="G34" s="2" t="s">
        <v>64</v>
      </c>
      <c r="H34" t="s">
        <v>280</v>
      </c>
      <c r="I34" s="6">
        <v>38834</v>
      </c>
      <c r="J34" s="2" t="s">
        <v>7762</v>
      </c>
      <c r="K34" s="2">
        <v>115000</v>
      </c>
      <c r="L34" t="s">
        <v>35</v>
      </c>
      <c r="M34" t="s">
        <v>29</v>
      </c>
      <c r="N34" t="s">
        <v>30</v>
      </c>
      <c r="O34">
        <v>37219</v>
      </c>
      <c r="P34" t="s">
        <v>7763</v>
      </c>
      <c r="Q34" s="2">
        <v>0.28999999999999998</v>
      </c>
      <c r="R34" s="2">
        <v>69</v>
      </c>
      <c r="S34" s="2">
        <v>155</v>
      </c>
      <c r="T34" t="s">
        <v>7764</v>
      </c>
      <c r="U34" s="6">
        <v>27344</v>
      </c>
      <c r="V34" s="2">
        <v>47037019112</v>
      </c>
      <c r="W34" s="2" t="s">
        <v>68</v>
      </c>
      <c r="X34" s="1">
        <v>45658</v>
      </c>
      <c r="Y34" s="2">
        <v>71000</v>
      </c>
      <c r="Z34" s="2">
        <v>0</v>
      </c>
      <c r="AA34" s="2">
        <v>71000</v>
      </c>
    </row>
    <row r="35" spans="1:27" x14ac:dyDescent="0.3">
      <c r="A35" s="3">
        <v>31</v>
      </c>
      <c r="B35" s="2" t="str">
        <f>"16209000200"</f>
        <v>16209000200</v>
      </c>
      <c r="C35" s="2" t="s">
        <v>7765</v>
      </c>
      <c r="D35" t="s">
        <v>29</v>
      </c>
      <c r="E35" s="2" t="s">
        <v>30</v>
      </c>
      <c r="F35" s="2">
        <v>37211</v>
      </c>
      <c r="G35" s="2" t="s">
        <v>152</v>
      </c>
      <c r="H35" t="s">
        <v>280</v>
      </c>
      <c r="I35" s="6">
        <v>26846</v>
      </c>
      <c r="J35" s="2" t="s">
        <v>1990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7766</v>
      </c>
      <c r="Q35" s="2">
        <v>0.73</v>
      </c>
      <c r="R35" s="2">
        <v>198</v>
      </c>
      <c r="S35" s="2">
        <v>170</v>
      </c>
      <c r="T35" t="s">
        <v>7767</v>
      </c>
      <c r="U35" s="6">
        <v>20379</v>
      </c>
      <c r="V35" s="2">
        <v>47037019110</v>
      </c>
      <c r="W35" s="2" t="s">
        <v>68</v>
      </c>
      <c r="X35" s="1">
        <v>45658</v>
      </c>
      <c r="Y35" s="2">
        <v>4800</v>
      </c>
      <c r="Z35" s="2">
        <v>0</v>
      </c>
      <c r="AA35" s="2">
        <v>4800</v>
      </c>
    </row>
    <row r="36" spans="1:27" x14ac:dyDescent="0.3">
      <c r="A36" s="3">
        <v>31</v>
      </c>
      <c r="B36" s="2" t="str">
        <f>"18200023500"</f>
        <v>18200023500</v>
      </c>
      <c r="C36" s="2" t="s">
        <v>7768</v>
      </c>
      <c r="D36" t="s">
        <v>1945</v>
      </c>
      <c r="E36" s="2" t="s">
        <v>30</v>
      </c>
      <c r="F36" s="2">
        <v>37013</v>
      </c>
      <c r="G36" s="2" t="s">
        <v>64</v>
      </c>
      <c r="H36" t="s">
        <v>7769</v>
      </c>
      <c r="I36" s="6">
        <v>44524</v>
      </c>
      <c r="J36" s="2" t="s">
        <v>7770</v>
      </c>
      <c r="K36" s="2">
        <v>0</v>
      </c>
      <c r="L36" t="s">
        <v>4501</v>
      </c>
      <c r="M36" t="s">
        <v>29</v>
      </c>
      <c r="N36" t="s">
        <v>30</v>
      </c>
      <c r="O36">
        <v>37204</v>
      </c>
      <c r="P36" t="s">
        <v>7771</v>
      </c>
      <c r="Q36" s="2">
        <v>15.92</v>
      </c>
      <c r="R36" s="2">
        <v>0</v>
      </c>
      <c r="S36" s="2">
        <v>0</v>
      </c>
      <c r="T36" t="s">
        <v>7770</v>
      </c>
      <c r="U36" s="6">
        <v>44524</v>
      </c>
      <c r="V36" s="2">
        <v>47037019114</v>
      </c>
      <c r="W36" s="2" t="s">
        <v>2599</v>
      </c>
      <c r="X36" s="1">
        <v>45658</v>
      </c>
      <c r="Y36" s="2">
        <v>1795800</v>
      </c>
      <c r="Z36" s="2">
        <v>0</v>
      </c>
      <c r="AA36" s="2">
        <v>1795800</v>
      </c>
    </row>
    <row r="37" spans="1:27" x14ac:dyDescent="0.3">
      <c r="A37" s="3">
        <v>31</v>
      </c>
      <c r="B37" s="2" t="str">
        <f>"16213001900"</f>
        <v>16213001900</v>
      </c>
      <c r="C37" s="2" t="s">
        <v>7772</v>
      </c>
      <c r="D37" t="s">
        <v>29</v>
      </c>
      <c r="E37" s="2" t="s">
        <v>30</v>
      </c>
      <c r="F37" s="2">
        <v>37211</v>
      </c>
      <c r="G37" s="2" t="s">
        <v>64</v>
      </c>
      <c r="H37" t="s">
        <v>379</v>
      </c>
      <c r="I37" s="6">
        <v>43511</v>
      </c>
      <c r="J37" s="2" t="s">
        <v>7773</v>
      </c>
      <c r="K37" s="2" t="s">
        <v>34</v>
      </c>
      <c r="L37" t="s">
        <v>1104</v>
      </c>
      <c r="M37" t="s">
        <v>29</v>
      </c>
      <c r="N37" t="s">
        <v>30</v>
      </c>
      <c r="O37">
        <v>37208</v>
      </c>
      <c r="P37" t="s">
        <v>7774</v>
      </c>
      <c r="Q37" s="2">
        <v>0.23</v>
      </c>
      <c r="R37" s="2">
        <v>90</v>
      </c>
      <c r="S37" s="2">
        <v>132</v>
      </c>
      <c r="T37" t="s">
        <v>7757</v>
      </c>
      <c r="U37" s="6">
        <v>26516</v>
      </c>
      <c r="V37" s="2">
        <v>47037019112</v>
      </c>
      <c r="W37" s="2" t="s">
        <v>68</v>
      </c>
      <c r="X37" s="1">
        <v>45658</v>
      </c>
      <c r="Y37" s="2">
        <v>71000</v>
      </c>
      <c r="Z37" s="2">
        <v>0</v>
      </c>
      <c r="AA37" s="2">
        <v>71000</v>
      </c>
    </row>
    <row r="38" spans="1:27" x14ac:dyDescent="0.3">
      <c r="A38" s="3">
        <v>31</v>
      </c>
      <c r="B38" s="2" t="str">
        <f>"16213011000"</f>
        <v>16213011000</v>
      </c>
      <c r="C38" s="2" t="s">
        <v>7775</v>
      </c>
      <c r="D38" t="s">
        <v>29</v>
      </c>
      <c r="E38" s="2" t="s">
        <v>30</v>
      </c>
      <c r="F38" s="2">
        <v>37211</v>
      </c>
      <c r="G38" s="2" t="s">
        <v>64</v>
      </c>
      <c r="H38" t="s">
        <v>379</v>
      </c>
      <c r="I38" s="6">
        <v>43511</v>
      </c>
      <c r="J38" s="2" t="s">
        <v>7773</v>
      </c>
      <c r="K38" s="2">
        <v>0</v>
      </c>
      <c r="L38" t="s">
        <v>1104</v>
      </c>
      <c r="M38" t="s">
        <v>29</v>
      </c>
      <c r="N38" t="s">
        <v>30</v>
      </c>
      <c r="O38">
        <v>37208</v>
      </c>
      <c r="P38" t="s">
        <v>7776</v>
      </c>
      <c r="Q38" s="2">
        <v>0.05</v>
      </c>
      <c r="R38" s="2">
        <v>47</v>
      </c>
      <c r="S38" s="2">
        <v>88</v>
      </c>
      <c r="T38" t="s">
        <v>7757</v>
      </c>
      <c r="U38" s="6">
        <v>26516</v>
      </c>
      <c r="V38" s="2">
        <v>47037019112</v>
      </c>
      <c r="W38" s="2" t="s">
        <v>68</v>
      </c>
      <c r="X38" s="1">
        <v>45658</v>
      </c>
      <c r="Y38" s="2">
        <v>500</v>
      </c>
      <c r="Z38" s="2">
        <v>0</v>
      </c>
      <c r="AA38" s="2">
        <v>500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6696-6965-4DAD-A139-9208BA34DE69}">
  <sheetPr>
    <tabColor rgb="FF002060"/>
  </sheetPr>
  <dimension ref="A1:AA48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32</v>
      </c>
      <c r="B2" s="2" t="str">
        <f>"14900013300"</f>
        <v>14900013300</v>
      </c>
      <c r="C2" s="2" t="s">
        <v>7777</v>
      </c>
      <c r="D2" t="s">
        <v>1945</v>
      </c>
      <c r="E2" s="2" t="s">
        <v>30</v>
      </c>
      <c r="F2" s="2">
        <v>37013</v>
      </c>
      <c r="G2" s="2" t="s">
        <v>194</v>
      </c>
      <c r="H2" t="s">
        <v>32</v>
      </c>
      <c r="I2" s="6">
        <v>45565</v>
      </c>
      <c r="J2" s="2" t="s">
        <v>7778</v>
      </c>
      <c r="K2" s="2">
        <v>0</v>
      </c>
      <c r="L2" t="s">
        <v>85</v>
      </c>
      <c r="M2" t="s">
        <v>29</v>
      </c>
      <c r="N2" t="s">
        <v>30</v>
      </c>
      <c r="O2">
        <v>37219</v>
      </c>
      <c r="P2" t="s">
        <v>7779</v>
      </c>
      <c r="Q2" s="2">
        <v>0.76</v>
      </c>
      <c r="R2" s="2">
        <v>241</v>
      </c>
      <c r="S2" s="2">
        <v>113</v>
      </c>
      <c r="T2" t="s">
        <v>7780</v>
      </c>
      <c r="U2" s="6">
        <v>23576</v>
      </c>
      <c r="V2" s="2">
        <v>47037015626</v>
      </c>
      <c r="W2" s="2" t="s">
        <v>68</v>
      </c>
      <c r="X2" s="1">
        <v>45658</v>
      </c>
      <c r="Y2" s="2">
        <v>303900</v>
      </c>
      <c r="Z2" s="2">
        <v>224900</v>
      </c>
      <c r="AA2" s="2">
        <v>79000</v>
      </c>
    </row>
    <row r="3" spans="1:27" x14ac:dyDescent="0.3">
      <c r="A3" s="3">
        <v>32</v>
      </c>
      <c r="B3" s="2" t="str">
        <f>"14900013100"</f>
        <v>14900013100</v>
      </c>
      <c r="C3" s="2" t="s">
        <v>7781</v>
      </c>
      <c r="D3" t="s">
        <v>1945</v>
      </c>
      <c r="E3" s="2" t="s">
        <v>30</v>
      </c>
      <c r="F3" s="2">
        <v>37013</v>
      </c>
      <c r="G3" s="2" t="s">
        <v>7782</v>
      </c>
      <c r="H3" t="s">
        <v>32</v>
      </c>
      <c r="I3" s="6">
        <v>45708</v>
      </c>
      <c r="J3" s="2" t="s">
        <v>7783</v>
      </c>
      <c r="K3" s="2">
        <v>0</v>
      </c>
      <c r="L3" t="s">
        <v>85</v>
      </c>
      <c r="M3" t="s">
        <v>29</v>
      </c>
      <c r="N3" t="s">
        <v>30</v>
      </c>
      <c r="O3">
        <v>37219</v>
      </c>
      <c r="P3" t="s">
        <v>7784</v>
      </c>
      <c r="Q3" s="2">
        <v>0.71</v>
      </c>
      <c r="R3" s="2">
        <v>102</v>
      </c>
      <c r="S3" s="2">
        <v>288</v>
      </c>
      <c r="T3" t="s">
        <v>7785</v>
      </c>
      <c r="U3" s="6">
        <v>24891</v>
      </c>
      <c r="V3" s="2">
        <v>47037015626</v>
      </c>
      <c r="W3" s="2" t="s">
        <v>68</v>
      </c>
      <c r="X3" s="1">
        <v>45658</v>
      </c>
      <c r="Y3" s="2">
        <v>577200</v>
      </c>
      <c r="Z3" s="2">
        <v>373100</v>
      </c>
      <c r="AA3" s="2">
        <v>204100</v>
      </c>
    </row>
    <row r="4" spans="1:27" x14ac:dyDescent="0.3">
      <c r="A4" s="3">
        <v>32</v>
      </c>
      <c r="B4" s="2" t="str">
        <f>"14900017900"</f>
        <v>14900017900</v>
      </c>
      <c r="C4" s="2" t="s">
        <v>7786</v>
      </c>
      <c r="D4" t="s">
        <v>1945</v>
      </c>
      <c r="E4" s="2" t="s">
        <v>30</v>
      </c>
      <c r="F4" s="2">
        <v>37013</v>
      </c>
      <c r="G4" s="2" t="s">
        <v>64</v>
      </c>
      <c r="H4" t="s">
        <v>32</v>
      </c>
      <c r="I4" s="6">
        <v>45565</v>
      </c>
      <c r="J4" s="2" t="s">
        <v>7787</v>
      </c>
      <c r="K4" s="2">
        <v>0</v>
      </c>
      <c r="L4" t="s">
        <v>85</v>
      </c>
      <c r="M4" t="s">
        <v>29</v>
      </c>
      <c r="N4" t="s">
        <v>30</v>
      </c>
      <c r="O4">
        <v>37219</v>
      </c>
      <c r="P4" t="s">
        <v>7788</v>
      </c>
      <c r="Q4" s="2">
        <v>0.98</v>
      </c>
      <c r="R4" s="2">
        <v>119</v>
      </c>
      <c r="S4" s="2">
        <v>353</v>
      </c>
      <c r="T4" t="s">
        <v>7789</v>
      </c>
      <c r="U4" s="6">
        <v>26793</v>
      </c>
      <c r="V4" s="2">
        <v>47037015626</v>
      </c>
      <c r="W4" s="2" t="s">
        <v>68</v>
      </c>
      <c r="X4" s="1">
        <v>45658</v>
      </c>
      <c r="Y4" s="2">
        <v>79000</v>
      </c>
      <c r="Z4" s="2">
        <v>0</v>
      </c>
      <c r="AA4" s="2">
        <v>79000</v>
      </c>
    </row>
    <row r="5" spans="1:27" x14ac:dyDescent="0.3">
      <c r="A5" s="3">
        <v>32</v>
      </c>
      <c r="B5" s="2" t="str">
        <f>"16300042100"</f>
        <v>16300042100</v>
      </c>
      <c r="C5" s="2" t="s">
        <v>7790</v>
      </c>
      <c r="D5" t="s">
        <v>1945</v>
      </c>
      <c r="E5" s="2" t="s">
        <v>30</v>
      </c>
      <c r="F5" s="2">
        <v>37013</v>
      </c>
      <c r="G5" s="2" t="s">
        <v>2490</v>
      </c>
      <c r="H5" t="s">
        <v>32</v>
      </c>
      <c r="I5" s="6">
        <v>44701</v>
      </c>
      <c r="J5" s="2" t="s">
        <v>7791</v>
      </c>
      <c r="K5" s="2" t="s">
        <v>34</v>
      </c>
      <c r="L5" t="s">
        <v>7792</v>
      </c>
      <c r="M5" t="s">
        <v>29</v>
      </c>
      <c r="N5" t="s">
        <v>30</v>
      </c>
      <c r="O5">
        <v>37219</v>
      </c>
      <c r="P5" t="s">
        <v>7793</v>
      </c>
      <c r="Q5" s="2">
        <v>3.62</v>
      </c>
      <c r="R5" s="2">
        <v>0</v>
      </c>
      <c r="S5" s="2">
        <v>0</v>
      </c>
      <c r="T5" t="s">
        <v>7794</v>
      </c>
      <c r="U5" s="6">
        <v>41684</v>
      </c>
      <c r="V5" s="2">
        <v>47037015628</v>
      </c>
      <c r="W5" s="2" t="s">
        <v>68</v>
      </c>
      <c r="X5" s="1">
        <v>45658</v>
      </c>
      <c r="Y5" s="2">
        <v>1148400</v>
      </c>
      <c r="Z5" s="2">
        <v>202300</v>
      </c>
      <c r="AA5" s="2">
        <v>946100</v>
      </c>
    </row>
    <row r="6" spans="1:27" x14ac:dyDescent="0.3">
      <c r="A6" s="3">
        <v>32</v>
      </c>
      <c r="B6" s="2" t="str">
        <f>"16300022800"</f>
        <v>16300022800</v>
      </c>
      <c r="C6" s="2" t="s">
        <v>7795</v>
      </c>
      <c r="D6" t="s">
        <v>1945</v>
      </c>
      <c r="E6" s="2" t="s">
        <v>30</v>
      </c>
      <c r="F6" s="2">
        <v>37013</v>
      </c>
      <c r="G6" s="2" t="s">
        <v>7796</v>
      </c>
      <c r="H6" t="s">
        <v>32</v>
      </c>
      <c r="I6" s="6">
        <v>44701</v>
      </c>
      <c r="J6" s="2" t="s">
        <v>7791</v>
      </c>
      <c r="K6" s="2" t="s">
        <v>34</v>
      </c>
      <c r="L6" t="s">
        <v>7792</v>
      </c>
      <c r="M6" t="s">
        <v>29</v>
      </c>
      <c r="N6" t="s">
        <v>30</v>
      </c>
      <c r="O6">
        <v>37219</v>
      </c>
      <c r="P6" t="s">
        <v>7797</v>
      </c>
      <c r="Q6" s="2">
        <v>16.010000000000002</v>
      </c>
      <c r="R6" s="2">
        <v>0</v>
      </c>
      <c r="S6" s="2">
        <v>0</v>
      </c>
      <c r="T6" t="s">
        <v>7798</v>
      </c>
      <c r="U6" s="6">
        <v>33368</v>
      </c>
      <c r="V6" s="2">
        <v>47037015628</v>
      </c>
      <c r="W6" s="2" t="s">
        <v>68</v>
      </c>
      <c r="X6" s="1">
        <v>45658</v>
      </c>
      <c r="Y6" s="2">
        <v>4753200</v>
      </c>
      <c r="Z6" s="2">
        <v>568800</v>
      </c>
      <c r="AA6" s="2">
        <v>4184400</v>
      </c>
    </row>
    <row r="7" spans="1:27" x14ac:dyDescent="0.3">
      <c r="A7" s="3">
        <v>32</v>
      </c>
      <c r="B7" s="2" t="str">
        <f>"16300035300"</f>
        <v>16300035300</v>
      </c>
      <c r="C7" s="2" t="s">
        <v>7799</v>
      </c>
      <c r="D7" t="s">
        <v>1945</v>
      </c>
      <c r="E7" s="2" t="s">
        <v>30</v>
      </c>
      <c r="F7" s="2">
        <v>37013</v>
      </c>
      <c r="G7" s="2" t="s">
        <v>2490</v>
      </c>
      <c r="H7" t="s">
        <v>32</v>
      </c>
      <c r="I7" s="6">
        <v>44701</v>
      </c>
      <c r="J7" s="2" t="s">
        <v>7791</v>
      </c>
      <c r="K7" s="2" t="s">
        <v>34</v>
      </c>
      <c r="L7" t="s">
        <v>7792</v>
      </c>
      <c r="M7" t="s">
        <v>29</v>
      </c>
      <c r="N7" t="s">
        <v>30</v>
      </c>
      <c r="O7">
        <v>37219</v>
      </c>
      <c r="P7" t="s">
        <v>7800</v>
      </c>
      <c r="Q7" s="2">
        <v>1.2</v>
      </c>
      <c r="R7" s="2">
        <v>0</v>
      </c>
      <c r="S7" s="2">
        <v>534</v>
      </c>
      <c r="T7" t="s">
        <v>7801</v>
      </c>
      <c r="U7" s="6">
        <v>33284</v>
      </c>
      <c r="V7" s="2">
        <v>47037015628</v>
      </c>
      <c r="W7" s="2" t="s">
        <v>68</v>
      </c>
      <c r="X7" s="1">
        <v>45658</v>
      </c>
      <c r="Y7" s="2">
        <v>454600</v>
      </c>
      <c r="Z7" s="2">
        <v>141000</v>
      </c>
      <c r="AA7" s="2">
        <v>313600</v>
      </c>
    </row>
    <row r="8" spans="1:27" x14ac:dyDescent="0.3">
      <c r="A8" s="3">
        <v>32</v>
      </c>
      <c r="B8" s="2" t="str">
        <f>"16300035200"</f>
        <v>16300035200</v>
      </c>
      <c r="C8" s="2" t="s">
        <v>7802</v>
      </c>
      <c r="D8" t="s">
        <v>1945</v>
      </c>
      <c r="E8" s="2" t="s">
        <v>30</v>
      </c>
      <c r="F8" s="2">
        <v>37013</v>
      </c>
      <c r="G8" s="2" t="s">
        <v>2490</v>
      </c>
      <c r="H8" t="s">
        <v>32</v>
      </c>
      <c r="I8" s="6">
        <v>44701</v>
      </c>
      <c r="J8" s="2" t="s">
        <v>7791</v>
      </c>
      <c r="K8" s="2" t="s">
        <v>34</v>
      </c>
      <c r="L8" t="s">
        <v>7792</v>
      </c>
      <c r="M8" t="s">
        <v>29</v>
      </c>
      <c r="N8" t="s">
        <v>30</v>
      </c>
      <c r="O8">
        <v>37219</v>
      </c>
      <c r="P8" t="s">
        <v>7800</v>
      </c>
      <c r="Q8" s="2">
        <v>3.16</v>
      </c>
      <c r="R8" s="2">
        <v>0</v>
      </c>
      <c r="S8" s="2">
        <v>0</v>
      </c>
      <c r="T8" t="s">
        <v>7798</v>
      </c>
      <c r="U8" s="6">
        <v>33368</v>
      </c>
      <c r="V8" s="2">
        <v>47037015628</v>
      </c>
      <c r="W8" s="2" t="s">
        <v>68</v>
      </c>
      <c r="X8" s="1">
        <v>45658</v>
      </c>
      <c r="Y8" s="2">
        <v>1178400</v>
      </c>
      <c r="Z8" s="2">
        <v>352500</v>
      </c>
      <c r="AA8" s="2">
        <v>825900</v>
      </c>
    </row>
    <row r="9" spans="1:27" x14ac:dyDescent="0.3">
      <c r="A9" s="3">
        <v>32</v>
      </c>
      <c r="B9" s="2" t="str">
        <f>"14900012300"</f>
        <v>14900012300</v>
      </c>
      <c r="C9" s="2" t="s">
        <v>7803</v>
      </c>
      <c r="D9" t="s">
        <v>1945</v>
      </c>
      <c r="E9" s="2" t="s">
        <v>30</v>
      </c>
      <c r="F9" s="2">
        <v>37013</v>
      </c>
      <c r="G9" s="2" t="s">
        <v>194</v>
      </c>
      <c r="H9" t="s">
        <v>32</v>
      </c>
      <c r="I9" s="6">
        <v>45565</v>
      </c>
      <c r="J9" s="2" t="s">
        <v>7804</v>
      </c>
      <c r="K9" s="2">
        <v>0</v>
      </c>
      <c r="L9" t="s">
        <v>85</v>
      </c>
      <c r="M9" t="s">
        <v>29</v>
      </c>
      <c r="N9" t="s">
        <v>30</v>
      </c>
      <c r="O9">
        <v>37219</v>
      </c>
      <c r="P9" t="s">
        <v>7805</v>
      </c>
      <c r="Q9" s="2">
        <v>1.64</v>
      </c>
      <c r="R9" s="2">
        <v>282</v>
      </c>
      <c r="S9" s="2">
        <v>239</v>
      </c>
      <c r="T9" t="s">
        <v>7806</v>
      </c>
      <c r="U9" s="6">
        <v>45182</v>
      </c>
      <c r="V9" s="2">
        <v>47037010103</v>
      </c>
      <c r="W9" s="2" t="s">
        <v>68</v>
      </c>
      <c r="X9" s="1">
        <v>45658</v>
      </c>
      <c r="Y9" s="2">
        <v>233900</v>
      </c>
      <c r="Z9" s="2">
        <v>116400</v>
      </c>
      <c r="AA9" s="2">
        <v>117500</v>
      </c>
    </row>
    <row r="10" spans="1:27" x14ac:dyDescent="0.3">
      <c r="A10" s="3">
        <v>32</v>
      </c>
      <c r="B10" s="2" t="str">
        <f>"14900034100"</f>
        <v>14900034100</v>
      </c>
      <c r="C10" s="2" t="s">
        <v>7807</v>
      </c>
      <c r="D10" t="s">
        <v>1945</v>
      </c>
      <c r="E10" s="2" t="s">
        <v>30</v>
      </c>
      <c r="F10" s="2">
        <v>37013</v>
      </c>
      <c r="G10" s="2" t="s">
        <v>194</v>
      </c>
      <c r="H10" t="s">
        <v>32</v>
      </c>
      <c r="I10" s="6">
        <v>45565</v>
      </c>
      <c r="J10" s="2" t="s">
        <v>7804</v>
      </c>
      <c r="K10" s="2">
        <v>0</v>
      </c>
      <c r="L10" t="s">
        <v>85</v>
      </c>
      <c r="M10" t="s">
        <v>29</v>
      </c>
      <c r="N10" t="s">
        <v>30</v>
      </c>
      <c r="O10">
        <v>37219</v>
      </c>
      <c r="P10" t="s">
        <v>7808</v>
      </c>
      <c r="Q10" s="2">
        <v>1.34</v>
      </c>
      <c r="R10" s="2">
        <v>144</v>
      </c>
      <c r="S10" s="2">
        <v>195</v>
      </c>
      <c r="T10" t="s">
        <v>7806</v>
      </c>
      <c r="U10" s="6">
        <v>45182</v>
      </c>
      <c r="V10" s="2">
        <v>47037010103</v>
      </c>
      <c r="W10" s="2" t="s">
        <v>68</v>
      </c>
      <c r="X10" s="1">
        <v>45658</v>
      </c>
      <c r="Y10" s="2">
        <v>378400</v>
      </c>
      <c r="Z10" s="2">
        <v>278900</v>
      </c>
      <c r="AA10" s="2">
        <v>99500</v>
      </c>
    </row>
    <row r="11" spans="1:27" x14ac:dyDescent="0.3">
      <c r="A11" s="3">
        <v>32</v>
      </c>
      <c r="B11" s="2" t="str">
        <f>"17500021300"</f>
        <v>17500021300</v>
      </c>
      <c r="C11" s="2" t="s">
        <v>28</v>
      </c>
      <c r="D11" t="s">
        <v>1945</v>
      </c>
      <c r="E11" s="2" t="s">
        <v>30</v>
      </c>
      <c r="F11" s="2">
        <v>37013</v>
      </c>
      <c r="G11" s="2" t="s">
        <v>64</v>
      </c>
      <c r="H11" t="s">
        <v>32</v>
      </c>
      <c r="I11" s="6">
        <v>42257</v>
      </c>
      <c r="J11" s="2" t="s">
        <v>7809</v>
      </c>
      <c r="K11" s="2">
        <v>0</v>
      </c>
      <c r="L11" t="s">
        <v>35</v>
      </c>
      <c r="M11" t="s">
        <v>29</v>
      </c>
      <c r="N11" t="s">
        <v>30</v>
      </c>
      <c r="O11">
        <v>37219</v>
      </c>
      <c r="P11" t="s">
        <v>7810</v>
      </c>
      <c r="Q11" s="2">
        <v>48.13</v>
      </c>
      <c r="R11" s="2">
        <v>0</v>
      </c>
      <c r="S11" s="2">
        <v>0</v>
      </c>
      <c r="T11" t="s">
        <v>7811</v>
      </c>
      <c r="U11" s="6">
        <v>38996</v>
      </c>
      <c r="V11" s="2">
        <v>47037015630</v>
      </c>
      <c r="W11" s="2" t="s">
        <v>68</v>
      </c>
      <c r="X11" s="1">
        <v>45658</v>
      </c>
      <c r="Y11" s="2">
        <v>1443900</v>
      </c>
      <c r="Z11" s="2">
        <v>0</v>
      </c>
      <c r="AA11" s="2">
        <v>1443900</v>
      </c>
    </row>
    <row r="12" spans="1:27" x14ac:dyDescent="0.3">
      <c r="A12" s="3">
        <v>32</v>
      </c>
      <c r="B12" s="2" t="str">
        <f>"16300022100"</f>
        <v>16300022100</v>
      </c>
      <c r="C12" s="2" t="s">
        <v>7812</v>
      </c>
      <c r="D12" t="s">
        <v>1945</v>
      </c>
      <c r="E12" s="2" t="s">
        <v>30</v>
      </c>
      <c r="F12" s="2">
        <v>37013</v>
      </c>
      <c r="G12" s="2" t="s">
        <v>2495</v>
      </c>
      <c r="H12" t="s">
        <v>32</v>
      </c>
      <c r="I12" s="6">
        <v>44698</v>
      </c>
      <c r="J12" s="2" t="s">
        <v>7813</v>
      </c>
      <c r="K12" s="2">
        <v>20000000</v>
      </c>
      <c r="L12" t="s">
        <v>7814</v>
      </c>
      <c r="M12" t="s">
        <v>29</v>
      </c>
      <c r="N12" t="s">
        <v>30</v>
      </c>
      <c r="O12">
        <v>37201</v>
      </c>
      <c r="P12" t="s">
        <v>7815</v>
      </c>
      <c r="Q12" s="2">
        <v>17.690000000000001</v>
      </c>
      <c r="R12" s="2">
        <v>0</v>
      </c>
      <c r="S12" s="2">
        <v>0</v>
      </c>
      <c r="T12" t="s">
        <v>7816</v>
      </c>
      <c r="U12" s="6">
        <v>27555</v>
      </c>
      <c r="V12" s="2">
        <v>47037015628</v>
      </c>
      <c r="W12" s="2" t="s">
        <v>68</v>
      </c>
      <c r="X12" s="1">
        <v>45658</v>
      </c>
      <c r="Y12" s="2">
        <v>14204100</v>
      </c>
      <c r="Z12" s="2">
        <v>10043000</v>
      </c>
      <c r="AA12" s="2">
        <v>4161100</v>
      </c>
    </row>
    <row r="13" spans="1:27" x14ac:dyDescent="0.3">
      <c r="A13" s="3">
        <v>32</v>
      </c>
      <c r="B13" s="2" t="str">
        <f>"16300042300"</f>
        <v>16300042300</v>
      </c>
      <c r="C13" s="2" t="s">
        <v>7817</v>
      </c>
      <c r="D13" t="s">
        <v>1945</v>
      </c>
      <c r="E13" s="2" t="s">
        <v>30</v>
      </c>
      <c r="F13" s="2">
        <v>37013</v>
      </c>
      <c r="G13" s="2" t="s">
        <v>2490</v>
      </c>
      <c r="H13" t="s">
        <v>32</v>
      </c>
      <c r="I13" s="6">
        <v>44701</v>
      </c>
      <c r="J13" s="2" t="s">
        <v>7791</v>
      </c>
      <c r="K13" s="2" t="s">
        <v>34</v>
      </c>
      <c r="L13" t="s">
        <v>7792</v>
      </c>
      <c r="M13" t="s">
        <v>29</v>
      </c>
      <c r="N13" t="s">
        <v>30</v>
      </c>
      <c r="O13">
        <v>37219</v>
      </c>
      <c r="P13" t="s">
        <v>7818</v>
      </c>
      <c r="Q13" s="2">
        <v>2.62</v>
      </c>
      <c r="R13" s="2">
        <v>232</v>
      </c>
      <c r="S13" s="2">
        <v>151</v>
      </c>
      <c r="T13" t="s">
        <v>7794</v>
      </c>
      <c r="U13" s="6">
        <v>41684</v>
      </c>
      <c r="V13" s="2">
        <v>47037015628</v>
      </c>
      <c r="W13" s="2" t="s">
        <v>68</v>
      </c>
      <c r="X13" s="1">
        <v>45658</v>
      </c>
      <c r="Y13" s="2">
        <v>914100</v>
      </c>
      <c r="Z13" s="2">
        <v>229300</v>
      </c>
      <c r="AA13" s="2">
        <v>684800</v>
      </c>
    </row>
    <row r="14" spans="1:27" x14ac:dyDescent="0.3">
      <c r="A14" s="3">
        <v>32</v>
      </c>
      <c r="B14" s="2" t="str">
        <f>"14900023200"</f>
        <v>14900023200</v>
      </c>
      <c r="C14" s="2" t="s">
        <v>2572</v>
      </c>
      <c r="D14" t="s">
        <v>1945</v>
      </c>
      <c r="E14" s="2" t="s">
        <v>30</v>
      </c>
      <c r="F14" s="2">
        <v>37013</v>
      </c>
      <c r="G14" s="2" t="s">
        <v>64</v>
      </c>
      <c r="H14" t="s">
        <v>32</v>
      </c>
      <c r="I14" s="6">
        <v>45565</v>
      </c>
      <c r="J14" s="2" t="s">
        <v>7819</v>
      </c>
      <c r="K14" s="2">
        <v>0</v>
      </c>
      <c r="L14" t="s">
        <v>85</v>
      </c>
      <c r="M14" t="s">
        <v>29</v>
      </c>
      <c r="N14" t="s">
        <v>30</v>
      </c>
      <c r="O14">
        <v>37219</v>
      </c>
      <c r="P14" t="s">
        <v>7820</v>
      </c>
      <c r="Q14" s="2">
        <v>2.15</v>
      </c>
      <c r="R14" s="2">
        <v>0</v>
      </c>
      <c r="S14" s="2">
        <v>0</v>
      </c>
      <c r="T14" t="s">
        <v>7821</v>
      </c>
      <c r="U14" s="6">
        <v>35300</v>
      </c>
      <c r="V14" s="2">
        <v>47037015626</v>
      </c>
      <c r="W14" s="2" t="s">
        <v>68</v>
      </c>
      <c r="X14" s="1">
        <v>45658</v>
      </c>
      <c r="Y14" s="2">
        <v>148200</v>
      </c>
      <c r="Z14" s="2">
        <v>0</v>
      </c>
      <c r="AA14" s="2">
        <v>148200</v>
      </c>
    </row>
    <row r="15" spans="1:27" x14ac:dyDescent="0.3">
      <c r="A15" s="3">
        <v>32</v>
      </c>
      <c r="B15" s="2" t="str">
        <f>"14900012200"</f>
        <v>14900012200</v>
      </c>
      <c r="C15" s="2" t="s">
        <v>7822</v>
      </c>
      <c r="D15" t="s">
        <v>1945</v>
      </c>
      <c r="E15" s="2" t="s">
        <v>30</v>
      </c>
      <c r="F15" s="2">
        <v>37013</v>
      </c>
      <c r="G15" s="2" t="s">
        <v>194</v>
      </c>
      <c r="H15" t="s">
        <v>32</v>
      </c>
      <c r="I15" s="6">
        <v>45565</v>
      </c>
      <c r="J15" s="2" t="s">
        <v>7819</v>
      </c>
      <c r="K15" s="2">
        <v>0</v>
      </c>
      <c r="L15" t="s">
        <v>85</v>
      </c>
      <c r="M15" t="s">
        <v>29</v>
      </c>
      <c r="N15" t="s">
        <v>30</v>
      </c>
      <c r="O15">
        <v>37219</v>
      </c>
      <c r="P15" t="s">
        <v>7823</v>
      </c>
      <c r="Q15" s="2">
        <v>5</v>
      </c>
      <c r="R15" s="2">
        <v>380</v>
      </c>
      <c r="S15" s="2">
        <v>0</v>
      </c>
      <c r="T15" t="s">
        <v>7824</v>
      </c>
      <c r="U15" s="6">
        <v>45565</v>
      </c>
      <c r="V15" s="2">
        <v>47047037015626</v>
      </c>
      <c r="W15" s="2" t="s">
        <v>68</v>
      </c>
      <c r="X15" s="1">
        <v>45658</v>
      </c>
      <c r="Y15" s="2">
        <v>449100</v>
      </c>
      <c r="Z15" s="2">
        <v>177500</v>
      </c>
      <c r="AA15" s="2">
        <v>271600</v>
      </c>
    </row>
    <row r="16" spans="1:27" x14ac:dyDescent="0.3">
      <c r="A16" s="3">
        <v>32</v>
      </c>
      <c r="B16" s="2" t="str">
        <f>"163120B00100CO"</f>
        <v>163120B00100CO</v>
      </c>
      <c r="C16" s="2" t="s">
        <v>7825</v>
      </c>
      <c r="D16" t="s">
        <v>1945</v>
      </c>
      <c r="E16" s="2" t="s">
        <v>30</v>
      </c>
      <c r="F16" s="2">
        <v>37013</v>
      </c>
      <c r="G16" s="2" t="s">
        <v>64</v>
      </c>
      <c r="H16" t="s">
        <v>32</v>
      </c>
      <c r="I16" s="6">
        <v>42649</v>
      </c>
      <c r="J16" s="2" t="s">
        <v>7826</v>
      </c>
      <c r="K16" s="2">
        <v>0</v>
      </c>
      <c r="L16" t="s">
        <v>85</v>
      </c>
      <c r="M16" t="s">
        <v>29</v>
      </c>
      <c r="N16" t="s">
        <v>30</v>
      </c>
      <c r="O16">
        <v>37219</v>
      </c>
      <c r="P16" t="s">
        <v>7827</v>
      </c>
      <c r="Q16" s="2">
        <v>12.95</v>
      </c>
      <c r="R16" s="2">
        <v>0</v>
      </c>
      <c r="S16" s="2">
        <v>0</v>
      </c>
      <c r="T16" t="s">
        <v>7828</v>
      </c>
      <c r="U16" s="6">
        <v>43468</v>
      </c>
      <c r="V16" s="2">
        <v>47037015629</v>
      </c>
      <c r="W16" s="2" t="s">
        <v>68</v>
      </c>
      <c r="X16" s="1">
        <v>45658</v>
      </c>
      <c r="Y16" s="2">
        <v>1295000</v>
      </c>
      <c r="Z16" s="2">
        <v>0</v>
      </c>
      <c r="AA16" s="2">
        <v>1295000</v>
      </c>
    </row>
    <row r="17" spans="1:27" x14ac:dyDescent="0.3">
      <c r="A17" s="3">
        <v>32</v>
      </c>
      <c r="B17" s="2" t="str">
        <f>"17500012600"</f>
        <v>17500012600</v>
      </c>
      <c r="C17" s="2" t="s">
        <v>28</v>
      </c>
      <c r="D17" t="s">
        <v>1945</v>
      </c>
      <c r="E17" s="2" t="s">
        <v>30</v>
      </c>
      <c r="F17" s="2">
        <v>37013</v>
      </c>
      <c r="G17" s="2" t="s">
        <v>31</v>
      </c>
      <c r="H17" t="s">
        <v>32</v>
      </c>
      <c r="I17" s="6">
        <v>42247</v>
      </c>
      <c r="J17" s="2" t="s">
        <v>7829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7830</v>
      </c>
      <c r="Q17" s="2">
        <v>20</v>
      </c>
      <c r="R17" s="2">
        <v>0</v>
      </c>
      <c r="S17" s="2">
        <v>0</v>
      </c>
      <c r="T17" t="s">
        <v>7831</v>
      </c>
      <c r="U17" s="6">
        <v>28851</v>
      </c>
      <c r="V17" s="2">
        <v>47037015630</v>
      </c>
      <c r="W17" s="2" t="s">
        <v>68</v>
      </c>
      <c r="X17" s="1">
        <v>45658</v>
      </c>
      <c r="Y17" s="2">
        <v>2000000</v>
      </c>
      <c r="Z17" s="2">
        <v>0</v>
      </c>
      <c r="AA17" s="2">
        <v>2000000</v>
      </c>
    </row>
    <row r="18" spans="1:27" x14ac:dyDescent="0.3">
      <c r="A18" s="3">
        <v>32</v>
      </c>
      <c r="B18" s="2" t="str">
        <f>"17500003000"</f>
        <v>17500003000</v>
      </c>
      <c r="C18" s="2" t="s">
        <v>7832</v>
      </c>
      <c r="D18" t="s">
        <v>1945</v>
      </c>
      <c r="E18" s="2" t="s">
        <v>30</v>
      </c>
      <c r="F18" s="2">
        <v>37013</v>
      </c>
      <c r="G18" s="2" t="s">
        <v>31</v>
      </c>
      <c r="H18" t="s">
        <v>32</v>
      </c>
      <c r="I18" s="6">
        <v>42257</v>
      </c>
      <c r="J18" s="2" t="s">
        <v>7833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7834</v>
      </c>
      <c r="Q18" s="2">
        <v>62.81</v>
      </c>
      <c r="R18" s="2">
        <v>0</v>
      </c>
      <c r="S18" s="2">
        <v>0</v>
      </c>
      <c r="T18" t="s">
        <v>7835</v>
      </c>
      <c r="U18" s="6">
        <v>24562</v>
      </c>
      <c r="V18" s="2">
        <v>47037015630</v>
      </c>
      <c r="W18" s="2" t="s">
        <v>68</v>
      </c>
      <c r="X18" s="1">
        <v>45658</v>
      </c>
      <c r="Y18" s="2">
        <v>2551800</v>
      </c>
      <c r="Z18" s="2">
        <v>0</v>
      </c>
      <c r="AA18" s="2">
        <v>2551800</v>
      </c>
    </row>
    <row r="19" spans="1:27" x14ac:dyDescent="0.3">
      <c r="A19" s="3">
        <v>32</v>
      </c>
      <c r="B19" s="2" t="str">
        <f>"17400023700"</f>
        <v>17400023700</v>
      </c>
      <c r="C19" s="2" t="s">
        <v>7836</v>
      </c>
      <c r="D19" t="s">
        <v>1945</v>
      </c>
      <c r="E19" s="2" t="s">
        <v>30</v>
      </c>
      <c r="F19" s="2">
        <v>37013</v>
      </c>
      <c r="G19" s="2" t="s">
        <v>527</v>
      </c>
      <c r="H19" t="s">
        <v>32</v>
      </c>
      <c r="I19" s="6">
        <v>42353</v>
      </c>
      <c r="J19" s="2" t="s">
        <v>7837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7838</v>
      </c>
      <c r="Q19" s="2">
        <v>21.38</v>
      </c>
      <c r="R19" s="2">
        <v>0</v>
      </c>
      <c r="S19" s="2">
        <v>0</v>
      </c>
      <c r="T19" t="s">
        <v>7837</v>
      </c>
      <c r="U19" s="6">
        <v>42353</v>
      </c>
      <c r="V19" s="2">
        <v>47037015630</v>
      </c>
      <c r="W19" s="2" t="s">
        <v>68</v>
      </c>
      <c r="X19" s="1">
        <v>45658</v>
      </c>
      <c r="Y19" s="2">
        <v>248000</v>
      </c>
      <c r="Z19" s="2">
        <v>0</v>
      </c>
      <c r="AA19" s="2">
        <v>248000</v>
      </c>
    </row>
    <row r="20" spans="1:27" x14ac:dyDescent="0.3">
      <c r="A20" s="3">
        <v>32</v>
      </c>
      <c r="B20" s="2" t="str">
        <f>"17500002400"</f>
        <v>17500002400</v>
      </c>
      <c r="C20" s="2" t="s">
        <v>7839</v>
      </c>
      <c r="D20" t="s">
        <v>1945</v>
      </c>
      <c r="E20" s="2" t="s">
        <v>30</v>
      </c>
      <c r="F20" s="2">
        <v>37013</v>
      </c>
      <c r="G20" s="2" t="s">
        <v>194</v>
      </c>
      <c r="H20" t="s">
        <v>32</v>
      </c>
      <c r="I20" s="6">
        <v>43312</v>
      </c>
      <c r="J20" s="2" t="s">
        <v>7840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7841</v>
      </c>
      <c r="Q20" s="2">
        <v>64.08</v>
      </c>
      <c r="R20" s="2">
        <v>0</v>
      </c>
      <c r="S20" s="2">
        <v>0</v>
      </c>
      <c r="T20" t="s">
        <v>278</v>
      </c>
      <c r="U20" s="6">
        <v>36214</v>
      </c>
      <c r="V20" s="2">
        <v>47037015630</v>
      </c>
      <c r="W20" s="2" t="s">
        <v>68</v>
      </c>
      <c r="X20" s="1">
        <v>45658</v>
      </c>
      <c r="Y20" s="2">
        <v>1908100</v>
      </c>
      <c r="Z20" s="2">
        <v>57100</v>
      </c>
      <c r="AA20" s="2">
        <v>1851000</v>
      </c>
    </row>
    <row r="21" spans="1:27" x14ac:dyDescent="0.3">
      <c r="A21" s="3">
        <v>32</v>
      </c>
      <c r="B21" s="2" t="str">
        <f>"17400017200"</f>
        <v>17400017200</v>
      </c>
      <c r="C21" s="2" t="s">
        <v>28</v>
      </c>
      <c r="D21" t="s">
        <v>1945</v>
      </c>
      <c r="E21" s="2" t="s">
        <v>30</v>
      </c>
      <c r="F21" s="2">
        <v>37013</v>
      </c>
      <c r="G21" s="2" t="s">
        <v>31</v>
      </c>
      <c r="H21" t="s">
        <v>32</v>
      </c>
      <c r="I21" s="6">
        <v>42247</v>
      </c>
      <c r="J21" s="2" t="s">
        <v>7842</v>
      </c>
      <c r="K21" s="2">
        <v>0</v>
      </c>
      <c r="L21" t="s">
        <v>35</v>
      </c>
      <c r="M21" t="s">
        <v>29</v>
      </c>
      <c r="N21" t="s">
        <v>30</v>
      </c>
      <c r="O21">
        <v>37219</v>
      </c>
      <c r="P21" t="s">
        <v>7843</v>
      </c>
      <c r="Q21" s="2">
        <v>4.4400000000000004</v>
      </c>
      <c r="R21" s="2">
        <v>0</v>
      </c>
      <c r="S21" s="2">
        <v>0</v>
      </c>
      <c r="T21" t="s">
        <v>7844</v>
      </c>
      <c r="U21" s="6">
        <v>32190</v>
      </c>
      <c r="V21" s="2">
        <v>47037015630</v>
      </c>
      <c r="W21" s="2" t="s">
        <v>68</v>
      </c>
      <c r="X21" s="1">
        <v>45658</v>
      </c>
      <c r="Y21" s="2">
        <v>67400</v>
      </c>
      <c r="Z21" s="2">
        <v>0</v>
      </c>
      <c r="AA21" s="2">
        <v>67400</v>
      </c>
    </row>
    <row r="22" spans="1:27" x14ac:dyDescent="0.3">
      <c r="A22" s="3">
        <v>32</v>
      </c>
      <c r="B22" s="2" t="str">
        <f>"17500013400"</f>
        <v>17500013400</v>
      </c>
      <c r="C22" s="2" t="s">
        <v>28</v>
      </c>
      <c r="D22" t="s">
        <v>1945</v>
      </c>
      <c r="E22" s="2" t="s">
        <v>30</v>
      </c>
      <c r="F22" s="2">
        <v>37013</v>
      </c>
      <c r="G22" s="2" t="s">
        <v>31</v>
      </c>
      <c r="H22" t="s">
        <v>32</v>
      </c>
      <c r="I22" s="6">
        <v>42251</v>
      </c>
      <c r="J22" s="2" t="s">
        <v>7845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7846</v>
      </c>
      <c r="Q22" s="2">
        <v>12.13</v>
      </c>
      <c r="R22" s="2">
        <v>0</v>
      </c>
      <c r="S22" s="2">
        <v>0</v>
      </c>
      <c r="T22" t="s">
        <v>7844</v>
      </c>
      <c r="U22" s="6">
        <v>32190</v>
      </c>
      <c r="V22" s="2">
        <v>47037015630</v>
      </c>
      <c r="W22" s="2" t="s">
        <v>68</v>
      </c>
      <c r="X22" s="1">
        <v>45658</v>
      </c>
      <c r="Y22" s="2">
        <v>138100</v>
      </c>
      <c r="Z22" s="2">
        <v>0</v>
      </c>
      <c r="AA22" s="2">
        <v>138100</v>
      </c>
    </row>
    <row r="23" spans="1:27" x14ac:dyDescent="0.3">
      <c r="A23" s="3">
        <v>32</v>
      </c>
      <c r="B23" s="2" t="str">
        <f>"17500013900"</f>
        <v>17500013900</v>
      </c>
      <c r="C23" s="2" t="s">
        <v>28</v>
      </c>
      <c r="D23" t="s">
        <v>1945</v>
      </c>
      <c r="E23" s="2" t="s">
        <v>30</v>
      </c>
      <c r="F23" s="2">
        <v>37013</v>
      </c>
      <c r="G23" s="2" t="s">
        <v>31</v>
      </c>
      <c r="H23" t="s">
        <v>32</v>
      </c>
      <c r="I23" s="6">
        <v>42251</v>
      </c>
      <c r="J23" s="2" t="s">
        <v>7845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7847</v>
      </c>
      <c r="Q23" s="2">
        <v>27.13</v>
      </c>
      <c r="R23" s="2">
        <v>0</v>
      </c>
      <c r="S23" s="2">
        <v>0</v>
      </c>
      <c r="T23" t="s">
        <v>209</v>
      </c>
      <c r="U23" s="6">
        <v>39814</v>
      </c>
      <c r="V23" s="2">
        <v>47037015630</v>
      </c>
      <c r="W23" s="2" t="s">
        <v>68</v>
      </c>
      <c r="X23" s="1">
        <v>45658</v>
      </c>
      <c r="Y23" s="2">
        <v>355700</v>
      </c>
      <c r="Z23" s="2">
        <v>0</v>
      </c>
      <c r="AA23" s="2">
        <v>355700</v>
      </c>
    </row>
    <row r="24" spans="1:27" x14ac:dyDescent="0.3">
      <c r="A24" s="3">
        <v>32</v>
      </c>
      <c r="B24" s="2" t="str">
        <f>"17500017100"</f>
        <v>17500017100</v>
      </c>
      <c r="C24" s="2" t="s">
        <v>28</v>
      </c>
      <c r="D24" t="s">
        <v>1945</v>
      </c>
      <c r="E24" s="2" t="s">
        <v>30</v>
      </c>
      <c r="F24" s="2">
        <v>37013</v>
      </c>
      <c r="G24" s="2" t="s">
        <v>31</v>
      </c>
      <c r="H24" t="s">
        <v>32</v>
      </c>
      <c r="I24" s="6">
        <v>42247</v>
      </c>
      <c r="J24" s="2" t="s">
        <v>7842</v>
      </c>
      <c r="K24" s="2">
        <v>0</v>
      </c>
      <c r="L24" t="s">
        <v>35</v>
      </c>
      <c r="M24" t="s">
        <v>29</v>
      </c>
      <c r="N24" t="s">
        <v>30</v>
      </c>
      <c r="O24">
        <v>37219</v>
      </c>
      <c r="P24" t="s">
        <v>7848</v>
      </c>
      <c r="Q24" s="2">
        <v>5</v>
      </c>
      <c r="R24" s="2">
        <v>0</v>
      </c>
      <c r="S24" s="2">
        <v>0</v>
      </c>
      <c r="T24" t="s">
        <v>7849</v>
      </c>
      <c r="U24" s="6">
        <v>32190</v>
      </c>
      <c r="V24" s="2">
        <v>47037015630</v>
      </c>
      <c r="W24" s="2" t="s">
        <v>68</v>
      </c>
      <c r="X24" s="1">
        <v>45658</v>
      </c>
      <c r="Y24" s="2">
        <v>75900</v>
      </c>
      <c r="Z24" s="2">
        <v>0</v>
      </c>
      <c r="AA24" s="2">
        <v>75900</v>
      </c>
    </row>
    <row r="25" spans="1:27" x14ac:dyDescent="0.3">
      <c r="A25" s="3">
        <v>32</v>
      </c>
      <c r="B25" s="2" t="str">
        <f>"17500018200"</f>
        <v>17500018200</v>
      </c>
      <c r="C25" s="2" t="s">
        <v>28</v>
      </c>
      <c r="D25" t="s">
        <v>1945</v>
      </c>
      <c r="E25" s="2" t="s">
        <v>30</v>
      </c>
      <c r="F25" s="2">
        <v>37013</v>
      </c>
      <c r="G25" s="2" t="s">
        <v>31</v>
      </c>
      <c r="H25" t="s">
        <v>32</v>
      </c>
      <c r="I25" s="6">
        <v>42251</v>
      </c>
      <c r="J25" s="2" t="s">
        <v>7845</v>
      </c>
      <c r="K25" s="2">
        <v>0</v>
      </c>
      <c r="L25" t="s">
        <v>35</v>
      </c>
      <c r="M25" t="s">
        <v>29</v>
      </c>
      <c r="N25" t="s">
        <v>30</v>
      </c>
      <c r="O25">
        <v>37219</v>
      </c>
      <c r="P25" t="s">
        <v>7850</v>
      </c>
      <c r="Q25" s="2">
        <v>9.15</v>
      </c>
      <c r="R25" s="2">
        <v>0</v>
      </c>
      <c r="S25" s="2">
        <v>0</v>
      </c>
      <c r="T25" t="s">
        <v>7851</v>
      </c>
      <c r="U25" s="6">
        <v>33043</v>
      </c>
      <c r="V25" s="2">
        <v>47037015630</v>
      </c>
      <c r="W25" s="2" t="s">
        <v>68</v>
      </c>
      <c r="X25" s="1">
        <v>45658</v>
      </c>
      <c r="Y25" s="2">
        <v>438200</v>
      </c>
      <c r="Z25" s="2">
        <v>0</v>
      </c>
      <c r="AA25" s="2">
        <v>438200</v>
      </c>
    </row>
    <row r="26" spans="1:27" x14ac:dyDescent="0.3">
      <c r="A26" s="3">
        <v>32</v>
      </c>
      <c r="B26" s="2" t="str">
        <f>"17500002700"</f>
        <v>17500002700</v>
      </c>
      <c r="C26" s="2" t="s">
        <v>7852</v>
      </c>
      <c r="D26" t="s">
        <v>1945</v>
      </c>
      <c r="E26" s="2" t="s">
        <v>30</v>
      </c>
      <c r="F26" s="2">
        <v>37013</v>
      </c>
      <c r="G26" s="2" t="s">
        <v>194</v>
      </c>
      <c r="H26" t="s">
        <v>32</v>
      </c>
      <c r="I26" s="6">
        <v>42257</v>
      </c>
      <c r="J26" s="2" t="s">
        <v>7833</v>
      </c>
      <c r="K26" s="2">
        <v>0</v>
      </c>
      <c r="L26" t="s">
        <v>35</v>
      </c>
      <c r="M26" t="s">
        <v>29</v>
      </c>
      <c r="N26" t="s">
        <v>30</v>
      </c>
      <c r="O26">
        <v>37219</v>
      </c>
      <c r="P26" t="s">
        <v>7853</v>
      </c>
      <c r="Q26" s="2">
        <v>45.55</v>
      </c>
      <c r="R26" s="2">
        <v>0</v>
      </c>
      <c r="S26" s="2">
        <v>0</v>
      </c>
      <c r="T26" t="s">
        <v>7854</v>
      </c>
      <c r="U26" s="6">
        <v>7238</v>
      </c>
      <c r="V26" s="2">
        <v>47037015630</v>
      </c>
      <c r="W26" s="2" t="s">
        <v>68</v>
      </c>
      <c r="X26" s="1">
        <v>45658</v>
      </c>
      <c r="Y26" s="2">
        <v>1800700</v>
      </c>
      <c r="Z26" s="2">
        <v>308900</v>
      </c>
      <c r="AA26" s="2">
        <v>1491800</v>
      </c>
    </row>
    <row r="27" spans="1:27" x14ac:dyDescent="0.3">
      <c r="A27" s="3">
        <v>32</v>
      </c>
      <c r="B27" s="2" t="str">
        <f>"17500010500"</f>
        <v>17500010500</v>
      </c>
      <c r="C27" s="2" t="s">
        <v>28</v>
      </c>
      <c r="D27" t="s">
        <v>1945</v>
      </c>
      <c r="E27" s="2" t="s">
        <v>30</v>
      </c>
      <c r="F27" s="2">
        <v>37013</v>
      </c>
      <c r="G27" s="2" t="s">
        <v>31</v>
      </c>
      <c r="H27" t="s">
        <v>32</v>
      </c>
      <c r="I27" s="6">
        <v>42257</v>
      </c>
      <c r="J27" s="2" t="s">
        <v>7833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7855</v>
      </c>
      <c r="Q27" s="2">
        <v>0.09</v>
      </c>
      <c r="R27" s="2">
        <v>130</v>
      </c>
      <c r="S27" s="2">
        <v>250</v>
      </c>
      <c r="T27" t="s">
        <v>7854</v>
      </c>
      <c r="U27" s="6">
        <v>7238</v>
      </c>
      <c r="V27" s="2">
        <v>47037015630</v>
      </c>
      <c r="W27" s="2" t="s">
        <v>68</v>
      </c>
      <c r="X27" s="1">
        <v>45658</v>
      </c>
      <c r="Y27" s="2">
        <v>2300</v>
      </c>
      <c r="Z27" s="2">
        <v>0</v>
      </c>
      <c r="AA27" s="2">
        <v>2300</v>
      </c>
    </row>
    <row r="28" spans="1:27" x14ac:dyDescent="0.3">
      <c r="A28" s="3">
        <v>32</v>
      </c>
      <c r="B28" s="2" t="str">
        <f>"17500010600"</f>
        <v>17500010600</v>
      </c>
      <c r="C28" s="2" t="s">
        <v>28</v>
      </c>
      <c r="D28" t="s">
        <v>1945</v>
      </c>
      <c r="E28" s="2" t="s">
        <v>30</v>
      </c>
      <c r="F28" s="2">
        <v>37013</v>
      </c>
      <c r="G28" s="2" t="s">
        <v>31</v>
      </c>
      <c r="H28" t="s">
        <v>32</v>
      </c>
      <c r="I28" s="6">
        <v>42257</v>
      </c>
      <c r="J28" s="2" t="s">
        <v>7833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7855</v>
      </c>
      <c r="Q28" s="2">
        <v>0.18</v>
      </c>
      <c r="R28" s="2">
        <v>185</v>
      </c>
      <c r="S28" s="2">
        <v>116</v>
      </c>
      <c r="T28" t="s">
        <v>7856</v>
      </c>
      <c r="U28" s="6">
        <v>31565</v>
      </c>
      <c r="V28" s="2">
        <v>47037015630</v>
      </c>
      <c r="W28" s="2" t="s">
        <v>68</v>
      </c>
      <c r="X28" s="1">
        <v>45658</v>
      </c>
      <c r="Y28" s="2">
        <v>11500</v>
      </c>
      <c r="Z28" s="2">
        <v>0</v>
      </c>
      <c r="AA28" s="2">
        <v>11500</v>
      </c>
    </row>
    <row r="29" spans="1:27" x14ac:dyDescent="0.3">
      <c r="A29" s="3">
        <v>32</v>
      </c>
      <c r="B29" s="2" t="str">
        <f>"17500002900"</f>
        <v>17500002900</v>
      </c>
      <c r="C29" s="2" t="s">
        <v>7857</v>
      </c>
      <c r="D29" t="s">
        <v>1945</v>
      </c>
      <c r="E29" s="2" t="s">
        <v>30</v>
      </c>
      <c r="F29" s="2">
        <v>37013</v>
      </c>
      <c r="G29" s="2" t="s">
        <v>194</v>
      </c>
      <c r="H29" t="s">
        <v>32</v>
      </c>
      <c r="I29" s="6">
        <v>42257</v>
      </c>
      <c r="J29" s="2" t="s">
        <v>7833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7858</v>
      </c>
      <c r="Q29" s="2">
        <v>62.25</v>
      </c>
      <c r="R29" s="2">
        <v>0</v>
      </c>
      <c r="S29" s="2">
        <v>0</v>
      </c>
      <c r="T29" t="s">
        <v>198</v>
      </c>
      <c r="U29" s="6">
        <v>42369</v>
      </c>
      <c r="V29" s="2">
        <v>47037015630</v>
      </c>
      <c r="W29" s="2" t="s">
        <v>68</v>
      </c>
      <c r="X29" s="1">
        <v>45658</v>
      </c>
      <c r="Y29" s="2">
        <v>2264500</v>
      </c>
      <c r="Z29" s="2">
        <v>187600</v>
      </c>
      <c r="AA29" s="2">
        <v>2076900</v>
      </c>
    </row>
    <row r="30" spans="1:27" x14ac:dyDescent="0.3">
      <c r="A30" s="3">
        <v>32</v>
      </c>
      <c r="B30" s="2" t="str">
        <f>"17500021400"</f>
        <v>17500021400</v>
      </c>
      <c r="C30" s="2" t="s">
        <v>28</v>
      </c>
      <c r="D30" t="s">
        <v>1945</v>
      </c>
      <c r="E30" s="2" t="s">
        <v>30</v>
      </c>
      <c r="F30" s="2">
        <v>37013</v>
      </c>
      <c r="G30" s="2" t="s">
        <v>41</v>
      </c>
      <c r="H30" t="s">
        <v>32</v>
      </c>
      <c r="I30" s="6">
        <v>42247</v>
      </c>
      <c r="J30" s="2" t="s">
        <v>7829</v>
      </c>
      <c r="K30" s="2">
        <v>0</v>
      </c>
      <c r="L30" t="s">
        <v>35</v>
      </c>
      <c r="M30" t="s">
        <v>29</v>
      </c>
      <c r="N30" t="s">
        <v>30</v>
      </c>
      <c r="O30">
        <v>37219</v>
      </c>
      <c r="P30" t="s">
        <v>7850</v>
      </c>
      <c r="Q30" s="2">
        <v>6.29</v>
      </c>
      <c r="R30" s="2">
        <v>105</v>
      </c>
      <c r="S30" s="2">
        <v>0</v>
      </c>
      <c r="T30" t="s">
        <v>7859</v>
      </c>
      <c r="U30" s="6">
        <v>39066</v>
      </c>
      <c r="V30" s="2">
        <v>47037015630</v>
      </c>
      <c r="W30" s="2" t="s">
        <v>68</v>
      </c>
      <c r="X30" s="1">
        <v>45658</v>
      </c>
      <c r="Y30" s="2">
        <v>440300</v>
      </c>
      <c r="Z30" s="2">
        <v>0</v>
      </c>
      <c r="AA30" s="2">
        <v>440300</v>
      </c>
    </row>
    <row r="31" spans="1:27" x14ac:dyDescent="0.3">
      <c r="A31" s="3">
        <v>32</v>
      </c>
      <c r="B31" s="2" t="str">
        <f>"17500021500"</f>
        <v>17500021500</v>
      </c>
      <c r="C31" s="2" t="s">
        <v>28</v>
      </c>
      <c r="D31" t="s">
        <v>1945</v>
      </c>
      <c r="E31" s="2" t="s">
        <v>30</v>
      </c>
      <c r="F31" s="2">
        <v>37013</v>
      </c>
      <c r="G31" s="2" t="s">
        <v>41</v>
      </c>
      <c r="H31" t="s">
        <v>32</v>
      </c>
      <c r="I31" s="6">
        <v>39066</v>
      </c>
      <c r="J31" s="2" t="s">
        <v>7859</v>
      </c>
      <c r="K31" s="2">
        <v>0</v>
      </c>
      <c r="L31" t="s">
        <v>35</v>
      </c>
      <c r="M31" t="s">
        <v>29</v>
      </c>
      <c r="N31" t="s">
        <v>30</v>
      </c>
      <c r="O31">
        <v>37219</v>
      </c>
      <c r="P31" t="s">
        <v>7860</v>
      </c>
      <c r="Q31" s="2">
        <v>2.12</v>
      </c>
      <c r="R31" s="2">
        <v>187</v>
      </c>
      <c r="S31" s="2">
        <v>0</v>
      </c>
      <c r="T31" t="s">
        <v>7859</v>
      </c>
      <c r="U31" s="6">
        <v>39066</v>
      </c>
      <c r="V31" s="2">
        <v>47037015630</v>
      </c>
      <c r="W31" s="2" t="s">
        <v>68</v>
      </c>
      <c r="X31" s="1">
        <v>45658</v>
      </c>
      <c r="Y31" s="2">
        <v>148400</v>
      </c>
      <c r="Z31" s="2">
        <v>0</v>
      </c>
      <c r="AA31" s="2">
        <v>148400</v>
      </c>
    </row>
    <row r="32" spans="1:27" x14ac:dyDescent="0.3">
      <c r="A32" s="3">
        <v>32</v>
      </c>
      <c r="B32" s="2" t="str">
        <f>"17500018100"</f>
        <v>17500018100</v>
      </c>
      <c r="C32" s="2" t="s">
        <v>28</v>
      </c>
      <c r="D32" t="s">
        <v>1945</v>
      </c>
      <c r="E32" s="2" t="s">
        <v>30</v>
      </c>
      <c r="F32" s="2">
        <v>37013</v>
      </c>
      <c r="G32" s="2" t="s">
        <v>41</v>
      </c>
      <c r="H32" t="s">
        <v>32</v>
      </c>
      <c r="I32" s="6">
        <v>42247</v>
      </c>
      <c r="J32" s="2" t="s">
        <v>7829</v>
      </c>
      <c r="K32" s="2">
        <v>0</v>
      </c>
      <c r="L32" t="s">
        <v>35</v>
      </c>
      <c r="M32" t="s">
        <v>29</v>
      </c>
      <c r="N32" t="s">
        <v>30</v>
      </c>
      <c r="O32">
        <v>37219</v>
      </c>
      <c r="P32" t="s">
        <v>7861</v>
      </c>
      <c r="Q32" s="2">
        <v>5.25</v>
      </c>
      <c r="R32" s="2">
        <v>0</v>
      </c>
      <c r="S32" s="2">
        <v>0</v>
      </c>
      <c r="T32" t="s">
        <v>7859</v>
      </c>
      <c r="U32" s="6">
        <v>39066</v>
      </c>
      <c r="V32" s="2">
        <v>47037015630</v>
      </c>
      <c r="W32" s="2" t="s">
        <v>68</v>
      </c>
      <c r="X32" s="1">
        <v>45658</v>
      </c>
      <c r="Y32" s="2">
        <v>525000</v>
      </c>
      <c r="Z32" s="2">
        <v>0</v>
      </c>
      <c r="AA32" s="2">
        <v>525000</v>
      </c>
    </row>
    <row r="33" spans="1:27" x14ac:dyDescent="0.3">
      <c r="A33" s="3">
        <v>32</v>
      </c>
      <c r="B33" s="2" t="str">
        <f>"17500002300"</f>
        <v>17500002300</v>
      </c>
      <c r="C33" s="2" t="s">
        <v>28</v>
      </c>
      <c r="D33" t="s">
        <v>1945</v>
      </c>
      <c r="E33" s="2" t="s">
        <v>30</v>
      </c>
      <c r="F33" s="2">
        <v>37013</v>
      </c>
      <c r="G33" s="2" t="s">
        <v>41</v>
      </c>
      <c r="H33" t="s">
        <v>32</v>
      </c>
      <c r="I33" s="6">
        <v>42257</v>
      </c>
      <c r="J33" s="2" t="s">
        <v>7862</v>
      </c>
      <c r="K33" s="2">
        <v>0</v>
      </c>
      <c r="L33" t="s">
        <v>35</v>
      </c>
      <c r="M33" t="s">
        <v>29</v>
      </c>
      <c r="N33" t="s">
        <v>30</v>
      </c>
      <c r="O33">
        <v>37219</v>
      </c>
      <c r="P33" t="s">
        <v>7863</v>
      </c>
      <c r="Q33" s="2">
        <v>168.82</v>
      </c>
      <c r="R33" s="2">
        <v>0</v>
      </c>
      <c r="S33" s="2">
        <v>0</v>
      </c>
      <c r="T33" t="s">
        <v>7864</v>
      </c>
      <c r="U33" s="6">
        <v>43348</v>
      </c>
      <c r="V33" s="2">
        <v>47037015630</v>
      </c>
      <c r="W33" s="2" t="s">
        <v>68</v>
      </c>
      <c r="X33" s="1">
        <v>45658</v>
      </c>
      <c r="Y33" s="2">
        <v>6077500</v>
      </c>
      <c r="Z33" s="2">
        <v>0</v>
      </c>
      <c r="AA33" s="2">
        <v>6077500</v>
      </c>
    </row>
    <row r="34" spans="1:27" x14ac:dyDescent="0.3">
      <c r="A34" s="3">
        <v>32</v>
      </c>
      <c r="B34" s="2" t="str">
        <f>"17500013700"</f>
        <v>17500013700</v>
      </c>
      <c r="C34" s="2" t="s">
        <v>28</v>
      </c>
      <c r="D34" t="s">
        <v>1945</v>
      </c>
      <c r="E34" s="2" t="s">
        <v>30</v>
      </c>
      <c r="F34" s="2">
        <v>37013</v>
      </c>
      <c r="G34" s="2" t="s">
        <v>41</v>
      </c>
      <c r="H34" t="s">
        <v>32</v>
      </c>
      <c r="I34" s="6">
        <v>42247</v>
      </c>
      <c r="J34" s="2" t="s">
        <v>7829</v>
      </c>
      <c r="K34" s="2">
        <v>0</v>
      </c>
      <c r="L34" t="s">
        <v>35</v>
      </c>
      <c r="M34" t="s">
        <v>29</v>
      </c>
      <c r="N34" t="s">
        <v>30</v>
      </c>
      <c r="O34">
        <v>37219</v>
      </c>
      <c r="P34" t="s">
        <v>7847</v>
      </c>
      <c r="Q34" s="2">
        <v>30.57</v>
      </c>
      <c r="R34" s="2">
        <v>0</v>
      </c>
      <c r="S34" s="2">
        <v>0</v>
      </c>
      <c r="T34" t="s">
        <v>7859</v>
      </c>
      <c r="U34" s="6">
        <v>39066</v>
      </c>
      <c r="V34" s="2">
        <v>47037015630</v>
      </c>
      <c r="W34" s="2" t="s">
        <v>68</v>
      </c>
      <c r="X34" s="1">
        <v>45658</v>
      </c>
      <c r="Y34" s="2">
        <v>1528500</v>
      </c>
      <c r="Z34" s="2">
        <v>0</v>
      </c>
      <c r="AA34" s="2">
        <v>1528500</v>
      </c>
    </row>
    <row r="35" spans="1:27" x14ac:dyDescent="0.3">
      <c r="A35" s="3">
        <v>32</v>
      </c>
      <c r="B35" s="2" t="str">
        <f>"16300013300"</f>
        <v>16300013300</v>
      </c>
      <c r="C35" s="2" t="s">
        <v>7865</v>
      </c>
      <c r="D35" t="s">
        <v>1945</v>
      </c>
      <c r="E35" s="2" t="s">
        <v>30</v>
      </c>
      <c r="F35" s="2">
        <v>37013</v>
      </c>
      <c r="G35" s="2" t="s">
        <v>1153</v>
      </c>
      <c r="H35" t="s">
        <v>32</v>
      </c>
      <c r="I35" s="6">
        <v>44111</v>
      </c>
      <c r="J35" s="2" t="s">
        <v>7866</v>
      </c>
      <c r="K35" s="2">
        <v>2900000</v>
      </c>
      <c r="L35" t="s">
        <v>35</v>
      </c>
      <c r="M35" t="s">
        <v>29</v>
      </c>
      <c r="N35" t="s">
        <v>30</v>
      </c>
      <c r="O35">
        <v>37219</v>
      </c>
      <c r="P35" t="s">
        <v>7867</v>
      </c>
      <c r="Q35" s="2">
        <v>38.9</v>
      </c>
      <c r="R35" s="2">
        <v>0</v>
      </c>
      <c r="S35" s="2">
        <v>0</v>
      </c>
      <c r="T35" t="s">
        <v>7868</v>
      </c>
      <c r="U35" s="6">
        <v>25322</v>
      </c>
      <c r="V35" s="2">
        <v>47037015629</v>
      </c>
      <c r="W35" s="2" t="s">
        <v>68</v>
      </c>
      <c r="X35" s="1">
        <v>45658</v>
      </c>
      <c r="Y35" s="2">
        <v>1133300</v>
      </c>
      <c r="Z35" s="2">
        <v>2500</v>
      </c>
      <c r="AA35" s="2">
        <v>1130800</v>
      </c>
    </row>
    <row r="36" spans="1:27" x14ac:dyDescent="0.3">
      <c r="A36" s="3">
        <v>32</v>
      </c>
      <c r="B36" s="2" t="str">
        <f>"16300041700"</f>
        <v>16300041700</v>
      </c>
      <c r="C36" s="2" t="s">
        <v>7869</v>
      </c>
      <c r="D36" t="s">
        <v>1945</v>
      </c>
      <c r="E36" s="2" t="s">
        <v>30</v>
      </c>
      <c r="F36" s="2">
        <v>37013</v>
      </c>
      <c r="G36" s="2" t="s">
        <v>41</v>
      </c>
      <c r="H36" t="s">
        <v>32</v>
      </c>
      <c r="I36" s="6">
        <v>42244</v>
      </c>
      <c r="J36" s="2" t="s">
        <v>7870</v>
      </c>
      <c r="K36" s="2">
        <v>0</v>
      </c>
      <c r="L36" t="s">
        <v>35</v>
      </c>
      <c r="M36" t="s">
        <v>29</v>
      </c>
      <c r="N36" t="s">
        <v>30</v>
      </c>
      <c r="O36">
        <v>37219</v>
      </c>
      <c r="P36" t="s">
        <v>7871</v>
      </c>
      <c r="Q36" s="2">
        <v>23.94</v>
      </c>
      <c r="R36" s="2">
        <v>60</v>
      </c>
      <c r="S36" s="2">
        <v>392</v>
      </c>
      <c r="T36" t="s">
        <v>7872</v>
      </c>
      <c r="U36" s="6">
        <v>40169</v>
      </c>
      <c r="V36" s="2">
        <v>47037015629</v>
      </c>
      <c r="W36" s="2" t="s">
        <v>68</v>
      </c>
      <c r="X36" s="1">
        <v>45658</v>
      </c>
      <c r="Y36" s="2">
        <v>2394000</v>
      </c>
      <c r="Z36" s="2">
        <v>0</v>
      </c>
      <c r="AA36" s="2">
        <v>2394000</v>
      </c>
    </row>
    <row r="37" spans="1:27" x14ac:dyDescent="0.3">
      <c r="A37" s="3">
        <v>32</v>
      </c>
      <c r="B37" s="2" t="str">
        <f>"16300038900"</f>
        <v>16300038900</v>
      </c>
      <c r="C37" s="2" t="s">
        <v>7873</v>
      </c>
      <c r="D37" t="s">
        <v>1945</v>
      </c>
      <c r="E37" s="2" t="s">
        <v>30</v>
      </c>
      <c r="F37" s="2">
        <v>37013</v>
      </c>
      <c r="G37" s="2" t="s">
        <v>870</v>
      </c>
      <c r="H37" t="s">
        <v>32</v>
      </c>
      <c r="I37" s="6">
        <v>42355</v>
      </c>
      <c r="J37" s="2" t="s">
        <v>7874</v>
      </c>
      <c r="K37" s="2">
        <v>0</v>
      </c>
      <c r="L37" t="s">
        <v>35</v>
      </c>
      <c r="M37" t="s">
        <v>29</v>
      </c>
      <c r="N37" t="s">
        <v>30</v>
      </c>
      <c r="O37">
        <v>37219</v>
      </c>
      <c r="P37" t="s">
        <v>7875</v>
      </c>
      <c r="Q37" s="2">
        <v>9.09</v>
      </c>
      <c r="R37" s="2">
        <v>0</v>
      </c>
      <c r="S37" s="2">
        <v>0</v>
      </c>
      <c r="T37" t="s">
        <v>7876</v>
      </c>
      <c r="U37" s="6">
        <v>40078</v>
      </c>
      <c r="V37" s="2">
        <v>47037015629</v>
      </c>
      <c r="W37" s="2" t="s">
        <v>68</v>
      </c>
      <c r="X37" s="1">
        <v>45658</v>
      </c>
      <c r="Y37" s="2">
        <v>1700</v>
      </c>
      <c r="Z37" s="2">
        <v>0</v>
      </c>
      <c r="AA37" s="2">
        <v>1700</v>
      </c>
    </row>
    <row r="38" spans="1:27" x14ac:dyDescent="0.3">
      <c r="A38" s="3">
        <v>32</v>
      </c>
      <c r="B38" s="2" t="str">
        <f>"16300042200"</f>
        <v>16300042200</v>
      </c>
      <c r="C38" s="2" t="s">
        <v>7877</v>
      </c>
      <c r="D38" t="s">
        <v>1945</v>
      </c>
      <c r="E38" s="2" t="s">
        <v>30</v>
      </c>
      <c r="F38" s="2">
        <v>37013</v>
      </c>
      <c r="G38" s="2" t="s">
        <v>152</v>
      </c>
      <c r="H38" t="s">
        <v>32</v>
      </c>
      <c r="I38" s="6">
        <v>41691</v>
      </c>
      <c r="J38" s="2" t="s">
        <v>7878</v>
      </c>
      <c r="K38" s="2">
        <v>0</v>
      </c>
      <c r="L38" t="s">
        <v>35</v>
      </c>
      <c r="M38" t="s">
        <v>29</v>
      </c>
      <c r="N38" t="s">
        <v>30</v>
      </c>
      <c r="O38">
        <v>37219</v>
      </c>
      <c r="P38" t="s">
        <v>7879</v>
      </c>
      <c r="Q38" s="2">
        <v>12.3</v>
      </c>
      <c r="R38" s="2">
        <v>250</v>
      </c>
      <c r="S38" s="2">
        <v>0</v>
      </c>
      <c r="T38" t="s">
        <v>7794</v>
      </c>
      <c r="U38" s="6">
        <v>41684</v>
      </c>
      <c r="V38" s="2">
        <v>47037015628</v>
      </c>
      <c r="W38" s="2" t="s">
        <v>68</v>
      </c>
      <c r="X38" s="1">
        <v>45658</v>
      </c>
      <c r="Y38" s="2">
        <v>3214700</v>
      </c>
      <c r="Z38" s="2">
        <v>0</v>
      </c>
      <c r="AA38" s="2">
        <v>3214700</v>
      </c>
    </row>
    <row r="39" spans="1:27" x14ac:dyDescent="0.3">
      <c r="A39" s="3">
        <v>32</v>
      </c>
      <c r="B39" s="2" t="str">
        <f>"16300025600"</f>
        <v>16300025600</v>
      </c>
      <c r="C39" s="2" t="s">
        <v>7880</v>
      </c>
      <c r="D39" t="s">
        <v>1945</v>
      </c>
      <c r="E39" s="2" t="s">
        <v>30</v>
      </c>
      <c r="F39" s="2">
        <v>37013</v>
      </c>
      <c r="G39" s="2" t="s">
        <v>41</v>
      </c>
      <c r="H39" t="s">
        <v>32</v>
      </c>
      <c r="I39" s="6">
        <v>44701</v>
      </c>
      <c r="J39" s="2" t="s">
        <v>7791</v>
      </c>
      <c r="K39" s="2" t="s">
        <v>34</v>
      </c>
      <c r="L39" t="s">
        <v>7792</v>
      </c>
      <c r="M39" t="s">
        <v>29</v>
      </c>
      <c r="N39" t="s">
        <v>30</v>
      </c>
      <c r="O39">
        <v>37219</v>
      </c>
      <c r="P39" t="s">
        <v>7881</v>
      </c>
      <c r="Q39" s="2">
        <v>0.62</v>
      </c>
      <c r="R39" s="2">
        <v>586</v>
      </c>
      <c r="S39" s="2">
        <v>57</v>
      </c>
      <c r="T39" t="s">
        <v>7794</v>
      </c>
      <c r="U39" s="6">
        <v>41684</v>
      </c>
      <c r="V39" s="2">
        <v>47037015628</v>
      </c>
      <c r="W39" s="2" t="s">
        <v>68</v>
      </c>
      <c r="X39" s="1">
        <v>45658</v>
      </c>
      <c r="Y39" s="2">
        <v>8100</v>
      </c>
      <c r="Z39" s="2">
        <v>0</v>
      </c>
      <c r="AA39" s="2">
        <v>8100</v>
      </c>
    </row>
    <row r="40" spans="1:27" x14ac:dyDescent="0.3">
      <c r="A40" s="3">
        <v>32</v>
      </c>
      <c r="B40" s="2" t="str">
        <f>"16300004700"</f>
        <v>16300004700</v>
      </c>
      <c r="C40" s="2" t="s">
        <v>7882</v>
      </c>
      <c r="D40" t="s">
        <v>1945</v>
      </c>
      <c r="E40" s="2" t="s">
        <v>30</v>
      </c>
      <c r="F40" s="2">
        <v>37013</v>
      </c>
      <c r="G40" s="2" t="s">
        <v>31</v>
      </c>
      <c r="H40" t="s">
        <v>99</v>
      </c>
      <c r="I40" s="6">
        <v>29237</v>
      </c>
      <c r="J40" s="2" t="s">
        <v>7883</v>
      </c>
      <c r="K40" s="2" t="s">
        <v>34</v>
      </c>
      <c r="L40" t="s">
        <v>35</v>
      </c>
      <c r="M40" t="s">
        <v>29</v>
      </c>
      <c r="N40" t="s">
        <v>30</v>
      </c>
      <c r="O40">
        <v>37219</v>
      </c>
      <c r="P40" t="s">
        <v>7884</v>
      </c>
      <c r="Q40" s="2">
        <v>0.73</v>
      </c>
      <c r="R40" s="2">
        <v>160</v>
      </c>
      <c r="S40" s="2">
        <v>170</v>
      </c>
      <c r="T40" t="s">
        <v>7885</v>
      </c>
      <c r="U40" s="6">
        <v>28388</v>
      </c>
      <c r="V40" s="2">
        <v>47037015628</v>
      </c>
      <c r="W40" s="2" t="s">
        <v>68</v>
      </c>
      <c r="X40" s="1">
        <v>45658</v>
      </c>
      <c r="Y40" s="2">
        <v>100000</v>
      </c>
      <c r="Z40" s="2">
        <v>0</v>
      </c>
      <c r="AA40" s="2">
        <v>100000</v>
      </c>
    </row>
    <row r="41" spans="1:27" x14ac:dyDescent="0.3">
      <c r="A41" s="3">
        <v>32</v>
      </c>
      <c r="B41" s="2" t="str">
        <f>"17500021900"</f>
        <v>17500021900</v>
      </c>
      <c r="C41" s="2" t="s">
        <v>7886</v>
      </c>
      <c r="D41" t="s">
        <v>1945</v>
      </c>
      <c r="E41" s="2" t="s">
        <v>30</v>
      </c>
      <c r="F41" s="2">
        <v>37013</v>
      </c>
      <c r="G41" s="2" t="s">
        <v>64</v>
      </c>
      <c r="H41" t="s">
        <v>171</v>
      </c>
      <c r="I41" s="6">
        <v>38422</v>
      </c>
      <c r="J41" s="2" t="s">
        <v>7887</v>
      </c>
      <c r="K41" s="2" t="s">
        <v>34</v>
      </c>
      <c r="L41" t="s">
        <v>35</v>
      </c>
      <c r="M41" t="s">
        <v>29</v>
      </c>
      <c r="N41" t="s">
        <v>30</v>
      </c>
      <c r="O41">
        <v>37219</v>
      </c>
      <c r="P41" t="s">
        <v>7888</v>
      </c>
      <c r="Q41" s="2">
        <v>22.04</v>
      </c>
      <c r="R41" s="2">
        <v>0</v>
      </c>
      <c r="S41" s="2">
        <v>0</v>
      </c>
      <c r="T41" t="s">
        <v>7889</v>
      </c>
      <c r="U41" s="6">
        <v>40198</v>
      </c>
      <c r="V41" s="2">
        <v>47037015630</v>
      </c>
      <c r="W41" s="2" t="s">
        <v>68</v>
      </c>
      <c r="X41" s="1">
        <v>45658</v>
      </c>
      <c r="Y41" s="2">
        <v>1680000</v>
      </c>
      <c r="Z41" s="2">
        <v>0</v>
      </c>
      <c r="AA41" s="2">
        <v>1680000</v>
      </c>
    </row>
    <row r="42" spans="1:27" x14ac:dyDescent="0.3">
      <c r="A42" s="3">
        <v>32</v>
      </c>
      <c r="B42" s="2" t="str">
        <f>"17500016500"</f>
        <v>17500016500</v>
      </c>
      <c r="C42" s="2" t="s">
        <v>7890</v>
      </c>
      <c r="D42" t="s">
        <v>1945</v>
      </c>
      <c r="E42" s="2" t="s">
        <v>30</v>
      </c>
      <c r="F42" s="2">
        <v>37013</v>
      </c>
      <c r="G42" s="2" t="s">
        <v>1485</v>
      </c>
      <c r="H42" t="s">
        <v>176</v>
      </c>
      <c r="I42" s="6">
        <v>32085</v>
      </c>
      <c r="J42" s="2" t="s">
        <v>7891</v>
      </c>
      <c r="K42" s="2">
        <v>219000</v>
      </c>
      <c r="L42" t="s">
        <v>178</v>
      </c>
      <c r="M42" t="s">
        <v>29</v>
      </c>
      <c r="N42" t="s">
        <v>30</v>
      </c>
      <c r="O42">
        <v>37246</v>
      </c>
      <c r="P42" t="s">
        <v>7892</v>
      </c>
      <c r="Q42" s="2">
        <v>5.48</v>
      </c>
      <c r="R42" s="2">
        <v>0</v>
      </c>
      <c r="S42" s="2">
        <v>0</v>
      </c>
      <c r="T42" t="s">
        <v>7891</v>
      </c>
      <c r="U42" s="6">
        <v>32085</v>
      </c>
      <c r="V42" s="2">
        <v>47037015630</v>
      </c>
      <c r="W42" s="2" t="s">
        <v>68</v>
      </c>
      <c r="X42" s="1">
        <v>45658</v>
      </c>
      <c r="Y42" s="2">
        <v>1972800</v>
      </c>
      <c r="Z42" s="2">
        <v>0</v>
      </c>
      <c r="AA42" s="2">
        <v>1972800</v>
      </c>
    </row>
    <row r="43" spans="1:27" x14ac:dyDescent="0.3">
      <c r="A43" s="3">
        <v>32</v>
      </c>
      <c r="B43" s="2" t="str">
        <f>"17400009300"</f>
        <v>17400009300</v>
      </c>
      <c r="C43" s="2" t="s">
        <v>7893</v>
      </c>
      <c r="D43" t="s">
        <v>1945</v>
      </c>
      <c r="E43" s="2" t="s">
        <v>30</v>
      </c>
      <c r="F43" s="2">
        <v>37013</v>
      </c>
      <c r="G43" s="2" t="s">
        <v>152</v>
      </c>
      <c r="H43" t="s">
        <v>176</v>
      </c>
      <c r="I43" s="6">
        <v>28167</v>
      </c>
      <c r="J43" s="2" t="s">
        <v>7894</v>
      </c>
      <c r="K43" s="2" t="s">
        <v>34</v>
      </c>
      <c r="L43" t="s">
        <v>178</v>
      </c>
      <c r="M43" t="s">
        <v>29</v>
      </c>
      <c r="N43" t="s">
        <v>30</v>
      </c>
      <c r="O43">
        <v>37246</v>
      </c>
      <c r="P43" t="s">
        <v>7895</v>
      </c>
      <c r="Q43" s="2">
        <v>8.5399999999999991</v>
      </c>
      <c r="R43" s="2">
        <v>0</v>
      </c>
      <c r="S43" s="2">
        <v>0</v>
      </c>
      <c r="T43" t="s">
        <v>7894</v>
      </c>
      <c r="U43" s="6">
        <v>28167</v>
      </c>
      <c r="V43" s="2">
        <v>47037019117</v>
      </c>
      <c r="W43" s="2" t="s">
        <v>38</v>
      </c>
      <c r="X43" s="1">
        <v>45658</v>
      </c>
      <c r="Y43" s="2">
        <v>512900</v>
      </c>
      <c r="Z43" s="2">
        <v>0</v>
      </c>
      <c r="AA43" s="2">
        <v>512900</v>
      </c>
    </row>
    <row r="44" spans="1:27" x14ac:dyDescent="0.3">
      <c r="A44" s="3">
        <v>32</v>
      </c>
      <c r="B44" s="2" t="str">
        <f>"16200002700"</f>
        <v>16200002700</v>
      </c>
      <c r="C44" s="2" t="s">
        <v>7896</v>
      </c>
      <c r="D44" t="s">
        <v>1945</v>
      </c>
      <c r="E44" s="2" t="s">
        <v>30</v>
      </c>
      <c r="F44" s="2">
        <v>37013</v>
      </c>
      <c r="G44" s="2" t="s">
        <v>253</v>
      </c>
      <c r="H44" t="s">
        <v>6957</v>
      </c>
      <c r="I44" s="6">
        <v>12217</v>
      </c>
      <c r="J44" s="2" t="s">
        <v>7897</v>
      </c>
      <c r="K44" s="2" t="s">
        <v>34</v>
      </c>
      <c r="L44" t="s">
        <v>35</v>
      </c>
      <c r="M44" t="s">
        <v>29</v>
      </c>
      <c r="N44" t="s">
        <v>30</v>
      </c>
      <c r="O44">
        <v>37219</v>
      </c>
      <c r="P44" t="s">
        <v>7898</v>
      </c>
      <c r="Q44" s="2">
        <v>22.7</v>
      </c>
      <c r="R44" s="2">
        <v>0</v>
      </c>
      <c r="S44" s="2">
        <v>0</v>
      </c>
      <c r="T44" t="s">
        <v>7897</v>
      </c>
      <c r="U44" s="6">
        <v>12217</v>
      </c>
      <c r="V44" s="2">
        <v>47037015628</v>
      </c>
      <c r="W44" s="2" t="s">
        <v>68</v>
      </c>
      <c r="X44" s="1">
        <v>45658</v>
      </c>
      <c r="Y44" s="2">
        <v>278200</v>
      </c>
      <c r="Z44" s="2">
        <v>0</v>
      </c>
      <c r="AA44" s="2">
        <v>278200</v>
      </c>
    </row>
    <row r="45" spans="1:27" x14ac:dyDescent="0.3">
      <c r="A45" s="3">
        <v>32</v>
      </c>
      <c r="B45" s="2" t="str">
        <f>"16300032900"</f>
        <v>16300032900</v>
      </c>
      <c r="C45" s="2" t="s">
        <v>7899</v>
      </c>
      <c r="D45" t="s">
        <v>1945</v>
      </c>
      <c r="E45" s="2" t="s">
        <v>30</v>
      </c>
      <c r="F45" s="2">
        <v>37013</v>
      </c>
      <c r="G45" s="2" t="s">
        <v>152</v>
      </c>
      <c r="H45" t="s">
        <v>7900</v>
      </c>
      <c r="I45" s="6">
        <v>32283</v>
      </c>
      <c r="J45" s="2" t="s">
        <v>7901</v>
      </c>
      <c r="K45" s="2">
        <v>0</v>
      </c>
      <c r="L45" t="s">
        <v>35</v>
      </c>
      <c r="M45" t="s">
        <v>29</v>
      </c>
      <c r="N45" t="s">
        <v>30</v>
      </c>
      <c r="O45">
        <v>37219</v>
      </c>
      <c r="P45" t="s">
        <v>7902</v>
      </c>
      <c r="Q45" s="2">
        <v>3</v>
      </c>
      <c r="R45" s="2">
        <v>741</v>
      </c>
      <c r="S45" s="2">
        <v>79</v>
      </c>
      <c r="T45" t="s">
        <v>7903</v>
      </c>
      <c r="U45" s="6">
        <v>32356</v>
      </c>
      <c r="V45" s="2">
        <v>47037015628</v>
      </c>
      <c r="W45" s="2" t="s">
        <v>68</v>
      </c>
      <c r="X45" s="1">
        <v>45658</v>
      </c>
      <c r="Y45" s="2">
        <v>222200</v>
      </c>
      <c r="Z45" s="2">
        <v>0</v>
      </c>
      <c r="AA45" s="2">
        <v>222200</v>
      </c>
    </row>
    <row r="46" spans="1:27" x14ac:dyDescent="0.3">
      <c r="A46" s="3">
        <v>32</v>
      </c>
      <c r="B46" s="2" t="str">
        <f>"16400031900"</f>
        <v>16400031900</v>
      </c>
      <c r="C46" s="2" t="s">
        <v>7904</v>
      </c>
      <c r="D46" t="s">
        <v>1945</v>
      </c>
      <c r="E46" s="2" t="s">
        <v>30</v>
      </c>
      <c r="F46" s="2">
        <v>37013</v>
      </c>
      <c r="G46" s="2" t="s">
        <v>64</v>
      </c>
      <c r="H46" t="s">
        <v>7905</v>
      </c>
      <c r="I46" s="6">
        <v>40679</v>
      </c>
      <c r="J46" s="2" t="s">
        <v>7906</v>
      </c>
      <c r="K46" s="2">
        <v>1000</v>
      </c>
      <c r="L46" t="s">
        <v>35</v>
      </c>
      <c r="M46" t="s">
        <v>29</v>
      </c>
      <c r="N46" t="s">
        <v>30</v>
      </c>
      <c r="O46">
        <v>37219</v>
      </c>
      <c r="P46" t="s">
        <v>7907</v>
      </c>
      <c r="Q46" s="2">
        <v>13.32</v>
      </c>
      <c r="R46" s="2">
        <v>51</v>
      </c>
      <c r="S46" s="2">
        <v>0</v>
      </c>
      <c r="T46" t="s">
        <v>7908</v>
      </c>
      <c r="U46" s="6">
        <v>40966</v>
      </c>
      <c r="V46" s="2">
        <v>47037015630</v>
      </c>
      <c r="W46" s="2" t="s">
        <v>68</v>
      </c>
      <c r="X46" s="1">
        <v>45658</v>
      </c>
      <c r="Y46" s="2">
        <v>2131200</v>
      </c>
      <c r="Z46" s="2">
        <v>0</v>
      </c>
      <c r="AA46" s="2">
        <v>2131200</v>
      </c>
    </row>
    <row r="47" spans="1:27" x14ac:dyDescent="0.3">
      <c r="A47" s="3">
        <v>32</v>
      </c>
      <c r="B47" s="2" t="str">
        <f>"17500021200"</f>
        <v>17500021200</v>
      </c>
      <c r="C47" s="2" t="s">
        <v>7909</v>
      </c>
      <c r="D47" t="s">
        <v>1945</v>
      </c>
      <c r="E47" s="2" t="s">
        <v>30</v>
      </c>
      <c r="F47" s="2">
        <v>37013</v>
      </c>
      <c r="G47" s="2" t="s">
        <v>253</v>
      </c>
      <c r="H47" t="s">
        <v>7910</v>
      </c>
      <c r="I47" s="6">
        <v>38876</v>
      </c>
      <c r="J47" s="2" t="s">
        <v>7911</v>
      </c>
      <c r="K47" s="2">
        <v>1258250</v>
      </c>
      <c r="L47" t="s">
        <v>35</v>
      </c>
      <c r="M47" t="s">
        <v>29</v>
      </c>
      <c r="N47" t="s">
        <v>30</v>
      </c>
      <c r="O47">
        <v>37219</v>
      </c>
      <c r="P47" t="s">
        <v>7912</v>
      </c>
      <c r="Q47" s="2">
        <v>50.33</v>
      </c>
      <c r="R47" s="2">
        <v>0</v>
      </c>
      <c r="S47" s="2">
        <v>0</v>
      </c>
      <c r="T47" t="s">
        <v>7911</v>
      </c>
      <c r="U47" s="6">
        <v>38876</v>
      </c>
      <c r="V47" s="2">
        <v>47037015630</v>
      </c>
      <c r="W47" s="2" t="s">
        <v>68</v>
      </c>
      <c r="X47" s="1">
        <v>45658</v>
      </c>
      <c r="Y47" s="2">
        <v>3019800</v>
      </c>
      <c r="Z47" s="2">
        <v>0</v>
      </c>
      <c r="AA47" s="2">
        <v>3019800</v>
      </c>
    </row>
    <row r="48" spans="1:27" x14ac:dyDescent="0.3">
      <c r="A48" s="3">
        <v>32</v>
      </c>
      <c r="B48" s="2" t="str">
        <f>"14916003000"</f>
        <v>14916003000</v>
      </c>
      <c r="C48" s="2" t="s">
        <v>7913</v>
      </c>
      <c r="D48" t="s">
        <v>1945</v>
      </c>
      <c r="E48" s="2" t="s">
        <v>30</v>
      </c>
      <c r="F48" s="2">
        <v>37013</v>
      </c>
      <c r="G48" s="2" t="s">
        <v>152</v>
      </c>
      <c r="H48" t="s">
        <v>280</v>
      </c>
      <c r="I48" s="6">
        <v>26846</v>
      </c>
      <c r="J48" s="2" t="s">
        <v>1990</v>
      </c>
      <c r="K48" s="2">
        <v>0</v>
      </c>
      <c r="L48" t="s">
        <v>35</v>
      </c>
      <c r="M48" t="s">
        <v>29</v>
      </c>
      <c r="N48" t="s">
        <v>30</v>
      </c>
      <c r="O48">
        <v>37219</v>
      </c>
      <c r="P48" t="s">
        <v>7914</v>
      </c>
      <c r="Q48" s="2">
        <v>2</v>
      </c>
      <c r="R48" s="2">
        <v>0</v>
      </c>
      <c r="S48" s="2">
        <v>0</v>
      </c>
      <c r="T48" t="s">
        <v>7915</v>
      </c>
      <c r="U48" s="6">
        <v>22706</v>
      </c>
      <c r="V48" s="2">
        <v>47037015629</v>
      </c>
      <c r="W48" s="2" t="s">
        <v>68</v>
      </c>
      <c r="X48" s="1">
        <v>45658</v>
      </c>
      <c r="Y48" s="2">
        <v>50000</v>
      </c>
      <c r="Z48" s="2">
        <v>0</v>
      </c>
      <c r="AA48" s="2">
        <v>50000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341B-3045-48C3-BB8A-4F04FFDC1539}">
  <sheetPr>
    <tabColor rgb="FF002060"/>
  </sheetPr>
  <dimension ref="A1:AA34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33</v>
      </c>
      <c r="B2" s="2" t="str">
        <f>"16200030400"</f>
        <v>16200030400</v>
      </c>
      <c r="C2" s="2" t="s">
        <v>7916</v>
      </c>
      <c r="D2" t="s">
        <v>1945</v>
      </c>
      <c r="E2" s="2" t="s">
        <v>30</v>
      </c>
      <c r="F2" s="2">
        <v>37013</v>
      </c>
      <c r="G2" s="2" t="s">
        <v>77</v>
      </c>
      <c r="H2" t="s">
        <v>32</v>
      </c>
      <c r="I2" s="6">
        <v>44690</v>
      </c>
      <c r="J2" s="2" t="s">
        <v>7917</v>
      </c>
      <c r="K2" s="2" t="s">
        <v>34</v>
      </c>
      <c r="L2" t="s">
        <v>35</v>
      </c>
      <c r="M2" t="s">
        <v>29</v>
      </c>
      <c r="N2" t="s">
        <v>30</v>
      </c>
      <c r="O2">
        <v>37219</v>
      </c>
      <c r="P2" t="s">
        <v>7918</v>
      </c>
      <c r="Q2" s="2">
        <v>3.69</v>
      </c>
      <c r="R2" s="2">
        <v>280</v>
      </c>
      <c r="S2" s="2">
        <v>149</v>
      </c>
      <c r="T2" t="s">
        <v>7919</v>
      </c>
      <c r="U2" s="6">
        <v>44033</v>
      </c>
      <c r="V2" s="2">
        <v>47037019109</v>
      </c>
      <c r="W2" s="2" t="s">
        <v>68</v>
      </c>
      <c r="X2" s="1">
        <v>45658</v>
      </c>
      <c r="Y2" s="2">
        <v>302300</v>
      </c>
      <c r="Z2" s="2">
        <v>12400</v>
      </c>
      <c r="AA2" s="2">
        <v>289900</v>
      </c>
    </row>
    <row r="3" spans="1:27" x14ac:dyDescent="0.3">
      <c r="A3" s="3">
        <v>33</v>
      </c>
      <c r="B3" s="2" t="str">
        <f>"16200012300"</f>
        <v>16200012300</v>
      </c>
      <c r="C3" s="2" t="s">
        <v>7920</v>
      </c>
      <c r="D3" t="s">
        <v>1945</v>
      </c>
      <c r="E3" s="2" t="s">
        <v>30</v>
      </c>
      <c r="F3" s="2">
        <v>37013</v>
      </c>
      <c r="G3" s="2" t="s">
        <v>31</v>
      </c>
      <c r="H3" t="s">
        <v>32</v>
      </c>
      <c r="I3" s="6">
        <v>43215</v>
      </c>
      <c r="J3" s="2" t="s">
        <v>7921</v>
      </c>
      <c r="K3" s="2" t="s">
        <v>34</v>
      </c>
      <c r="L3" t="s">
        <v>35</v>
      </c>
      <c r="M3" t="s">
        <v>29</v>
      </c>
      <c r="N3" t="s">
        <v>30</v>
      </c>
      <c r="O3">
        <v>37219</v>
      </c>
      <c r="P3" t="s">
        <v>7922</v>
      </c>
      <c r="Q3" s="2">
        <v>8.69</v>
      </c>
      <c r="R3" s="2">
        <v>0</v>
      </c>
      <c r="S3" s="2">
        <v>0</v>
      </c>
      <c r="T3" t="s">
        <v>7923</v>
      </c>
      <c r="U3" s="6">
        <v>32639</v>
      </c>
      <c r="V3" s="2">
        <v>47037019118</v>
      </c>
      <c r="W3" s="2" t="s">
        <v>68</v>
      </c>
      <c r="X3" s="1">
        <v>45658</v>
      </c>
      <c r="Y3" s="2">
        <v>339500</v>
      </c>
      <c r="Z3" s="2">
        <v>0</v>
      </c>
      <c r="AA3" s="2">
        <v>339500</v>
      </c>
    </row>
    <row r="4" spans="1:27" x14ac:dyDescent="0.3">
      <c r="A4" s="3">
        <v>33</v>
      </c>
      <c r="B4" s="2" t="str">
        <f>"17400023100"</f>
        <v>17400023100</v>
      </c>
      <c r="C4" s="2" t="s">
        <v>7669</v>
      </c>
      <c r="D4" t="s">
        <v>1945</v>
      </c>
      <c r="E4" s="2" t="s">
        <v>30</v>
      </c>
      <c r="F4" s="2">
        <v>37013</v>
      </c>
      <c r="G4" s="2" t="s">
        <v>31</v>
      </c>
      <c r="H4" t="s">
        <v>32</v>
      </c>
      <c r="I4" s="6">
        <v>41639</v>
      </c>
      <c r="J4" s="2" t="s">
        <v>7924</v>
      </c>
      <c r="K4" s="2">
        <v>0</v>
      </c>
      <c r="L4" t="s">
        <v>35</v>
      </c>
      <c r="M4" t="s">
        <v>29</v>
      </c>
      <c r="N4" t="s">
        <v>30</v>
      </c>
      <c r="O4">
        <v>37219</v>
      </c>
      <c r="P4" t="s">
        <v>7925</v>
      </c>
      <c r="Q4" s="2">
        <v>12.44</v>
      </c>
      <c r="R4" s="2">
        <v>661</v>
      </c>
      <c r="S4" s="2">
        <v>0</v>
      </c>
      <c r="T4" t="s">
        <v>7924</v>
      </c>
      <c r="U4" s="6">
        <v>41639</v>
      </c>
      <c r="V4" s="2">
        <v>47037019118</v>
      </c>
      <c r="W4" s="2" t="s">
        <v>38</v>
      </c>
      <c r="X4" s="1">
        <v>45658</v>
      </c>
      <c r="Y4" s="2">
        <v>169300</v>
      </c>
      <c r="Z4" s="2">
        <v>0</v>
      </c>
      <c r="AA4" s="2">
        <v>169300</v>
      </c>
    </row>
    <row r="5" spans="1:27" x14ac:dyDescent="0.3">
      <c r="A5" s="3">
        <v>33</v>
      </c>
      <c r="B5" s="2" t="str">
        <f>"17400023500"</f>
        <v>17400023500</v>
      </c>
      <c r="C5" s="2" t="s">
        <v>7926</v>
      </c>
      <c r="D5" t="s">
        <v>1945</v>
      </c>
      <c r="E5" s="2" t="s">
        <v>30</v>
      </c>
      <c r="F5" s="2">
        <v>37013</v>
      </c>
      <c r="G5" s="2" t="s">
        <v>31</v>
      </c>
      <c r="H5" t="s">
        <v>32</v>
      </c>
      <c r="I5" s="6">
        <v>42212</v>
      </c>
      <c r="J5" s="2" t="s">
        <v>7927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7928</v>
      </c>
      <c r="Q5" s="2">
        <v>3.56</v>
      </c>
      <c r="R5" s="2">
        <v>0</v>
      </c>
      <c r="S5" s="2">
        <v>0</v>
      </c>
      <c r="T5" t="s">
        <v>7927</v>
      </c>
      <c r="U5" s="6">
        <v>42212</v>
      </c>
      <c r="V5" s="2">
        <v>47037019118</v>
      </c>
      <c r="W5" s="2" t="s">
        <v>38</v>
      </c>
      <c r="X5" s="1">
        <v>45658</v>
      </c>
      <c r="Y5" s="2">
        <v>33600</v>
      </c>
      <c r="Z5" s="2">
        <v>0</v>
      </c>
      <c r="AA5" s="2">
        <v>33600</v>
      </c>
    </row>
    <row r="6" spans="1:27" x14ac:dyDescent="0.3">
      <c r="A6" s="3">
        <v>33</v>
      </c>
      <c r="B6" s="2" t="str">
        <f>"16200030500"</f>
        <v>16200030500</v>
      </c>
      <c r="C6" s="2" t="s">
        <v>7916</v>
      </c>
      <c r="D6" t="s">
        <v>1945</v>
      </c>
      <c r="E6" s="2" t="s">
        <v>30</v>
      </c>
      <c r="F6" s="2">
        <v>37013</v>
      </c>
      <c r="G6" s="2" t="s">
        <v>64</v>
      </c>
      <c r="H6" t="s">
        <v>32</v>
      </c>
      <c r="I6" s="6">
        <v>44690</v>
      </c>
      <c r="J6" s="2" t="s">
        <v>7917</v>
      </c>
      <c r="K6" s="2" t="s">
        <v>34</v>
      </c>
      <c r="L6" t="s">
        <v>35</v>
      </c>
      <c r="M6" t="s">
        <v>29</v>
      </c>
      <c r="N6" t="s">
        <v>30</v>
      </c>
      <c r="O6">
        <v>37219</v>
      </c>
      <c r="P6" t="s">
        <v>7929</v>
      </c>
      <c r="Q6" s="2">
        <v>3.07</v>
      </c>
      <c r="R6" s="2">
        <v>95</v>
      </c>
      <c r="S6" s="2">
        <v>70</v>
      </c>
      <c r="T6" t="s">
        <v>7919</v>
      </c>
      <c r="U6" s="6">
        <v>44033</v>
      </c>
      <c r="V6" s="2">
        <v>47037019109</v>
      </c>
      <c r="W6" s="2" t="s">
        <v>68</v>
      </c>
      <c r="X6" s="1">
        <v>45658</v>
      </c>
      <c r="Y6" s="2">
        <v>243300</v>
      </c>
      <c r="Z6" s="2">
        <v>0</v>
      </c>
      <c r="AA6" s="2">
        <v>243300</v>
      </c>
    </row>
    <row r="7" spans="1:27" x14ac:dyDescent="0.3">
      <c r="A7" s="3">
        <v>33</v>
      </c>
      <c r="B7" s="2" t="str">
        <f>"16200030600"</f>
        <v>16200030600</v>
      </c>
      <c r="C7" s="2" t="s">
        <v>7930</v>
      </c>
      <c r="D7" t="s">
        <v>1945</v>
      </c>
      <c r="E7" s="2" t="s">
        <v>30</v>
      </c>
      <c r="F7" s="2">
        <v>37013</v>
      </c>
      <c r="G7" s="2" t="s">
        <v>64</v>
      </c>
      <c r="H7" t="s">
        <v>32</v>
      </c>
      <c r="I7" s="6">
        <v>44690</v>
      </c>
      <c r="J7" s="2" t="s">
        <v>7917</v>
      </c>
      <c r="K7" s="2" t="s">
        <v>34</v>
      </c>
      <c r="L7" t="s">
        <v>35</v>
      </c>
      <c r="M7" t="s">
        <v>29</v>
      </c>
      <c r="N7" t="s">
        <v>30</v>
      </c>
      <c r="O7">
        <v>37219</v>
      </c>
      <c r="P7" t="s">
        <v>7931</v>
      </c>
      <c r="Q7" s="2">
        <v>2.76</v>
      </c>
      <c r="R7" s="2">
        <v>72</v>
      </c>
      <c r="S7" s="2">
        <v>195</v>
      </c>
      <c r="T7" t="s">
        <v>7919</v>
      </c>
      <c r="U7" s="6">
        <v>44033</v>
      </c>
      <c r="V7" s="2">
        <v>47037019109</v>
      </c>
      <c r="W7" s="2" t="s">
        <v>68</v>
      </c>
      <c r="X7" s="1">
        <v>45658</v>
      </c>
      <c r="Y7" s="2">
        <v>219900</v>
      </c>
      <c r="Z7" s="2">
        <v>0</v>
      </c>
      <c r="AA7" s="2">
        <v>219900</v>
      </c>
    </row>
    <row r="8" spans="1:27" x14ac:dyDescent="0.3">
      <c r="A8" s="3">
        <v>33</v>
      </c>
      <c r="B8" s="2" t="str">
        <f>"18800019700"</f>
        <v>18800019700</v>
      </c>
      <c r="C8" s="2" t="s">
        <v>7932</v>
      </c>
      <c r="D8" t="s">
        <v>7933</v>
      </c>
      <c r="E8" s="2" t="s">
        <v>30</v>
      </c>
      <c r="F8" s="2">
        <v>37135</v>
      </c>
      <c r="G8" s="2" t="s">
        <v>34</v>
      </c>
      <c r="H8" t="s">
        <v>7934</v>
      </c>
      <c r="I8" s="6">
        <v>45194</v>
      </c>
      <c r="J8" s="2" t="s">
        <v>7935</v>
      </c>
      <c r="K8" s="2">
        <v>0</v>
      </c>
      <c r="L8" t="s">
        <v>85</v>
      </c>
      <c r="M8" t="s">
        <v>29</v>
      </c>
      <c r="N8" t="s">
        <v>30</v>
      </c>
      <c r="O8">
        <v>37219</v>
      </c>
      <c r="P8" t="s">
        <v>7936</v>
      </c>
      <c r="Q8" s="2">
        <v>5.08</v>
      </c>
      <c r="R8" s="2">
        <v>415</v>
      </c>
      <c r="S8" s="2">
        <v>503</v>
      </c>
      <c r="T8" t="s">
        <v>7935</v>
      </c>
      <c r="U8" s="6">
        <v>45194</v>
      </c>
      <c r="V8" s="2">
        <v>47037010103</v>
      </c>
      <c r="W8" s="2" t="s">
        <v>2599</v>
      </c>
      <c r="X8" s="1">
        <v>45658</v>
      </c>
      <c r="Y8" s="2">
        <v>162600</v>
      </c>
      <c r="Z8" s="2">
        <v>0</v>
      </c>
      <c r="AA8" s="2">
        <v>162600</v>
      </c>
    </row>
    <row r="9" spans="1:27" x14ac:dyDescent="0.3">
      <c r="A9" s="3">
        <v>33</v>
      </c>
      <c r="B9" s="2" t="str">
        <f>"16216004900"</f>
        <v>16216004900</v>
      </c>
      <c r="C9" s="2" t="s">
        <v>7937</v>
      </c>
      <c r="D9" t="s">
        <v>1945</v>
      </c>
      <c r="E9" s="2" t="s">
        <v>30</v>
      </c>
      <c r="F9" s="2">
        <v>37013</v>
      </c>
      <c r="G9" s="2" t="s">
        <v>64</v>
      </c>
      <c r="H9" t="s">
        <v>99</v>
      </c>
      <c r="I9" s="6">
        <v>41297</v>
      </c>
      <c r="J9" s="2" t="s">
        <v>7938</v>
      </c>
      <c r="K9" s="2">
        <v>1024</v>
      </c>
      <c r="L9" t="s">
        <v>35</v>
      </c>
      <c r="M9" t="s">
        <v>29</v>
      </c>
      <c r="N9" t="s">
        <v>30</v>
      </c>
      <c r="O9">
        <v>37219</v>
      </c>
      <c r="P9" t="s">
        <v>7939</v>
      </c>
      <c r="Q9" s="2">
        <v>0.06</v>
      </c>
      <c r="R9" s="2">
        <v>0</v>
      </c>
      <c r="S9" s="2">
        <v>134</v>
      </c>
      <c r="T9" t="s">
        <v>7940</v>
      </c>
      <c r="U9" s="6">
        <v>30565</v>
      </c>
      <c r="V9" s="2">
        <v>47037019118</v>
      </c>
      <c r="W9" s="2" t="s">
        <v>68</v>
      </c>
      <c r="X9" s="1">
        <v>45658</v>
      </c>
      <c r="Y9" s="2">
        <v>5100</v>
      </c>
      <c r="Z9" s="2">
        <v>0</v>
      </c>
      <c r="AA9" s="2">
        <v>5100</v>
      </c>
    </row>
    <row r="10" spans="1:27" x14ac:dyDescent="0.3">
      <c r="A10" s="3">
        <v>33</v>
      </c>
      <c r="B10" s="2" t="str">
        <f>"17304000500"</f>
        <v>17304000500</v>
      </c>
      <c r="C10" s="2" t="s">
        <v>7941</v>
      </c>
      <c r="D10" t="s">
        <v>1945</v>
      </c>
      <c r="E10" s="2" t="s">
        <v>30</v>
      </c>
      <c r="F10" s="2">
        <v>37013</v>
      </c>
      <c r="G10" s="2" t="s">
        <v>64</v>
      </c>
      <c r="H10" t="s">
        <v>99</v>
      </c>
      <c r="I10" s="6">
        <v>41297</v>
      </c>
      <c r="J10" s="2" t="s">
        <v>7942</v>
      </c>
      <c r="K10" s="2">
        <v>1084</v>
      </c>
      <c r="L10" t="s">
        <v>35</v>
      </c>
      <c r="M10" t="s">
        <v>29</v>
      </c>
      <c r="N10" t="s">
        <v>30</v>
      </c>
      <c r="O10">
        <v>37219</v>
      </c>
      <c r="P10" t="s">
        <v>7943</v>
      </c>
      <c r="Q10" s="2">
        <v>0.1</v>
      </c>
      <c r="R10" s="2">
        <v>40</v>
      </c>
      <c r="S10" s="2">
        <v>138</v>
      </c>
      <c r="T10" t="s">
        <v>7944</v>
      </c>
      <c r="U10" s="6">
        <v>31418</v>
      </c>
      <c r="V10" s="2">
        <v>47037019118</v>
      </c>
      <c r="W10" s="2" t="s">
        <v>68</v>
      </c>
      <c r="X10" s="1">
        <v>45658</v>
      </c>
      <c r="Y10" s="2">
        <v>5100</v>
      </c>
      <c r="Z10" s="2">
        <v>0</v>
      </c>
      <c r="AA10" s="2">
        <v>5100</v>
      </c>
    </row>
    <row r="11" spans="1:27" x14ac:dyDescent="0.3">
      <c r="A11" s="3">
        <v>33</v>
      </c>
      <c r="B11" s="2" t="str">
        <f>"16200024500"</f>
        <v>16200024500</v>
      </c>
      <c r="C11" s="2" t="s">
        <v>7945</v>
      </c>
      <c r="D11" t="s">
        <v>1945</v>
      </c>
      <c r="E11" s="2" t="s">
        <v>30</v>
      </c>
      <c r="F11" s="2">
        <v>37013</v>
      </c>
      <c r="G11" s="2" t="s">
        <v>147</v>
      </c>
      <c r="H11" t="s">
        <v>1131</v>
      </c>
      <c r="I11" s="6">
        <v>33918</v>
      </c>
      <c r="J11" s="2" t="s">
        <v>7946</v>
      </c>
      <c r="K11" s="2">
        <v>67000</v>
      </c>
      <c r="L11" t="s">
        <v>35</v>
      </c>
      <c r="M11" t="s">
        <v>29</v>
      </c>
      <c r="N11" t="s">
        <v>30</v>
      </c>
      <c r="O11">
        <v>37219</v>
      </c>
      <c r="P11" t="s">
        <v>7947</v>
      </c>
      <c r="Q11" s="2">
        <v>1.19</v>
      </c>
      <c r="R11" s="2">
        <v>224</v>
      </c>
      <c r="S11" s="2">
        <v>240</v>
      </c>
      <c r="T11" t="s">
        <v>278</v>
      </c>
      <c r="U11" s="6">
        <v>36696</v>
      </c>
      <c r="V11" s="2">
        <v>47037019118</v>
      </c>
      <c r="W11" s="2" t="s">
        <v>68</v>
      </c>
      <c r="X11" s="1">
        <v>45658</v>
      </c>
      <c r="Y11" s="2">
        <v>76800</v>
      </c>
      <c r="Z11" s="2">
        <v>0</v>
      </c>
      <c r="AA11" s="2">
        <v>76800</v>
      </c>
    </row>
    <row r="12" spans="1:27" x14ac:dyDescent="0.3">
      <c r="A12" s="3">
        <v>33</v>
      </c>
      <c r="B12" s="2" t="str">
        <f>"18300016700"</f>
        <v>18300016700</v>
      </c>
      <c r="C12" s="2" t="s">
        <v>7948</v>
      </c>
      <c r="D12" t="s">
        <v>1945</v>
      </c>
      <c r="E12" s="2" t="s">
        <v>30</v>
      </c>
      <c r="F12" s="2">
        <v>37013</v>
      </c>
      <c r="G12" s="2" t="s">
        <v>2379</v>
      </c>
      <c r="H12" t="s">
        <v>176</v>
      </c>
      <c r="I12" s="6">
        <v>45210</v>
      </c>
      <c r="J12" s="2" t="s">
        <v>7949</v>
      </c>
      <c r="K12" s="2">
        <v>550000</v>
      </c>
      <c r="L12" t="s">
        <v>7950</v>
      </c>
      <c r="M12" t="s">
        <v>29</v>
      </c>
      <c r="N12" t="s">
        <v>30</v>
      </c>
      <c r="O12">
        <v>37246</v>
      </c>
      <c r="P12" t="s">
        <v>7951</v>
      </c>
      <c r="Q12" s="2">
        <v>4.1900000000000004</v>
      </c>
      <c r="R12" s="2">
        <v>319</v>
      </c>
      <c r="S12" s="2">
        <v>382</v>
      </c>
      <c r="T12" t="s">
        <v>7952</v>
      </c>
      <c r="U12" s="6">
        <v>39701</v>
      </c>
      <c r="V12" s="2">
        <v>47037019114</v>
      </c>
      <c r="W12" s="2" t="s">
        <v>38</v>
      </c>
      <c r="X12" s="1">
        <v>45658</v>
      </c>
      <c r="Y12" s="2">
        <v>363200</v>
      </c>
      <c r="Z12" s="2">
        <v>14500</v>
      </c>
      <c r="AA12" s="2">
        <v>348700</v>
      </c>
    </row>
    <row r="13" spans="1:27" x14ac:dyDescent="0.3">
      <c r="A13" s="3">
        <v>33</v>
      </c>
      <c r="B13" s="2" t="str">
        <f>"18300016000"</f>
        <v>18300016000</v>
      </c>
      <c r="C13" s="2" t="s">
        <v>7953</v>
      </c>
      <c r="D13" t="s">
        <v>1945</v>
      </c>
      <c r="E13" s="2" t="s">
        <v>30</v>
      </c>
      <c r="F13" s="2">
        <v>37013</v>
      </c>
      <c r="G13" s="2" t="s">
        <v>31</v>
      </c>
      <c r="H13" t="s">
        <v>176</v>
      </c>
      <c r="I13" s="6">
        <v>45210</v>
      </c>
      <c r="J13" s="2" t="s">
        <v>7949</v>
      </c>
      <c r="K13" s="2">
        <v>550000</v>
      </c>
      <c r="L13" t="s">
        <v>7950</v>
      </c>
      <c r="M13" t="s">
        <v>29</v>
      </c>
      <c r="N13" t="s">
        <v>30</v>
      </c>
      <c r="O13">
        <v>37246</v>
      </c>
      <c r="P13" t="s">
        <v>7954</v>
      </c>
      <c r="Q13" s="2">
        <v>0.26</v>
      </c>
      <c r="R13" s="2">
        <v>209</v>
      </c>
      <c r="S13" s="2">
        <v>110</v>
      </c>
      <c r="T13" t="s">
        <v>278</v>
      </c>
      <c r="U13" s="6">
        <v>32714</v>
      </c>
      <c r="V13" s="2">
        <v>47037019114</v>
      </c>
      <c r="W13" s="2" t="s">
        <v>38</v>
      </c>
      <c r="X13" s="1">
        <v>45658</v>
      </c>
      <c r="Y13" s="2">
        <v>6600</v>
      </c>
      <c r="Z13" s="2">
        <v>0</v>
      </c>
      <c r="AA13" s="2">
        <v>6600</v>
      </c>
    </row>
    <row r="14" spans="1:27" x14ac:dyDescent="0.3">
      <c r="A14" s="3">
        <v>33</v>
      </c>
      <c r="B14" s="2" t="str">
        <f>"18200002001"</f>
        <v>18200002001</v>
      </c>
      <c r="C14" s="2" t="s">
        <v>7955</v>
      </c>
      <c r="D14" t="s">
        <v>1945</v>
      </c>
      <c r="E14" s="2" t="s">
        <v>30</v>
      </c>
      <c r="F14" s="2">
        <v>37013</v>
      </c>
      <c r="G14" s="2" t="s">
        <v>194</v>
      </c>
      <c r="H14" t="s">
        <v>206</v>
      </c>
      <c r="I14" s="6">
        <v>30061</v>
      </c>
      <c r="J14" s="2" t="s">
        <v>7956</v>
      </c>
      <c r="K14" s="2" t="s">
        <v>34</v>
      </c>
      <c r="L14" t="s">
        <v>35</v>
      </c>
      <c r="M14" t="s">
        <v>29</v>
      </c>
      <c r="N14" t="s">
        <v>30</v>
      </c>
      <c r="O14">
        <v>37219</v>
      </c>
      <c r="P14" t="s">
        <v>7957</v>
      </c>
      <c r="Q14" s="2">
        <v>7</v>
      </c>
      <c r="R14" s="2">
        <v>0</v>
      </c>
      <c r="S14" s="2">
        <v>0</v>
      </c>
      <c r="T14" t="s">
        <v>278</v>
      </c>
      <c r="U14" s="6">
        <v>36578</v>
      </c>
      <c r="V14" s="2">
        <v>47037019117</v>
      </c>
      <c r="W14" s="2" t="s">
        <v>38</v>
      </c>
      <c r="X14" s="1">
        <v>45658</v>
      </c>
      <c r="Y14" s="2">
        <v>888900</v>
      </c>
      <c r="Z14" s="2">
        <v>213400</v>
      </c>
      <c r="AA14" s="2">
        <v>675500</v>
      </c>
    </row>
    <row r="15" spans="1:27" x14ac:dyDescent="0.3">
      <c r="A15" s="3">
        <v>33</v>
      </c>
      <c r="B15" s="2" t="str">
        <f>"18800000700"</f>
        <v>18800000700</v>
      </c>
      <c r="C15" s="2" t="s">
        <v>7958</v>
      </c>
      <c r="D15" t="s">
        <v>1945</v>
      </c>
      <c r="E15" s="2" t="s">
        <v>30</v>
      </c>
      <c r="F15" s="2">
        <v>37013</v>
      </c>
      <c r="G15" s="2" t="s">
        <v>200</v>
      </c>
      <c r="H15" t="s">
        <v>206</v>
      </c>
      <c r="I15" s="6">
        <v>28051</v>
      </c>
      <c r="J15" s="2" t="s">
        <v>7959</v>
      </c>
      <c r="K15" s="2">
        <v>485000</v>
      </c>
      <c r="L15" t="s">
        <v>35</v>
      </c>
      <c r="M15" t="s">
        <v>29</v>
      </c>
      <c r="N15" t="s">
        <v>30</v>
      </c>
      <c r="O15">
        <v>37219</v>
      </c>
      <c r="P15" t="s">
        <v>7960</v>
      </c>
      <c r="Q15" s="2">
        <v>280.58999999999997</v>
      </c>
      <c r="R15" s="2">
        <v>0</v>
      </c>
      <c r="S15" s="2">
        <v>0</v>
      </c>
      <c r="T15" t="s">
        <v>7959</v>
      </c>
      <c r="U15" s="6">
        <v>28051</v>
      </c>
      <c r="V15" s="2">
        <v>47037019114</v>
      </c>
      <c r="W15" s="2" t="s">
        <v>38</v>
      </c>
      <c r="X15" s="1">
        <v>45658</v>
      </c>
      <c r="Y15" s="2">
        <v>7255600</v>
      </c>
      <c r="Z15" s="2">
        <v>0</v>
      </c>
      <c r="AA15" s="2">
        <v>7255600</v>
      </c>
    </row>
    <row r="16" spans="1:27" x14ac:dyDescent="0.3">
      <c r="A16" s="3">
        <v>33</v>
      </c>
      <c r="B16" s="2" t="str">
        <f>"17400006000"</f>
        <v>17400006000</v>
      </c>
      <c r="C16" s="2" t="s">
        <v>7961</v>
      </c>
      <c r="D16" t="s">
        <v>1945</v>
      </c>
      <c r="E16" s="2" t="s">
        <v>30</v>
      </c>
      <c r="F16" s="2">
        <v>37013</v>
      </c>
      <c r="G16" s="2" t="s">
        <v>253</v>
      </c>
      <c r="H16" t="s">
        <v>7962</v>
      </c>
      <c r="I16" s="6">
        <v>37992</v>
      </c>
      <c r="J16" s="2" t="s">
        <v>7963</v>
      </c>
      <c r="K16" s="2" t="s">
        <v>34</v>
      </c>
      <c r="L16" t="s">
        <v>35</v>
      </c>
      <c r="M16" t="s">
        <v>29</v>
      </c>
      <c r="N16" t="s">
        <v>30</v>
      </c>
      <c r="O16">
        <v>37219</v>
      </c>
      <c r="P16" t="s">
        <v>7964</v>
      </c>
      <c r="Q16" s="2">
        <v>27.81</v>
      </c>
      <c r="R16" s="2">
        <v>0</v>
      </c>
      <c r="S16" s="2">
        <v>0</v>
      </c>
      <c r="T16" t="s">
        <v>7965</v>
      </c>
      <c r="U16" s="6">
        <v>27151</v>
      </c>
      <c r="V16" s="2">
        <v>47037019117</v>
      </c>
      <c r="W16" s="2" t="s">
        <v>38</v>
      </c>
      <c r="X16" s="1">
        <v>45658</v>
      </c>
      <c r="Y16" s="2">
        <v>994600</v>
      </c>
      <c r="Z16" s="2">
        <v>0</v>
      </c>
      <c r="AA16" s="2">
        <v>994600</v>
      </c>
    </row>
    <row r="17" spans="1:27" x14ac:dyDescent="0.3">
      <c r="A17" s="3">
        <v>33</v>
      </c>
      <c r="B17" s="2" t="str">
        <f>"16208007800"</f>
        <v>16208007800</v>
      </c>
      <c r="C17" s="2" t="s">
        <v>7966</v>
      </c>
      <c r="D17" t="s">
        <v>1945</v>
      </c>
      <c r="E17" s="2" t="s">
        <v>30</v>
      </c>
      <c r="F17" s="2">
        <v>37013</v>
      </c>
      <c r="G17" s="2" t="s">
        <v>64</v>
      </c>
      <c r="H17" t="s">
        <v>280</v>
      </c>
      <c r="I17" s="6">
        <v>40898</v>
      </c>
      <c r="J17" s="2" t="s">
        <v>7967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7968</v>
      </c>
      <c r="Q17" s="2">
        <v>0.61</v>
      </c>
      <c r="R17" s="2">
        <v>35</v>
      </c>
      <c r="S17" s="2">
        <v>210</v>
      </c>
      <c r="T17" t="s">
        <v>7969</v>
      </c>
      <c r="U17" s="6">
        <v>27708</v>
      </c>
      <c r="V17" s="2">
        <v>47037019111</v>
      </c>
      <c r="W17" s="2" t="s">
        <v>68</v>
      </c>
      <c r="X17" s="1">
        <v>45658</v>
      </c>
      <c r="Y17" s="2">
        <v>1100</v>
      </c>
      <c r="Z17" s="2">
        <v>0</v>
      </c>
      <c r="AA17" s="2">
        <v>1100</v>
      </c>
    </row>
    <row r="18" spans="1:27" x14ac:dyDescent="0.3">
      <c r="A18" s="3">
        <v>33</v>
      </c>
      <c r="B18" s="2" t="str">
        <f>"16208004700"</f>
        <v>16208004700</v>
      </c>
      <c r="C18" s="2" t="s">
        <v>7970</v>
      </c>
      <c r="D18" t="s">
        <v>1945</v>
      </c>
      <c r="E18" s="2" t="s">
        <v>30</v>
      </c>
      <c r="F18" s="2">
        <v>37013</v>
      </c>
      <c r="G18" s="2" t="s">
        <v>64</v>
      </c>
      <c r="H18" t="s">
        <v>280</v>
      </c>
      <c r="I18" s="6">
        <v>40898</v>
      </c>
      <c r="J18" s="2" t="s">
        <v>7971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7972</v>
      </c>
      <c r="Q18" s="2">
        <v>0.65</v>
      </c>
      <c r="R18" s="2">
        <v>73</v>
      </c>
      <c r="S18" s="2">
        <v>355</v>
      </c>
      <c r="T18" t="s">
        <v>7973</v>
      </c>
      <c r="U18" s="6">
        <v>24660</v>
      </c>
      <c r="V18" s="2">
        <v>47037019111</v>
      </c>
      <c r="W18" s="2" t="s">
        <v>68</v>
      </c>
      <c r="X18" s="1">
        <v>45658</v>
      </c>
      <c r="Y18" s="2">
        <v>1100</v>
      </c>
      <c r="Z18" s="2">
        <v>0</v>
      </c>
      <c r="AA18" s="2">
        <v>1100</v>
      </c>
    </row>
    <row r="19" spans="1:27" x14ac:dyDescent="0.3">
      <c r="A19" s="3">
        <v>33</v>
      </c>
      <c r="B19" s="2" t="str">
        <f>"16208004600"</f>
        <v>16208004600</v>
      </c>
      <c r="C19" s="2" t="s">
        <v>7974</v>
      </c>
      <c r="D19" t="s">
        <v>1945</v>
      </c>
      <c r="E19" s="2" t="s">
        <v>30</v>
      </c>
      <c r="F19" s="2">
        <v>37013</v>
      </c>
      <c r="G19" s="2" t="s">
        <v>64</v>
      </c>
      <c r="H19" t="s">
        <v>280</v>
      </c>
      <c r="I19" s="6">
        <v>40941</v>
      </c>
      <c r="J19" s="2" t="s">
        <v>7975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7976</v>
      </c>
      <c r="Q19" s="2">
        <v>0.32</v>
      </c>
      <c r="R19" s="2">
        <v>73</v>
      </c>
      <c r="S19" s="2">
        <v>302</v>
      </c>
      <c r="T19" t="s">
        <v>7977</v>
      </c>
      <c r="U19" s="6">
        <v>27167</v>
      </c>
      <c r="V19" s="2">
        <v>47037019111</v>
      </c>
      <c r="W19" s="2" t="s">
        <v>68</v>
      </c>
      <c r="X19" s="1">
        <v>45658</v>
      </c>
      <c r="Y19" s="2">
        <v>1000</v>
      </c>
      <c r="Z19" s="2">
        <v>0</v>
      </c>
      <c r="AA19" s="2">
        <v>1000</v>
      </c>
    </row>
    <row r="20" spans="1:27" x14ac:dyDescent="0.3">
      <c r="A20" s="3">
        <v>33</v>
      </c>
      <c r="B20" s="2" t="str">
        <f>"16208004500"</f>
        <v>16208004500</v>
      </c>
      <c r="C20" s="2" t="s">
        <v>7978</v>
      </c>
      <c r="D20" t="s">
        <v>1945</v>
      </c>
      <c r="E20" s="2" t="s">
        <v>30</v>
      </c>
      <c r="F20" s="2">
        <v>37013</v>
      </c>
      <c r="G20" s="2" t="s">
        <v>64</v>
      </c>
      <c r="H20" t="s">
        <v>280</v>
      </c>
      <c r="I20" s="6">
        <v>40932</v>
      </c>
      <c r="J20" s="2" t="s">
        <v>7979</v>
      </c>
      <c r="K20" s="2">
        <v>0</v>
      </c>
      <c r="L20" t="s">
        <v>35</v>
      </c>
      <c r="M20" t="s">
        <v>29</v>
      </c>
      <c r="N20" t="s">
        <v>30</v>
      </c>
      <c r="O20">
        <v>37219</v>
      </c>
      <c r="P20" t="s">
        <v>7980</v>
      </c>
      <c r="Q20" s="2">
        <v>0.47</v>
      </c>
      <c r="R20" s="2">
        <v>73</v>
      </c>
      <c r="S20" s="2">
        <v>261</v>
      </c>
      <c r="T20" t="s">
        <v>7981</v>
      </c>
      <c r="U20" s="6">
        <v>24762</v>
      </c>
      <c r="V20" s="2">
        <v>47037019111</v>
      </c>
      <c r="W20" s="2" t="s">
        <v>68</v>
      </c>
      <c r="X20" s="1">
        <v>45658</v>
      </c>
      <c r="Y20" s="2">
        <v>1100</v>
      </c>
      <c r="Z20" s="2">
        <v>0</v>
      </c>
      <c r="AA20" s="2">
        <v>1100</v>
      </c>
    </row>
    <row r="21" spans="1:27" x14ac:dyDescent="0.3">
      <c r="A21" s="3">
        <v>33</v>
      </c>
      <c r="B21" s="2" t="str">
        <f>"16208004400"</f>
        <v>16208004400</v>
      </c>
      <c r="C21" s="2" t="s">
        <v>7982</v>
      </c>
      <c r="D21" t="s">
        <v>1945</v>
      </c>
      <c r="E21" s="2" t="s">
        <v>30</v>
      </c>
      <c r="F21" s="2">
        <v>37013</v>
      </c>
      <c r="G21" s="2" t="s">
        <v>64</v>
      </c>
      <c r="H21" t="s">
        <v>280</v>
      </c>
      <c r="I21" s="6">
        <v>40897</v>
      </c>
      <c r="J21" s="2" t="s">
        <v>7983</v>
      </c>
      <c r="K21" s="2">
        <v>0</v>
      </c>
      <c r="L21" t="s">
        <v>35</v>
      </c>
      <c r="M21" t="s">
        <v>29</v>
      </c>
      <c r="N21" t="s">
        <v>30</v>
      </c>
      <c r="O21">
        <v>37219</v>
      </c>
      <c r="P21" t="s">
        <v>7984</v>
      </c>
      <c r="Q21" s="2">
        <v>0.42</v>
      </c>
      <c r="R21" s="2">
        <v>73</v>
      </c>
      <c r="S21" s="2">
        <v>229</v>
      </c>
      <c r="T21" t="s">
        <v>7985</v>
      </c>
      <c r="U21" s="6">
        <v>24818</v>
      </c>
      <c r="V21" s="2">
        <v>47037019111</v>
      </c>
      <c r="W21" s="2" t="s">
        <v>68</v>
      </c>
      <c r="X21" s="1">
        <v>45658</v>
      </c>
      <c r="Y21" s="2">
        <v>1000</v>
      </c>
      <c r="Z21" s="2">
        <v>0</v>
      </c>
      <c r="AA21" s="2">
        <v>1000</v>
      </c>
    </row>
    <row r="22" spans="1:27" x14ac:dyDescent="0.3">
      <c r="A22" s="3">
        <v>33</v>
      </c>
      <c r="B22" s="2" t="str">
        <f>"16208008000"</f>
        <v>16208008000</v>
      </c>
      <c r="C22" s="2" t="s">
        <v>7986</v>
      </c>
      <c r="D22" t="s">
        <v>1945</v>
      </c>
      <c r="E22" s="2" t="s">
        <v>30</v>
      </c>
      <c r="F22" s="2">
        <v>37013</v>
      </c>
      <c r="G22" s="2" t="s">
        <v>64</v>
      </c>
      <c r="H22" t="s">
        <v>280</v>
      </c>
      <c r="I22" s="6">
        <v>40898</v>
      </c>
      <c r="J22" s="2" t="s">
        <v>7987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7988</v>
      </c>
      <c r="Q22" s="2">
        <v>0.22</v>
      </c>
      <c r="R22" s="2">
        <v>101</v>
      </c>
      <c r="S22" s="2">
        <v>141</v>
      </c>
      <c r="T22" t="s">
        <v>7969</v>
      </c>
      <c r="U22" s="6">
        <v>27708</v>
      </c>
      <c r="V22" s="2">
        <v>47037019111</v>
      </c>
      <c r="W22" s="2" t="s">
        <v>68</v>
      </c>
      <c r="X22" s="1">
        <v>45658</v>
      </c>
      <c r="Y22" s="2">
        <v>900</v>
      </c>
      <c r="Z22" s="2">
        <v>0</v>
      </c>
      <c r="AA22" s="2">
        <v>900</v>
      </c>
    </row>
    <row r="23" spans="1:27" x14ac:dyDescent="0.3">
      <c r="A23" s="3">
        <v>33</v>
      </c>
      <c r="B23" s="2" t="str">
        <f>"16208004300"</f>
        <v>16208004300</v>
      </c>
      <c r="C23" s="2" t="s">
        <v>7989</v>
      </c>
      <c r="D23" t="s">
        <v>1945</v>
      </c>
      <c r="E23" s="2" t="s">
        <v>30</v>
      </c>
      <c r="F23" s="2">
        <v>37013</v>
      </c>
      <c r="G23" s="2" t="s">
        <v>64</v>
      </c>
      <c r="H23" t="s">
        <v>280</v>
      </c>
      <c r="I23" s="6">
        <v>40897</v>
      </c>
      <c r="J23" s="2" t="s">
        <v>7990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7991</v>
      </c>
      <c r="Q23" s="2">
        <v>0.33</v>
      </c>
      <c r="R23" s="2">
        <v>75</v>
      </c>
      <c r="S23" s="2">
        <v>206</v>
      </c>
      <c r="T23" t="s">
        <v>7992</v>
      </c>
      <c r="U23" s="6">
        <v>24937</v>
      </c>
      <c r="V23" s="2">
        <v>47037019111</v>
      </c>
      <c r="W23" s="2" t="s">
        <v>68</v>
      </c>
      <c r="X23" s="1">
        <v>45658</v>
      </c>
      <c r="Y23" s="2">
        <v>1000</v>
      </c>
      <c r="Z23" s="2">
        <v>0</v>
      </c>
      <c r="AA23" s="2">
        <v>1000</v>
      </c>
    </row>
    <row r="24" spans="1:27" x14ac:dyDescent="0.3">
      <c r="A24" s="3">
        <v>33</v>
      </c>
      <c r="B24" s="2" t="str">
        <f>"16208004200"</f>
        <v>16208004200</v>
      </c>
      <c r="C24" s="2" t="s">
        <v>7993</v>
      </c>
      <c r="D24" t="s">
        <v>1945</v>
      </c>
      <c r="E24" s="2" t="s">
        <v>30</v>
      </c>
      <c r="F24" s="2">
        <v>37013</v>
      </c>
      <c r="G24" s="2" t="s">
        <v>64</v>
      </c>
      <c r="H24" t="s">
        <v>280</v>
      </c>
      <c r="I24" s="6">
        <v>41108</v>
      </c>
      <c r="J24" s="2" t="s">
        <v>7994</v>
      </c>
      <c r="K24" s="2">
        <v>0</v>
      </c>
      <c r="L24" t="s">
        <v>35</v>
      </c>
      <c r="M24" t="s">
        <v>29</v>
      </c>
      <c r="N24" t="s">
        <v>30</v>
      </c>
      <c r="O24">
        <v>37219</v>
      </c>
      <c r="P24" t="s">
        <v>7995</v>
      </c>
      <c r="Q24" s="2">
        <v>0.33</v>
      </c>
      <c r="R24" s="2">
        <v>75</v>
      </c>
      <c r="S24" s="2">
        <v>192</v>
      </c>
      <c r="T24" t="s">
        <v>7996</v>
      </c>
      <c r="U24" s="6">
        <v>26532</v>
      </c>
      <c r="V24" s="2">
        <v>47037019111</v>
      </c>
      <c r="W24" s="2" t="s">
        <v>68</v>
      </c>
      <c r="X24" s="1">
        <v>45658</v>
      </c>
      <c r="Y24" s="2">
        <v>1000</v>
      </c>
      <c r="Z24" s="2">
        <v>0</v>
      </c>
      <c r="AA24" s="2">
        <v>1000</v>
      </c>
    </row>
    <row r="25" spans="1:27" x14ac:dyDescent="0.3">
      <c r="A25" s="3">
        <v>33</v>
      </c>
      <c r="B25" s="2" t="str">
        <f>"16208004100"</f>
        <v>16208004100</v>
      </c>
      <c r="C25" s="2" t="s">
        <v>7997</v>
      </c>
      <c r="D25" t="s">
        <v>1945</v>
      </c>
      <c r="E25" s="2" t="s">
        <v>30</v>
      </c>
      <c r="F25" s="2">
        <v>37013</v>
      </c>
      <c r="G25" s="2" t="s">
        <v>64</v>
      </c>
      <c r="H25" t="s">
        <v>280</v>
      </c>
      <c r="I25" s="6">
        <v>40953</v>
      </c>
      <c r="J25" s="2" t="s">
        <v>7998</v>
      </c>
      <c r="K25" s="2">
        <v>0</v>
      </c>
      <c r="L25" t="s">
        <v>35</v>
      </c>
      <c r="M25" t="s">
        <v>29</v>
      </c>
      <c r="N25" t="s">
        <v>30</v>
      </c>
      <c r="O25">
        <v>37219</v>
      </c>
      <c r="P25" t="s">
        <v>7999</v>
      </c>
      <c r="Q25" s="2">
        <v>0.34</v>
      </c>
      <c r="R25" s="2">
        <v>75</v>
      </c>
      <c r="S25" s="2">
        <v>193</v>
      </c>
      <c r="T25" t="s">
        <v>8000</v>
      </c>
      <c r="U25" s="6">
        <v>24918</v>
      </c>
      <c r="V25" s="2">
        <v>47037019109</v>
      </c>
      <c r="W25" s="2" t="s">
        <v>68</v>
      </c>
      <c r="X25" s="1">
        <v>45658</v>
      </c>
      <c r="Y25" s="2">
        <v>1000</v>
      </c>
      <c r="Z25" s="2">
        <v>0</v>
      </c>
      <c r="AA25" s="2">
        <v>1000</v>
      </c>
    </row>
    <row r="26" spans="1:27" x14ac:dyDescent="0.3">
      <c r="A26" s="3">
        <v>33</v>
      </c>
      <c r="B26" s="2" t="str">
        <f>"16208004000"</f>
        <v>16208004000</v>
      </c>
      <c r="C26" s="2" t="s">
        <v>8001</v>
      </c>
      <c r="D26" t="s">
        <v>1945</v>
      </c>
      <c r="E26" s="2" t="s">
        <v>30</v>
      </c>
      <c r="F26" s="2">
        <v>37013</v>
      </c>
      <c r="G26" s="2" t="s">
        <v>64</v>
      </c>
      <c r="H26" t="s">
        <v>280</v>
      </c>
      <c r="I26" s="6">
        <v>40935</v>
      </c>
      <c r="J26" s="2" t="s">
        <v>8002</v>
      </c>
      <c r="K26" s="2">
        <v>0</v>
      </c>
      <c r="L26" t="s">
        <v>35</v>
      </c>
      <c r="M26" t="s">
        <v>29</v>
      </c>
      <c r="N26" t="s">
        <v>30</v>
      </c>
      <c r="O26">
        <v>37219</v>
      </c>
      <c r="P26" t="s">
        <v>8003</v>
      </c>
      <c r="Q26" s="2">
        <v>0.34</v>
      </c>
      <c r="R26" s="2">
        <v>75</v>
      </c>
      <c r="S26" s="2">
        <v>195</v>
      </c>
      <c r="T26" t="s">
        <v>8004</v>
      </c>
      <c r="U26" s="6">
        <v>24930</v>
      </c>
      <c r="V26" s="2">
        <v>47037019109</v>
      </c>
      <c r="W26" s="2" t="s">
        <v>68</v>
      </c>
      <c r="X26" s="1">
        <v>45658</v>
      </c>
      <c r="Y26" s="2">
        <v>1000</v>
      </c>
      <c r="Z26" s="2">
        <v>0</v>
      </c>
      <c r="AA26" s="2">
        <v>1000</v>
      </c>
    </row>
    <row r="27" spans="1:27" x14ac:dyDescent="0.3">
      <c r="A27" s="3">
        <v>33</v>
      </c>
      <c r="B27" s="2" t="str">
        <f>"16208003800"</f>
        <v>16208003800</v>
      </c>
      <c r="C27" s="2" t="s">
        <v>8005</v>
      </c>
      <c r="D27" t="s">
        <v>1945</v>
      </c>
      <c r="E27" s="2" t="s">
        <v>30</v>
      </c>
      <c r="F27" s="2">
        <v>37013</v>
      </c>
      <c r="G27" s="2" t="s">
        <v>64</v>
      </c>
      <c r="H27" t="s">
        <v>280</v>
      </c>
      <c r="I27" s="6">
        <v>41115</v>
      </c>
      <c r="J27" s="2" t="s">
        <v>8006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8007</v>
      </c>
      <c r="Q27" s="2">
        <v>0.34</v>
      </c>
      <c r="R27" s="2">
        <v>75</v>
      </c>
      <c r="S27" s="2">
        <v>198</v>
      </c>
      <c r="T27" t="s">
        <v>8008</v>
      </c>
      <c r="U27" s="6">
        <v>26764</v>
      </c>
      <c r="V27" s="2">
        <v>47037019111</v>
      </c>
      <c r="W27" s="2" t="s">
        <v>68</v>
      </c>
      <c r="X27" s="1">
        <v>45658</v>
      </c>
      <c r="Y27" s="2">
        <v>1000</v>
      </c>
      <c r="Z27" s="2">
        <v>0</v>
      </c>
      <c r="AA27" s="2">
        <v>1000</v>
      </c>
    </row>
    <row r="28" spans="1:27" x14ac:dyDescent="0.3">
      <c r="A28" s="3">
        <v>33</v>
      </c>
      <c r="B28" s="2" t="str">
        <f>"16208007500"</f>
        <v>16208007500</v>
      </c>
      <c r="C28" s="2" t="s">
        <v>8009</v>
      </c>
      <c r="D28" t="s">
        <v>1945</v>
      </c>
      <c r="E28" s="2" t="s">
        <v>30</v>
      </c>
      <c r="F28" s="2">
        <v>37013</v>
      </c>
      <c r="G28" s="2" t="s">
        <v>64</v>
      </c>
      <c r="H28" t="s">
        <v>280</v>
      </c>
      <c r="I28" s="6">
        <v>40926</v>
      </c>
      <c r="J28" s="2" t="s">
        <v>8010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8011</v>
      </c>
      <c r="Q28" s="2">
        <v>0.22</v>
      </c>
      <c r="R28" s="2">
        <v>55</v>
      </c>
      <c r="S28" s="2">
        <v>100</v>
      </c>
      <c r="T28" t="s">
        <v>7969</v>
      </c>
      <c r="U28" s="6">
        <v>27708</v>
      </c>
      <c r="V28" s="2">
        <v>47037019111</v>
      </c>
      <c r="W28" s="2" t="s">
        <v>68</v>
      </c>
      <c r="X28" s="1">
        <v>45658</v>
      </c>
      <c r="Y28" s="2">
        <v>900</v>
      </c>
      <c r="Z28" s="2">
        <v>0</v>
      </c>
      <c r="AA28" s="2">
        <v>900</v>
      </c>
    </row>
    <row r="29" spans="1:27" x14ac:dyDescent="0.3">
      <c r="A29" s="3">
        <v>33</v>
      </c>
      <c r="B29" s="2" t="str">
        <f>"16210002700"</f>
        <v>16210002700</v>
      </c>
      <c r="C29" s="2" t="s">
        <v>8012</v>
      </c>
      <c r="D29" t="s">
        <v>1945</v>
      </c>
      <c r="E29" s="2" t="s">
        <v>30</v>
      </c>
      <c r="F29" s="2">
        <v>37013</v>
      </c>
      <c r="G29" s="2" t="s">
        <v>64</v>
      </c>
      <c r="H29" t="s">
        <v>280</v>
      </c>
      <c r="I29" s="6">
        <v>39059</v>
      </c>
      <c r="J29" s="2" t="s">
        <v>8013</v>
      </c>
      <c r="K29" s="2">
        <v>138000</v>
      </c>
      <c r="L29" t="s">
        <v>35</v>
      </c>
      <c r="M29" t="s">
        <v>29</v>
      </c>
      <c r="N29" t="s">
        <v>30</v>
      </c>
      <c r="O29">
        <v>37219</v>
      </c>
      <c r="P29" t="s">
        <v>8014</v>
      </c>
      <c r="Q29" s="2">
        <v>0.21</v>
      </c>
      <c r="R29" s="2">
        <v>89</v>
      </c>
      <c r="S29" s="2">
        <v>138</v>
      </c>
      <c r="T29" t="s">
        <v>8015</v>
      </c>
      <c r="U29" s="6">
        <v>27115</v>
      </c>
      <c r="V29" s="2">
        <v>47037019111</v>
      </c>
      <c r="W29" s="2" t="s">
        <v>68</v>
      </c>
      <c r="X29" s="1">
        <v>45658</v>
      </c>
      <c r="Y29" s="2">
        <v>62100</v>
      </c>
      <c r="Z29" s="2">
        <v>0</v>
      </c>
      <c r="AA29" s="2">
        <v>62100</v>
      </c>
    </row>
    <row r="30" spans="1:27" x14ac:dyDescent="0.3">
      <c r="A30" s="3">
        <v>33</v>
      </c>
      <c r="B30" s="2" t="str">
        <f>"16210002800"</f>
        <v>16210002800</v>
      </c>
      <c r="C30" s="2" t="s">
        <v>8016</v>
      </c>
      <c r="D30" t="s">
        <v>1945</v>
      </c>
      <c r="E30" s="2" t="s">
        <v>30</v>
      </c>
      <c r="F30" s="2">
        <v>37013</v>
      </c>
      <c r="G30" s="2" t="s">
        <v>64</v>
      </c>
      <c r="H30" t="s">
        <v>280</v>
      </c>
      <c r="I30" s="6">
        <v>38881</v>
      </c>
      <c r="J30" s="2" t="s">
        <v>8017</v>
      </c>
      <c r="K30" s="2">
        <v>128000</v>
      </c>
      <c r="L30" t="s">
        <v>35</v>
      </c>
      <c r="M30" t="s">
        <v>29</v>
      </c>
      <c r="N30" t="s">
        <v>30</v>
      </c>
      <c r="O30">
        <v>37219</v>
      </c>
      <c r="P30" t="s">
        <v>8018</v>
      </c>
      <c r="Q30" s="2">
        <v>0.27</v>
      </c>
      <c r="R30" s="2">
        <v>90</v>
      </c>
      <c r="S30" s="2">
        <v>147</v>
      </c>
      <c r="T30" t="s">
        <v>8019</v>
      </c>
      <c r="U30" s="6">
        <v>26554</v>
      </c>
      <c r="V30" s="2">
        <v>47037019111</v>
      </c>
      <c r="W30" s="2" t="s">
        <v>68</v>
      </c>
      <c r="X30" s="1">
        <v>45658</v>
      </c>
      <c r="Y30" s="2">
        <v>69000</v>
      </c>
      <c r="Z30" s="2">
        <v>0</v>
      </c>
      <c r="AA30" s="2">
        <v>69000</v>
      </c>
    </row>
    <row r="31" spans="1:27" x14ac:dyDescent="0.3">
      <c r="A31" s="3">
        <v>33</v>
      </c>
      <c r="B31" s="2" t="str">
        <f>"16210002600"</f>
        <v>16210002600</v>
      </c>
      <c r="C31" s="2" t="s">
        <v>8020</v>
      </c>
      <c r="D31" t="s">
        <v>1945</v>
      </c>
      <c r="E31" s="2" t="s">
        <v>30</v>
      </c>
      <c r="F31" s="2">
        <v>37013</v>
      </c>
      <c r="G31" s="2" t="s">
        <v>64</v>
      </c>
      <c r="H31" t="s">
        <v>280</v>
      </c>
      <c r="I31" s="6">
        <v>43469</v>
      </c>
      <c r="J31" s="2" t="s">
        <v>8021</v>
      </c>
      <c r="K31" s="2">
        <v>0</v>
      </c>
      <c r="L31" t="s">
        <v>315</v>
      </c>
      <c r="M31" t="s">
        <v>29</v>
      </c>
      <c r="N31" t="s">
        <v>30</v>
      </c>
      <c r="O31">
        <v>37208</v>
      </c>
      <c r="P31" t="s">
        <v>8022</v>
      </c>
      <c r="Q31" s="2">
        <v>0.2</v>
      </c>
      <c r="R31" s="2">
        <v>89</v>
      </c>
      <c r="S31" s="2">
        <v>130</v>
      </c>
      <c r="T31" t="s">
        <v>8023</v>
      </c>
      <c r="U31" s="6">
        <v>27366</v>
      </c>
      <c r="V31" s="2">
        <v>47037019111</v>
      </c>
      <c r="W31" s="2" t="s">
        <v>68</v>
      </c>
      <c r="X31" s="1">
        <v>45658</v>
      </c>
      <c r="Y31" s="2">
        <v>62100</v>
      </c>
      <c r="Z31" s="2">
        <v>0</v>
      </c>
      <c r="AA31" s="2">
        <v>62100</v>
      </c>
    </row>
    <row r="32" spans="1:27" x14ac:dyDescent="0.3">
      <c r="A32" s="3">
        <v>33</v>
      </c>
      <c r="B32" s="2" t="str">
        <f>"17400009200"</f>
        <v>17400009200</v>
      </c>
      <c r="C32" s="2" t="s">
        <v>8024</v>
      </c>
      <c r="D32" t="s">
        <v>1945</v>
      </c>
      <c r="E32" s="2" t="s">
        <v>30</v>
      </c>
      <c r="F32" s="2">
        <v>37013</v>
      </c>
      <c r="G32" s="2" t="s">
        <v>31</v>
      </c>
      <c r="H32" t="s">
        <v>280</v>
      </c>
      <c r="I32" s="6">
        <v>28037</v>
      </c>
      <c r="J32" s="2" t="s">
        <v>8025</v>
      </c>
      <c r="K32" s="2" t="s">
        <v>34</v>
      </c>
      <c r="L32" t="s">
        <v>35</v>
      </c>
      <c r="M32" t="s">
        <v>29</v>
      </c>
      <c r="N32" t="s">
        <v>30</v>
      </c>
      <c r="O32">
        <v>37219</v>
      </c>
      <c r="P32" t="s">
        <v>8026</v>
      </c>
      <c r="Q32" s="2">
        <v>2.87</v>
      </c>
      <c r="R32" s="2">
        <v>0</v>
      </c>
      <c r="S32" s="2">
        <v>0</v>
      </c>
      <c r="T32" t="s">
        <v>8027</v>
      </c>
      <c r="U32" s="6">
        <v>28166</v>
      </c>
      <c r="V32" s="2">
        <v>47037019117</v>
      </c>
      <c r="W32" s="2" t="s">
        <v>38</v>
      </c>
      <c r="X32" s="1">
        <v>45658</v>
      </c>
      <c r="Y32" s="2">
        <v>81400</v>
      </c>
      <c r="Z32" s="2">
        <v>0</v>
      </c>
      <c r="AA32" s="2">
        <v>81400</v>
      </c>
    </row>
    <row r="33" spans="1:27" x14ac:dyDescent="0.3">
      <c r="A33" s="3">
        <v>33</v>
      </c>
      <c r="B33" s="2" t="str">
        <f>"16210001600"</f>
        <v>16210001600</v>
      </c>
      <c r="C33" s="2" t="s">
        <v>8028</v>
      </c>
      <c r="D33" t="s">
        <v>1945</v>
      </c>
      <c r="E33" s="2" t="s">
        <v>30</v>
      </c>
      <c r="F33" s="2">
        <v>37013</v>
      </c>
      <c r="G33" s="2" t="s">
        <v>64</v>
      </c>
      <c r="H33" t="s">
        <v>1084</v>
      </c>
      <c r="I33" s="6">
        <v>43496</v>
      </c>
      <c r="J33" s="2" t="s">
        <v>8029</v>
      </c>
      <c r="K33" s="2" t="s">
        <v>34</v>
      </c>
      <c r="L33" t="s">
        <v>315</v>
      </c>
      <c r="M33" t="s">
        <v>29</v>
      </c>
      <c r="N33" t="s">
        <v>30</v>
      </c>
      <c r="O33">
        <v>37208</v>
      </c>
      <c r="P33" t="s">
        <v>8030</v>
      </c>
      <c r="Q33" s="2">
        <v>0.69</v>
      </c>
      <c r="R33" s="2">
        <v>129</v>
      </c>
      <c r="S33" s="2">
        <v>259</v>
      </c>
      <c r="T33" t="s">
        <v>8031</v>
      </c>
      <c r="U33" s="6">
        <v>27166</v>
      </c>
      <c r="V33" s="2">
        <v>47037019111</v>
      </c>
      <c r="W33" s="2" t="s">
        <v>68</v>
      </c>
      <c r="X33" s="1">
        <v>45658</v>
      </c>
      <c r="Y33" s="2">
        <v>86300</v>
      </c>
      <c r="Z33" s="2">
        <v>0</v>
      </c>
      <c r="AA33" s="2">
        <v>86300</v>
      </c>
    </row>
    <row r="34" spans="1:27" x14ac:dyDescent="0.3">
      <c r="A34" s="3">
        <v>33</v>
      </c>
      <c r="B34" s="2" t="str">
        <f>"16208005400"</f>
        <v>16208005400</v>
      </c>
      <c r="C34" s="2" t="s">
        <v>8032</v>
      </c>
      <c r="D34" t="s">
        <v>1945</v>
      </c>
      <c r="E34" s="2" t="s">
        <v>30</v>
      </c>
      <c r="F34" s="2">
        <v>37013</v>
      </c>
      <c r="G34" s="2" t="s">
        <v>64</v>
      </c>
      <c r="H34" t="s">
        <v>379</v>
      </c>
      <c r="I34" s="6">
        <v>44145</v>
      </c>
      <c r="J34" s="2" t="s">
        <v>8033</v>
      </c>
      <c r="K34" s="2" t="s">
        <v>34</v>
      </c>
      <c r="L34" t="s">
        <v>1104</v>
      </c>
      <c r="M34" t="s">
        <v>29</v>
      </c>
      <c r="N34" t="s">
        <v>30</v>
      </c>
      <c r="O34">
        <v>37208</v>
      </c>
      <c r="P34" t="s">
        <v>8034</v>
      </c>
      <c r="Q34" s="2">
        <v>0.26</v>
      </c>
      <c r="R34" s="2">
        <v>75</v>
      </c>
      <c r="S34" s="2">
        <v>159</v>
      </c>
      <c r="T34" t="s">
        <v>8035</v>
      </c>
      <c r="U34" s="6">
        <v>26333</v>
      </c>
      <c r="V34" s="2">
        <v>47037019109</v>
      </c>
      <c r="W34" s="2" t="s">
        <v>68</v>
      </c>
      <c r="X34" s="1">
        <v>45658</v>
      </c>
      <c r="Y34" s="2">
        <v>62000</v>
      </c>
      <c r="Z34" s="2">
        <v>0</v>
      </c>
      <c r="AA34" s="2">
        <v>62000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E103-A54E-4B1A-8BF9-E7C4424897C6}">
  <sheetPr>
    <tabColor rgb="FF002060"/>
  </sheetPr>
  <dimension ref="A1:AA47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34</v>
      </c>
      <c r="B2" s="2" t="str">
        <f>"14300001000"</f>
        <v>14300001000</v>
      </c>
      <c r="C2" s="2" t="s">
        <v>8036</v>
      </c>
      <c r="D2" t="s">
        <v>29</v>
      </c>
      <c r="E2" s="2" t="s">
        <v>30</v>
      </c>
      <c r="F2" s="2">
        <v>37221</v>
      </c>
      <c r="G2" s="2" t="s">
        <v>64</v>
      </c>
      <c r="H2" t="s">
        <v>32</v>
      </c>
      <c r="I2" s="6">
        <v>42013</v>
      </c>
      <c r="J2" s="2" t="s">
        <v>8037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8038</v>
      </c>
      <c r="Q2" s="2">
        <v>318.83999999999997</v>
      </c>
      <c r="R2" s="2">
        <v>2373</v>
      </c>
      <c r="S2" s="2">
        <v>0</v>
      </c>
      <c r="T2" t="s">
        <v>8037</v>
      </c>
      <c r="U2" s="6">
        <v>42013</v>
      </c>
      <c r="V2" s="2">
        <v>47037018404</v>
      </c>
      <c r="W2" s="2" t="s">
        <v>38</v>
      </c>
      <c r="X2" s="1">
        <v>45658</v>
      </c>
      <c r="Y2" s="2">
        <v>4419500</v>
      </c>
      <c r="Z2" s="2">
        <v>0</v>
      </c>
      <c r="AA2" s="2">
        <v>4419500</v>
      </c>
    </row>
    <row r="3" spans="1:27" x14ac:dyDescent="0.3">
      <c r="A3" s="3">
        <v>34</v>
      </c>
      <c r="B3" s="2" t="str">
        <f>"14300001100"</f>
        <v>14300001100</v>
      </c>
      <c r="C3" s="2" t="s">
        <v>8039</v>
      </c>
      <c r="D3" t="s">
        <v>29</v>
      </c>
      <c r="E3" s="2" t="s">
        <v>30</v>
      </c>
      <c r="F3" s="2">
        <v>37221</v>
      </c>
      <c r="G3" s="2" t="s">
        <v>64</v>
      </c>
      <c r="H3" t="s">
        <v>32</v>
      </c>
      <c r="I3" s="6">
        <v>45153</v>
      </c>
      <c r="J3" s="2" t="s">
        <v>8040</v>
      </c>
      <c r="K3" s="2">
        <v>0</v>
      </c>
      <c r="L3" t="s">
        <v>85</v>
      </c>
      <c r="M3" t="s">
        <v>29</v>
      </c>
      <c r="N3" t="s">
        <v>30</v>
      </c>
      <c r="O3">
        <v>37219</v>
      </c>
      <c r="P3" t="s">
        <v>8041</v>
      </c>
      <c r="Q3" s="2">
        <v>14.3</v>
      </c>
      <c r="R3" s="2">
        <v>0</v>
      </c>
      <c r="S3" s="2">
        <v>0</v>
      </c>
      <c r="T3" t="s">
        <v>8042</v>
      </c>
      <c r="U3" s="6">
        <v>43834</v>
      </c>
      <c r="V3" s="2">
        <v>47037018404</v>
      </c>
      <c r="W3" s="2" t="s">
        <v>38</v>
      </c>
      <c r="X3" s="1">
        <v>45658</v>
      </c>
      <c r="Y3" s="2">
        <v>800000</v>
      </c>
      <c r="Z3" s="2">
        <v>0</v>
      </c>
      <c r="AA3" s="2">
        <v>800000</v>
      </c>
    </row>
    <row r="4" spans="1:27" x14ac:dyDescent="0.3">
      <c r="A4" s="3">
        <v>34</v>
      </c>
      <c r="B4" s="2" t="str">
        <f>"14300007000"</f>
        <v>14300007000</v>
      </c>
      <c r="C4" s="2" t="s">
        <v>28</v>
      </c>
      <c r="D4" t="s">
        <v>29</v>
      </c>
      <c r="E4" s="2" t="s">
        <v>30</v>
      </c>
      <c r="F4" s="2">
        <v>37221</v>
      </c>
      <c r="G4" s="2" t="s">
        <v>870</v>
      </c>
      <c r="H4" t="s">
        <v>32</v>
      </c>
      <c r="I4" s="6">
        <v>41359</v>
      </c>
      <c r="J4" s="2" t="s">
        <v>8043</v>
      </c>
      <c r="K4" s="2">
        <v>159500</v>
      </c>
      <c r="L4" t="s">
        <v>35</v>
      </c>
      <c r="M4" t="s">
        <v>29</v>
      </c>
      <c r="N4" t="s">
        <v>30</v>
      </c>
      <c r="O4">
        <v>37219</v>
      </c>
      <c r="P4" t="s">
        <v>8044</v>
      </c>
      <c r="Q4" s="2">
        <v>25.48</v>
      </c>
      <c r="R4" s="2">
        <v>0</v>
      </c>
      <c r="S4" s="2">
        <v>0</v>
      </c>
      <c r="T4" t="s">
        <v>8045</v>
      </c>
      <c r="U4" s="6">
        <v>41263</v>
      </c>
      <c r="V4" s="2">
        <v>47037018404</v>
      </c>
      <c r="W4" s="2" t="s">
        <v>38</v>
      </c>
      <c r="X4" s="1">
        <v>45658</v>
      </c>
      <c r="Y4" s="2">
        <v>3750000</v>
      </c>
      <c r="Z4" s="2">
        <v>0</v>
      </c>
      <c r="AA4" s="2">
        <v>3750000</v>
      </c>
    </row>
    <row r="5" spans="1:27" x14ac:dyDescent="0.3">
      <c r="A5" s="3">
        <v>34</v>
      </c>
      <c r="B5" s="2" t="str">
        <f>"14300001300"</f>
        <v>14300001300</v>
      </c>
      <c r="C5" s="2" t="s">
        <v>8046</v>
      </c>
      <c r="D5" t="s">
        <v>29</v>
      </c>
      <c r="E5" s="2" t="s">
        <v>30</v>
      </c>
      <c r="F5" s="2">
        <v>37221</v>
      </c>
      <c r="G5" s="2" t="s">
        <v>194</v>
      </c>
      <c r="H5" t="s">
        <v>32</v>
      </c>
      <c r="I5" s="6">
        <v>44550</v>
      </c>
      <c r="J5" s="2" t="s">
        <v>8047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8048</v>
      </c>
      <c r="Q5" s="2">
        <v>3.56</v>
      </c>
      <c r="R5" s="2">
        <v>0</v>
      </c>
      <c r="S5" s="2">
        <v>0</v>
      </c>
      <c r="T5" t="s">
        <v>62</v>
      </c>
      <c r="U5" s="6">
        <v>30682</v>
      </c>
      <c r="V5" s="2">
        <v>47037018404</v>
      </c>
      <c r="W5" s="2" t="s">
        <v>38</v>
      </c>
      <c r="X5" s="1">
        <v>45658</v>
      </c>
      <c r="Y5" s="2">
        <v>435300</v>
      </c>
      <c r="Z5" s="2">
        <v>204400</v>
      </c>
      <c r="AA5" s="2">
        <v>230900</v>
      </c>
    </row>
    <row r="6" spans="1:27" x14ac:dyDescent="0.3">
      <c r="A6" s="3">
        <v>34</v>
      </c>
      <c r="B6" s="2" t="str">
        <f>"14300002900"</f>
        <v>14300002900</v>
      </c>
      <c r="C6" s="2" t="s">
        <v>6163</v>
      </c>
      <c r="D6" t="s">
        <v>29</v>
      </c>
      <c r="E6" s="2" t="s">
        <v>30</v>
      </c>
      <c r="F6" s="2">
        <v>37221</v>
      </c>
      <c r="G6" s="2" t="s">
        <v>64</v>
      </c>
      <c r="H6" t="s">
        <v>32</v>
      </c>
      <c r="I6" s="6">
        <v>45100</v>
      </c>
      <c r="J6" s="2" t="s">
        <v>8049</v>
      </c>
      <c r="K6" s="2">
        <v>0</v>
      </c>
      <c r="L6" t="s">
        <v>8050</v>
      </c>
      <c r="M6" t="s">
        <v>29</v>
      </c>
      <c r="N6" t="s">
        <v>30</v>
      </c>
      <c r="O6">
        <v>37219</v>
      </c>
      <c r="P6" t="s">
        <v>8051</v>
      </c>
      <c r="Q6" s="2">
        <v>4.5999999999999996</v>
      </c>
      <c r="R6" s="2">
        <v>0</v>
      </c>
      <c r="S6" s="2">
        <v>0</v>
      </c>
      <c r="T6" t="s">
        <v>8052</v>
      </c>
      <c r="U6" s="6">
        <v>24322</v>
      </c>
      <c r="V6" s="2">
        <v>47037018404</v>
      </c>
      <c r="W6" s="2" t="s">
        <v>38</v>
      </c>
      <c r="X6" s="1">
        <v>45658</v>
      </c>
      <c r="Y6" s="2">
        <v>239500</v>
      </c>
      <c r="Z6" s="2">
        <v>0</v>
      </c>
      <c r="AA6" s="2">
        <v>239500</v>
      </c>
    </row>
    <row r="7" spans="1:27" x14ac:dyDescent="0.3">
      <c r="A7" s="3">
        <v>34</v>
      </c>
      <c r="B7" s="2" t="str">
        <f>"14300001500"</f>
        <v>14300001500</v>
      </c>
      <c r="C7" s="2" t="s">
        <v>8053</v>
      </c>
      <c r="D7" t="s">
        <v>29</v>
      </c>
      <c r="E7" s="2" t="s">
        <v>30</v>
      </c>
      <c r="F7" s="2">
        <v>37221</v>
      </c>
      <c r="G7" s="2" t="s">
        <v>194</v>
      </c>
      <c r="H7" t="s">
        <v>32</v>
      </c>
      <c r="I7" s="6">
        <v>45148</v>
      </c>
      <c r="J7" s="2" t="s">
        <v>8054</v>
      </c>
      <c r="K7" s="2">
        <v>0</v>
      </c>
      <c r="L7" t="s">
        <v>85</v>
      </c>
      <c r="M7" t="s">
        <v>29</v>
      </c>
      <c r="N7" t="s">
        <v>30</v>
      </c>
      <c r="O7">
        <v>37219</v>
      </c>
      <c r="P7" t="s">
        <v>8055</v>
      </c>
      <c r="Q7" s="2">
        <v>7.81</v>
      </c>
      <c r="R7" s="2">
        <v>0</v>
      </c>
      <c r="S7" s="2">
        <v>0</v>
      </c>
      <c r="T7" t="s">
        <v>8056</v>
      </c>
      <c r="U7" s="6">
        <v>24859</v>
      </c>
      <c r="V7" s="2">
        <v>47037018404</v>
      </c>
      <c r="W7" s="2" t="s">
        <v>38</v>
      </c>
      <c r="X7" s="1">
        <v>45658</v>
      </c>
      <c r="Y7" s="2">
        <v>815300</v>
      </c>
      <c r="Z7" s="2">
        <v>543600</v>
      </c>
      <c r="AA7" s="2">
        <v>271700</v>
      </c>
    </row>
    <row r="8" spans="1:27" x14ac:dyDescent="0.3">
      <c r="A8" s="3">
        <v>34</v>
      </c>
      <c r="B8" s="2" t="str">
        <f>"14300001800"</f>
        <v>14300001800</v>
      </c>
      <c r="C8" s="2" t="s">
        <v>8057</v>
      </c>
      <c r="D8" t="s">
        <v>29</v>
      </c>
      <c r="E8" s="2" t="s">
        <v>30</v>
      </c>
      <c r="F8" s="2">
        <v>37221</v>
      </c>
      <c r="G8" s="2" t="s">
        <v>64</v>
      </c>
      <c r="H8" t="s">
        <v>32</v>
      </c>
      <c r="I8" s="6">
        <v>45148</v>
      </c>
      <c r="J8" s="2" t="s">
        <v>8058</v>
      </c>
      <c r="K8" s="2">
        <v>0</v>
      </c>
      <c r="L8" t="s">
        <v>85</v>
      </c>
      <c r="M8" t="s">
        <v>29</v>
      </c>
      <c r="N8" t="s">
        <v>30</v>
      </c>
      <c r="O8">
        <v>37219</v>
      </c>
      <c r="P8" t="s">
        <v>8055</v>
      </c>
      <c r="Q8" s="2">
        <v>0.53</v>
      </c>
      <c r="R8" s="2">
        <v>251</v>
      </c>
      <c r="S8" s="2">
        <v>250</v>
      </c>
      <c r="T8" t="s">
        <v>8059</v>
      </c>
      <c r="U8" s="6">
        <v>21861</v>
      </c>
      <c r="V8" s="2">
        <v>47037018404</v>
      </c>
      <c r="W8" s="2" t="s">
        <v>38</v>
      </c>
      <c r="X8" s="1">
        <v>45658</v>
      </c>
      <c r="Y8" s="2">
        <v>173300</v>
      </c>
      <c r="Z8" s="2">
        <v>0</v>
      </c>
      <c r="AA8" s="2">
        <v>173300</v>
      </c>
    </row>
    <row r="9" spans="1:27" x14ac:dyDescent="0.3">
      <c r="A9" s="3">
        <v>34</v>
      </c>
      <c r="B9" s="2" t="str">
        <f>"14300007100"</f>
        <v>14300007100</v>
      </c>
      <c r="C9" s="2" t="s">
        <v>28</v>
      </c>
      <c r="D9" t="s">
        <v>29</v>
      </c>
      <c r="E9" s="2" t="s">
        <v>30</v>
      </c>
      <c r="F9" s="2">
        <v>37221</v>
      </c>
      <c r="G9" s="2" t="s">
        <v>870</v>
      </c>
      <c r="H9" t="s">
        <v>32</v>
      </c>
      <c r="I9" s="6">
        <v>41359</v>
      </c>
      <c r="J9" s="2" t="s">
        <v>8060</v>
      </c>
      <c r="K9" s="2">
        <v>144000</v>
      </c>
      <c r="L9" t="s">
        <v>35</v>
      </c>
      <c r="M9" t="s">
        <v>29</v>
      </c>
      <c r="N9" t="s">
        <v>30</v>
      </c>
      <c r="O9">
        <v>37219</v>
      </c>
      <c r="P9" t="s">
        <v>8061</v>
      </c>
      <c r="Q9" s="2">
        <v>22.99</v>
      </c>
      <c r="R9" s="2">
        <v>0</v>
      </c>
      <c r="S9" s="2">
        <v>0</v>
      </c>
      <c r="T9" t="s">
        <v>8060</v>
      </c>
      <c r="U9" s="6">
        <v>41359</v>
      </c>
      <c r="V9" s="2">
        <v>47037018404</v>
      </c>
      <c r="W9" s="2" t="s">
        <v>38</v>
      </c>
      <c r="X9" s="1">
        <v>45658</v>
      </c>
      <c r="Y9" s="2">
        <v>460000</v>
      </c>
      <c r="Z9" s="2">
        <v>0</v>
      </c>
      <c r="AA9" s="2">
        <v>460000</v>
      </c>
    </row>
    <row r="10" spans="1:27" x14ac:dyDescent="0.3">
      <c r="A10" s="3">
        <v>34</v>
      </c>
      <c r="B10" s="2" t="str">
        <f>"15800013000"</f>
        <v>15800013000</v>
      </c>
      <c r="C10" s="2" t="s">
        <v>8062</v>
      </c>
      <c r="D10" t="s">
        <v>1117</v>
      </c>
      <c r="E10" s="2" t="s">
        <v>30</v>
      </c>
      <c r="F10" s="2">
        <v>37027</v>
      </c>
      <c r="G10" s="2" t="s">
        <v>64</v>
      </c>
      <c r="H10" t="s">
        <v>32</v>
      </c>
      <c r="I10" s="6">
        <v>41991</v>
      </c>
      <c r="J10" s="2" t="s">
        <v>8063</v>
      </c>
      <c r="K10" s="2">
        <v>0</v>
      </c>
      <c r="L10" t="s">
        <v>35</v>
      </c>
      <c r="M10" t="s">
        <v>29</v>
      </c>
      <c r="N10" t="s">
        <v>30</v>
      </c>
      <c r="O10">
        <v>37219</v>
      </c>
      <c r="P10" t="s">
        <v>8064</v>
      </c>
      <c r="Q10" s="2">
        <v>6.72</v>
      </c>
      <c r="R10" s="2">
        <v>0</v>
      </c>
      <c r="S10" s="2">
        <v>0</v>
      </c>
      <c r="T10" t="s">
        <v>8065</v>
      </c>
      <c r="U10" s="6">
        <v>37462</v>
      </c>
      <c r="V10" s="2">
        <v>47037018602</v>
      </c>
      <c r="W10" s="2" t="s">
        <v>38</v>
      </c>
      <c r="X10" s="1">
        <v>45658</v>
      </c>
      <c r="Y10" s="2">
        <v>1672700</v>
      </c>
      <c r="Z10" s="2">
        <v>0</v>
      </c>
      <c r="AA10" s="2">
        <v>1672700</v>
      </c>
    </row>
    <row r="11" spans="1:27" x14ac:dyDescent="0.3">
      <c r="A11" s="3">
        <v>34</v>
      </c>
      <c r="B11" s="2" t="str">
        <f>"14403003900"</f>
        <v>14403003900</v>
      </c>
      <c r="C11" s="2" t="s">
        <v>8066</v>
      </c>
      <c r="D11" t="s">
        <v>29</v>
      </c>
      <c r="E11" s="2" t="s">
        <v>30</v>
      </c>
      <c r="F11" s="2">
        <v>37215</v>
      </c>
      <c r="G11" s="2" t="s">
        <v>64</v>
      </c>
      <c r="H11" t="s">
        <v>99</v>
      </c>
      <c r="I11" s="6">
        <v>28593</v>
      </c>
      <c r="J11" s="2" t="s">
        <v>8067</v>
      </c>
      <c r="K11" s="2">
        <v>299</v>
      </c>
      <c r="L11" t="s">
        <v>35</v>
      </c>
      <c r="M11" t="s">
        <v>29</v>
      </c>
      <c r="N11" t="s">
        <v>30</v>
      </c>
      <c r="O11">
        <v>37219</v>
      </c>
      <c r="P11" t="s">
        <v>8068</v>
      </c>
      <c r="Q11" s="2">
        <v>0.14000000000000001</v>
      </c>
      <c r="R11" s="2">
        <v>78</v>
      </c>
      <c r="S11" s="2">
        <v>216</v>
      </c>
      <c r="T11" t="s">
        <v>8069</v>
      </c>
      <c r="U11" s="6">
        <v>24945</v>
      </c>
      <c r="V11" s="2">
        <v>47037018601</v>
      </c>
      <c r="W11" s="2" t="s">
        <v>8070</v>
      </c>
      <c r="X11" s="1">
        <v>45658</v>
      </c>
      <c r="Y11" s="2">
        <v>3800</v>
      </c>
      <c r="Z11" s="2">
        <v>0</v>
      </c>
      <c r="AA11" s="2">
        <v>3800</v>
      </c>
    </row>
    <row r="12" spans="1:27" x14ac:dyDescent="0.3">
      <c r="A12" s="3">
        <v>34</v>
      </c>
      <c r="B12" s="2" t="str">
        <f>"14211001300"</f>
        <v>14211001300</v>
      </c>
      <c r="C12" s="2" t="s">
        <v>8071</v>
      </c>
      <c r="D12" t="s">
        <v>29</v>
      </c>
      <c r="E12" s="2" t="s">
        <v>30</v>
      </c>
      <c r="F12" s="2">
        <v>37221</v>
      </c>
      <c r="G12" s="2" t="s">
        <v>64</v>
      </c>
      <c r="H12" t="s">
        <v>99</v>
      </c>
      <c r="I12" s="6">
        <v>42936</v>
      </c>
      <c r="J12" s="2" t="s">
        <v>8072</v>
      </c>
      <c r="K12" s="2">
        <v>436</v>
      </c>
      <c r="L12" t="s">
        <v>893</v>
      </c>
      <c r="M12" t="s">
        <v>29</v>
      </c>
      <c r="N12" t="s">
        <v>30</v>
      </c>
      <c r="O12">
        <v>37219</v>
      </c>
      <c r="P12" t="s">
        <v>8073</v>
      </c>
      <c r="Q12" s="2">
        <v>0.05</v>
      </c>
      <c r="R12" s="2">
        <v>16</v>
      </c>
      <c r="S12" s="2">
        <v>165</v>
      </c>
      <c r="T12" t="s">
        <v>8074</v>
      </c>
      <c r="U12" s="6">
        <v>25618</v>
      </c>
      <c r="V12" s="2">
        <v>47037018405</v>
      </c>
      <c r="W12" s="2" t="s">
        <v>38</v>
      </c>
      <c r="X12" s="1">
        <v>45658</v>
      </c>
      <c r="Y12" s="2">
        <v>5900</v>
      </c>
      <c r="Z12" s="2">
        <v>0</v>
      </c>
      <c r="AA12" s="2">
        <v>5900</v>
      </c>
    </row>
    <row r="13" spans="1:27" x14ac:dyDescent="0.3">
      <c r="A13" s="3">
        <v>34</v>
      </c>
      <c r="B13" s="2" t="str">
        <f>"14200029000"</f>
        <v>14200029000</v>
      </c>
      <c r="C13" s="2" t="s">
        <v>28</v>
      </c>
      <c r="D13" t="s">
        <v>29</v>
      </c>
      <c r="E13" s="2" t="s">
        <v>30</v>
      </c>
      <c r="F13" s="2">
        <v>37221</v>
      </c>
      <c r="G13" s="2" t="s">
        <v>64</v>
      </c>
      <c r="H13" t="s">
        <v>171</v>
      </c>
      <c r="I13" s="6">
        <v>34326</v>
      </c>
      <c r="J13" s="2" t="s">
        <v>6154</v>
      </c>
      <c r="K13" s="2">
        <v>1200000</v>
      </c>
      <c r="L13" t="s">
        <v>35</v>
      </c>
      <c r="M13" t="s">
        <v>29</v>
      </c>
      <c r="N13" t="s">
        <v>30</v>
      </c>
      <c r="O13">
        <v>37219</v>
      </c>
      <c r="P13" t="s">
        <v>8075</v>
      </c>
      <c r="Q13" s="2">
        <v>14.6</v>
      </c>
      <c r="R13" s="2">
        <v>0</v>
      </c>
      <c r="S13" s="2">
        <v>0</v>
      </c>
      <c r="T13" t="s">
        <v>278</v>
      </c>
      <c r="U13" s="6">
        <v>36578</v>
      </c>
      <c r="V13" s="2">
        <v>47037018404</v>
      </c>
      <c r="W13" s="2" t="s">
        <v>38</v>
      </c>
      <c r="X13" s="1">
        <v>45658</v>
      </c>
      <c r="Y13" s="2">
        <v>1120000</v>
      </c>
      <c r="Z13" s="2">
        <v>0</v>
      </c>
      <c r="AA13" s="2">
        <v>1120000</v>
      </c>
    </row>
    <row r="14" spans="1:27" x14ac:dyDescent="0.3">
      <c r="A14" s="3">
        <v>34</v>
      </c>
      <c r="B14" s="2" t="str">
        <f>"14403000901"</f>
        <v>14403000901</v>
      </c>
      <c r="C14" s="2" t="s">
        <v>8076</v>
      </c>
      <c r="D14" t="s">
        <v>29</v>
      </c>
      <c r="E14" s="2" t="s">
        <v>30</v>
      </c>
      <c r="F14" s="2">
        <v>37215</v>
      </c>
      <c r="G14" s="2" t="s">
        <v>152</v>
      </c>
      <c r="H14" t="s">
        <v>176</v>
      </c>
      <c r="I14" s="6">
        <v>21016</v>
      </c>
      <c r="J14" s="2" t="s">
        <v>8077</v>
      </c>
      <c r="K14" s="2" t="s">
        <v>34</v>
      </c>
      <c r="L14" t="s">
        <v>178</v>
      </c>
      <c r="M14" t="s">
        <v>29</v>
      </c>
      <c r="N14" t="s">
        <v>30</v>
      </c>
      <c r="O14">
        <v>37246</v>
      </c>
      <c r="P14" t="s">
        <v>8078</v>
      </c>
      <c r="Q14" s="2">
        <v>0.16</v>
      </c>
      <c r="R14" s="2">
        <v>174</v>
      </c>
      <c r="S14" s="2">
        <v>162</v>
      </c>
      <c r="T14" t="s">
        <v>8077</v>
      </c>
      <c r="U14" s="6">
        <v>21016</v>
      </c>
      <c r="V14" s="2">
        <v>47037018601</v>
      </c>
      <c r="W14" s="2" t="s">
        <v>8070</v>
      </c>
      <c r="X14" s="1">
        <v>45658</v>
      </c>
      <c r="Y14" s="2">
        <v>35000</v>
      </c>
      <c r="Z14" s="2">
        <v>0</v>
      </c>
      <c r="AA14" s="2">
        <v>35000</v>
      </c>
    </row>
    <row r="15" spans="1:27" x14ac:dyDescent="0.3">
      <c r="A15" s="3">
        <v>34</v>
      </c>
      <c r="B15" s="2" t="str">
        <f>"14200009600"</f>
        <v>14200009600</v>
      </c>
      <c r="C15" s="2" t="s">
        <v>8079</v>
      </c>
      <c r="D15" t="s">
        <v>29</v>
      </c>
      <c r="E15" s="2" t="s">
        <v>30</v>
      </c>
      <c r="F15" s="2">
        <v>37221</v>
      </c>
      <c r="G15" s="2" t="s">
        <v>152</v>
      </c>
      <c r="H15" t="s">
        <v>176</v>
      </c>
      <c r="I15" s="6">
        <v>26001</v>
      </c>
      <c r="J15" s="2" t="s">
        <v>8080</v>
      </c>
      <c r="K15" s="2" t="s">
        <v>34</v>
      </c>
      <c r="L15" t="s">
        <v>178</v>
      </c>
      <c r="M15" t="s">
        <v>29</v>
      </c>
      <c r="N15" t="s">
        <v>30</v>
      </c>
      <c r="O15">
        <v>37246</v>
      </c>
      <c r="P15" t="s">
        <v>8081</v>
      </c>
      <c r="Q15" s="2">
        <v>1.83</v>
      </c>
      <c r="R15" s="2">
        <v>0</v>
      </c>
      <c r="S15" s="2">
        <v>0</v>
      </c>
      <c r="T15" t="s">
        <v>8080</v>
      </c>
      <c r="U15" s="6">
        <v>26001</v>
      </c>
      <c r="V15" s="2">
        <v>47037018404</v>
      </c>
      <c r="W15" s="2" t="s">
        <v>38</v>
      </c>
      <c r="X15" s="1">
        <v>45658</v>
      </c>
      <c r="Y15" s="2">
        <v>116100</v>
      </c>
      <c r="Z15" s="2">
        <v>0</v>
      </c>
      <c r="AA15" s="2">
        <v>116100</v>
      </c>
    </row>
    <row r="16" spans="1:27" x14ac:dyDescent="0.3">
      <c r="A16" s="3">
        <v>34</v>
      </c>
      <c r="B16" s="2" t="str">
        <f>"14509005301"</f>
        <v>14509005301</v>
      </c>
      <c r="C16" s="2" t="s">
        <v>8082</v>
      </c>
      <c r="D16" t="s">
        <v>29</v>
      </c>
      <c r="E16" s="2" t="s">
        <v>30</v>
      </c>
      <c r="F16" s="2">
        <v>37215</v>
      </c>
      <c r="G16" s="2" t="s">
        <v>152</v>
      </c>
      <c r="H16" t="s">
        <v>176</v>
      </c>
      <c r="I16" s="6">
        <v>27395</v>
      </c>
      <c r="J16" s="2" t="s">
        <v>8083</v>
      </c>
      <c r="K16" s="2" t="s">
        <v>34</v>
      </c>
      <c r="L16" t="s">
        <v>178</v>
      </c>
      <c r="M16" t="s">
        <v>29</v>
      </c>
      <c r="N16" t="s">
        <v>30</v>
      </c>
      <c r="O16">
        <v>37246</v>
      </c>
      <c r="P16" t="s">
        <v>8084</v>
      </c>
      <c r="Q16" s="2">
        <v>0.09</v>
      </c>
      <c r="R16" s="2">
        <v>60</v>
      </c>
      <c r="S16" s="2">
        <v>60</v>
      </c>
      <c r="T16" t="s">
        <v>8085</v>
      </c>
      <c r="U16" s="6">
        <v>23536</v>
      </c>
      <c r="V16" s="2">
        <v>47037018602</v>
      </c>
      <c r="W16" s="2" t="s">
        <v>8070</v>
      </c>
      <c r="X16" s="1">
        <v>45658</v>
      </c>
      <c r="Y16" s="2">
        <v>7100</v>
      </c>
      <c r="Z16" s="2">
        <v>0</v>
      </c>
      <c r="AA16" s="2">
        <v>7100</v>
      </c>
    </row>
    <row r="17" spans="1:27" x14ac:dyDescent="0.3">
      <c r="A17" s="3">
        <v>34</v>
      </c>
      <c r="B17" s="2" t="str">
        <f>"15900011500"</f>
        <v>15900011500</v>
      </c>
      <c r="C17" s="2" t="s">
        <v>8086</v>
      </c>
      <c r="D17" t="s">
        <v>1117</v>
      </c>
      <c r="E17" s="2" t="s">
        <v>30</v>
      </c>
      <c r="F17" s="2">
        <v>37027</v>
      </c>
      <c r="G17" s="2" t="s">
        <v>152</v>
      </c>
      <c r="H17" t="s">
        <v>176</v>
      </c>
      <c r="I17" s="6">
        <v>24854</v>
      </c>
      <c r="J17" s="2" t="s">
        <v>8087</v>
      </c>
      <c r="K17" s="2" t="s">
        <v>34</v>
      </c>
      <c r="L17" t="s">
        <v>178</v>
      </c>
      <c r="M17" t="s">
        <v>29</v>
      </c>
      <c r="N17" t="s">
        <v>30</v>
      </c>
      <c r="O17">
        <v>37246</v>
      </c>
      <c r="P17" t="s">
        <v>8088</v>
      </c>
      <c r="Q17" s="2">
        <v>4.5999999999999996</v>
      </c>
      <c r="R17" s="2">
        <v>0</v>
      </c>
      <c r="S17" s="2">
        <v>0</v>
      </c>
      <c r="T17" t="s">
        <v>8089</v>
      </c>
      <c r="U17" s="6">
        <v>37242</v>
      </c>
      <c r="V17" s="2">
        <v>47037018602</v>
      </c>
      <c r="W17" s="2" t="s">
        <v>38</v>
      </c>
      <c r="X17" s="1">
        <v>45658</v>
      </c>
      <c r="Y17" s="2">
        <v>927000</v>
      </c>
      <c r="Z17" s="2">
        <v>0</v>
      </c>
      <c r="AA17" s="2">
        <v>927000</v>
      </c>
    </row>
    <row r="18" spans="1:27" x14ac:dyDescent="0.3">
      <c r="A18" s="3">
        <v>34</v>
      </c>
      <c r="B18" s="2" t="str">
        <f>"13016006700"</f>
        <v>13016006700</v>
      </c>
      <c r="C18" s="2" t="s">
        <v>8090</v>
      </c>
      <c r="D18" t="s">
        <v>29</v>
      </c>
      <c r="E18" s="2" t="s">
        <v>30</v>
      </c>
      <c r="F18" s="2">
        <v>37215</v>
      </c>
      <c r="G18" s="2" t="s">
        <v>152</v>
      </c>
      <c r="H18" t="s">
        <v>176</v>
      </c>
      <c r="I18" s="6">
        <v>19967</v>
      </c>
      <c r="J18" s="2" t="s">
        <v>8091</v>
      </c>
      <c r="K18" s="2">
        <v>40000</v>
      </c>
      <c r="L18" t="s">
        <v>178</v>
      </c>
      <c r="M18" t="s">
        <v>29</v>
      </c>
      <c r="N18" t="s">
        <v>30</v>
      </c>
      <c r="O18">
        <v>37246</v>
      </c>
      <c r="P18" t="s">
        <v>8092</v>
      </c>
      <c r="Q18" s="2">
        <v>7.61</v>
      </c>
      <c r="R18" s="2">
        <v>193</v>
      </c>
      <c r="S18" s="2">
        <v>402</v>
      </c>
      <c r="T18" t="s">
        <v>8093</v>
      </c>
      <c r="U18" s="6">
        <v>37861</v>
      </c>
      <c r="V18" s="2">
        <v>47037018601</v>
      </c>
      <c r="W18" s="2" t="s">
        <v>8070</v>
      </c>
      <c r="X18" s="1">
        <v>45658</v>
      </c>
      <c r="Y18" s="2">
        <v>1154900</v>
      </c>
      <c r="Z18" s="2">
        <v>0</v>
      </c>
      <c r="AA18" s="2">
        <v>1154900</v>
      </c>
    </row>
    <row r="19" spans="1:27" x14ac:dyDescent="0.3">
      <c r="A19" s="3">
        <v>34</v>
      </c>
      <c r="B19" s="2" t="str">
        <f>"11709003000"</f>
        <v>11709003000</v>
      </c>
      <c r="C19" s="2" t="s">
        <v>8094</v>
      </c>
      <c r="D19" t="s">
        <v>29</v>
      </c>
      <c r="E19" s="2" t="s">
        <v>30</v>
      </c>
      <c r="F19" s="2">
        <v>37215</v>
      </c>
      <c r="G19" s="2" t="s">
        <v>152</v>
      </c>
      <c r="H19" t="s">
        <v>176</v>
      </c>
      <c r="I19" s="6">
        <v>19968</v>
      </c>
      <c r="J19" s="2" t="s">
        <v>8095</v>
      </c>
      <c r="K19" s="2" t="s">
        <v>34</v>
      </c>
      <c r="L19" t="s">
        <v>178</v>
      </c>
      <c r="M19" t="s">
        <v>29</v>
      </c>
      <c r="N19" t="s">
        <v>30</v>
      </c>
      <c r="O19">
        <v>37246</v>
      </c>
      <c r="P19" t="s">
        <v>8096</v>
      </c>
      <c r="Q19" s="2">
        <v>0.76</v>
      </c>
      <c r="R19" s="2">
        <v>191</v>
      </c>
      <c r="S19" s="2">
        <v>207</v>
      </c>
      <c r="T19" t="s">
        <v>8095</v>
      </c>
      <c r="U19" s="6">
        <v>19968</v>
      </c>
      <c r="V19" s="2">
        <v>47037017901</v>
      </c>
      <c r="W19" s="2" t="s">
        <v>68</v>
      </c>
      <c r="X19" s="1">
        <v>45658</v>
      </c>
      <c r="Y19" s="2">
        <v>428400</v>
      </c>
      <c r="Z19" s="2">
        <v>0</v>
      </c>
      <c r="AA19" s="2">
        <v>428400</v>
      </c>
    </row>
    <row r="20" spans="1:27" x14ac:dyDescent="0.3">
      <c r="A20" s="3">
        <v>34</v>
      </c>
      <c r="B20" s="2" t="str">
        <f>"13110001600"</f>
        <v>13110001600</v>
      </c>
      <c r="C20" s="2" t="s">
        <v>8097</v>
      </c>
      <c r="D20" t="s">
        <v>29</v>
      </c>
      <c r="E20" s="2" t="s">
        <v>30</v>
      </c>
      <c r="F20" s="2">
        <v>37215</v>
      </c>
      <c r="G20" s="2" t="s">
        <v>152</v>
      </c>
      <c r="H20" t="s">
        <v>176</v>
      </c>
      <c r="I20" s="6">
        <v>21816</v>
      </c>
      <c r="J20" s="2" t="s">
        <v>8098</v>
      </c>
      <c r="K20" s="2" t="s">
        <v>34</v>
      </c>
      <c r="L20" t="s">
        <v>178</v>
      </c>
      <c r="M20" t="s">
        <v>29</v>
      </c>
      <c r="N20" t="s">
        <v>30</v>
      </c>
      <c r="O20">
        <v>37246</v>
      </c>
      <c r="P20" t="s">
        <v>8099</v>
      </c>
      <c r="Q20" s="2">
        <v>0.13</v>
      </c>
      <c r="R20" s="2">
        <v>75</v>
      </c>
      <c r="S20" s="2">
        <v>81</v>
      </c>
      <c r="T20" t="s">
        <v>8098</v>
      </c>
      <c r="U20" s="6">
        <v>21816</v>
      </c>
      <c r="V20" s="2">
        <v>47037018602</v>
      </c>
      <c r="W20" s="2" t="s">
        <v>8070</v>
      </c>
      <c r="X20" s="1">
        <v>45658</v>
      </c>
      <c r="Y20" s="2">
        <v>77000</v>
      </c>
      <c r="Z20" s="2">
        <v>0</v>
      </c>
      <c r="AA20" s="2">
        <v>77000</v>
      </c>
    </row>
    <row r="21" spans="1:27" x14ac:dyDescent="0.3">
      <c r="A21" s="3">
        <v>34</v>
      </c>
      <c r="B21" s="2" t="str">
        <f>"13101010400"</f>
        <v>13101010400</v>
      </c>
      <c r="C21" s="2" t="s">
        <v>8100</v>
      </c>
      <c r="D21" t="s">
        <v>29</v>
      </c>
      <c r="E21" s="2" t="s">
        <v>30</v>
      </c>
      <c r="F21" s="2">
        <v>37215</v>
      </c>
      <c r="G21" s="2" t="s">
        <v>152</v>
      </c>
      <c r="H21" t="s">
        <v>1304</v>
      </c>
      <c r="I21" s="6">
        <v>17398</v>
      </c>
      <c r="J21" s="2" t="s">
        <v>8101</v>
      </c>
      <c r="K21" s="2">
        <v>0</v>
      </c>
      <c r="L21" t="s">
        <v>178</v>
      </c>
      <c r="M21" t="s">
        <v>29</v>
      </c>
      <c r="N21" t="s">
        <v>30</v>
      </c>
      <c r="O21">
        <v>37246</v>
      </c>
      <c r="P21" t="s">
        <v>8102</v>
      </c>
      <c r="Q21" s="2">
        <v>0.62</v>
      </c>
      <c r="R21" s="2">
        <v>134</v>
      </c>
      <c r="S21" s="2">
        <v>196</v>
      </c>
      <c r="T21" t="s">
        <v>8101</v>
      </c>
      <c r="U21" s="6">
        <v>17398</v>
      </c>
      <c r="V21" s="2">
        <v>47037017902</v>
      </c>
      <c r="W21" s="2" t="s">
        <v>68</v>
      </c>
      <c r="X21" s="1">
        <v>45658</v>
      </c>
      <c r="Y21" s="2">
        <v>465000</v>
      </c>
      <c r="Z21" s="2">
        <v>0</v>
      </c>
      <c r="AA21" s="2">
        <v>465000</v>
      </c>
    </row>
    <row r="22" spans="1:27" x14ac:dyDescent="0.3">
      <c r="A22" s="3">
        <v>34</v>
      </c>
      <c r="B22" s="2" t="str">
        <f>"14300002200"</f>
        <v>14300002200</v>
      </c>
      <c r="C22" s="2" t="s">
        <v>6163</v>
      </c>
      <c r="D22" t="s">
        <v>29</v>
      </c>
      <c r="E22" s="2" t="s">
        <v>30</v>
      </c>
      <c r="F22" s="2">
        <v>37221</v>
      </c>
      <c r="G22" s="2" t="s">
        <v>64</v>
      </c>
      <c r="H22" t="s">
        <v>6164</v>
      </c>
      <c r="I22" s="6">
        <v>40009</v>
      </c>
      <c r="J22" s="2" t="s">
        <v>8103</v>
      </c>
      <c r="K22" s="2">
        <v>0</v>
      </c>
      <c r="L22" t="s">
        <v>35</v>
      </c>
      <c r="M22" t="s">
        <v>29</v>
      </c>
      <c r="N22" t="s">
        <v>30</v>
      </c>
      <c r="O22">
        <v>37219</v>
      </c>
      <c r="P22" t="s">
        <v>8104</v>
      </c>
      <c r="Q22" s="2">
        <v>58.58</v>
      </c>
      <c r="R22" s="2">
        <v>0</v>
      </c>
      <c r="S22" s="2">
        <v>0</v>
      </c>
      <c r="T22" t="s">
        <v>8105</v>
      </c>
      <c r="U22" s="6">
        <v>22396</v>
      </c>
      <c r="V22" s="2">
        <v>47037018404</v>
      </c>
      <c r="W22" s="2" t="s">
        <v>38</v>
      </c>
      <c r="X22" s="1">
        <v>45658</v>
      </c>
      <c r="Y22" s="2">
        <v>699200</v>
      </c>
      <c r="Z22" s="2">
        <v>0</v>
      </c>
      <c r="AA22" s="2">
        <v>699200</v>
      </c>
    </row>
    <row r="23" spans="1:27" x14ac:dyDescent="0.3">
      <c r="A23" s="3">
        <v>34</v>
      </c>
      <c r="B23" s="2" t="str">
        <f>"14300002300"</f>
        <v>14300002300</v>
      </c>
      <c r="C23" s="2" t="s">
        <v>8106</v>
      </c>
      <c r="D23" t="s">
        <v>29</v>
      </c>
      <c r="E23" s="2" t="s">
        <v>30</v>
      </c>
      <c r="F23" s="2">
        <v>37221</v>
      </c>
      <c r="G23" s="2" t="s">
        <v>64</v>
      </c>
      <c r="H23" t="s">
        <v>6164</v>
      </c>
      <c r="I23" s="6">
        <v>40009</v>
      </c>
      <c r="J23" s="2" t="s">
        <v>8103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8104</v>
      </c>
      <c r="Q23" s="2">
        <v>21</v>
      </c>
      <c r="R23" s="2">
        <v>0</v>
      </c>
      <c r="S23" s="2">
        <v>0</v>
      </c>
      <c r="T23" t="s">
        <v>8107</v>
      </c>
      <c r="U23" s="6">
        <v>22410</v>
      </c>
      <c r="V23" s="2">
        <v>47037018404</v>
      </c>
      <c r="W23" s="2" t="s">
        <v>38</v>
      </c>
      <c r="X23" s="1">
        <v>45658</v>
      </c>
      <c r="Y23" s="2">
        <v>387800</v>
      </c>
      <c r="Z23" s="2">
        <v>0</v>
      </c>
      <c r="AA23" s="2">
        <v>387800</v>
      </c>
    </row>
    <row r="24" spans="1:27" x14ac:dyDescent="0.3">
      <c r="A24" s="3">
        <v>34</v>
      </c>
      <c r="B24" s="2" t="str">
        <f>"15700001500"</f>
        <v>15700001500</v>
      </c>
      <c r="C24" s="2" t="s">
        <v>8108</v>
      </c>
      <c r="D24" t="s">
        <v>29</v>
      </c>
      <c r="E24" s="2" t="s">
        <v>30</v>
      </c>
      <c r="F24" s="2">
        <v>37221</v>
      </c>
      <c r="G24" s="2" t="s">
        <v>31</v>
      </c>
      <c r="H24" t="s">
        <v>6164</v>
      </c>
      <c r="I24" s="6">
        <v>31778</v>
      </c>
      <c r="J24" s="2" t="s">
        <v>8109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8110</v>
      </c>
      <c r="Q24" s="2">
        <v>4.95</v>
      </c>
      <c r="R24" s="2">
        <v>0</v>
      </c>
      <c r="S24" s="2">
        <v>0</v>
      </c>
      <c r="T24" t="s">
        <v>8111</v>
      </c>
      <c r="U24" s="6">
        <v>19898</v>
      </c>
      <c r="V24" s="2">
        <v>47037018404</v>
      </c>
      <c r="W24" s="2" t="s">
        <v>38</v>
      </c>
      <c r="X24" s="1">
        <v>45658</v>
      </c>
      <c r="Y24" s="2">
        <v>286900</v>
      </c>
      <c r="Z24" s="2">
        <v>0</v>
      </c>
      <c r="AA24" s="2">
        <v>286900</v>
      </c>
    </row>
    <row r="25" spans="1:27" x14ac:dyDescent="0.3">
      <c r="A25" s="3">
        <v>34</v>
      </c>
      <c r="B25" s="2" t="str">
        <f>"15700000100"</f>
        <v>15700000100</v>
      </c>
      <c r="C25" s="2" t="s">
        <v>8112</v>
      </c>
      <c r="D25" t="s">
        <v>29</v>
      </c>
      <c r="E25" s="2" t="s">
        <v>30</v>
      </c>
      <c r="F25" s="2">
        <v>37221</v>
      </c>
      <c r="G25" s="2" t="s">
        <v>200</v>
      </c>
      <c r="H25" t="s">
        <v>6164</v>
      </c>
      <c r="I25" s="6">
        <v>27395</v>
      </c>
      <c r="J25" s="2" t="s">
        <v>8113</v>
      </c>
      <c r="K25" s="2" t="s">
        <v>34</v>
      </c>
      <c r="L25" t="s">
        <v>35</v>
      </c>
      <c r="M25" t="s">
        <v>29</v>
      </c>
      <c r="N25" t="s">
        <v>30</v>
      </c>
      <c r="O25">
        <v>37219</v>
      </c>
      <c r="P25" t="s">
        <v>8114</v>
      </c>
      <c r="Q25" s="2">
        <v>461.68</v>
      </c>
      <c r="R25" s="2">
        <v>0</v>
      </c>
      <c r="S25" s="2">
        <v>0</v>
      </c>
      <c r="T25" t="s">
        <v>8111</v>
      </c>
      <c r="U25" s="6">
        <v>19898</v>
      </c>
      <c r="V25" s="2">
        <v>47037018404</v>
      </c>
      <c r="W25" s="2" t="s">
        <v>38</v>
      </c>
      <c r="X25" s="1">
        <v>45658</v>
      </c>
      <c r="Y25" s="2">
        <v>4723300</v>
      </c>
      <c r="Z25" s="2">
        <v>0</v>
      </c>
      <c r="AA25" s="2">
        <v>4723300</v>
      </c>
    </row>
    <row r="26" spans="1:27" x14ac:dyDescent="0.3">
      <c r="A26" s="3">
        <v>34</v>
      </c>
      <c r="B26" s="2" t="str">
        <f>"14300001400"</f>
        <v>14300001400</v>
      </c>
      <c r="C26" s="2" t="s">
        <v>6163</v>
      </c>
      <c r="D26" t="s">
        <v>29</v>
      </c>
      <c r="E26" s="2" t="s">
        <v>30</v>
      </c>
      <c r="F26" s="2">
        <v>37221</v>
      </c>
      <c r="G26" s="2" t="s">
        <v>64</v>
      </c>
      <c r="H26" t="s">
        <v>6164</v>
      </c>
      <c r="I26" s="6">
        <v>40009</v>
      </c>
      <c r="J26" s="2" t="s">
        <v>8103</v>
      </c>
      <c r="K26" s="2">
        <v>0</v>
      </c>
      <c r="L26" t="s">
        <v>35</v>
      </c>
      <c r="M26" t="s">
        <v>29</v>
      </c>
      <c r="N26" t="s">
        <v>30</v>
      </c>
      <c r="O26">
        <v>37219</v>
      </c>
      <c r="P26" t="s">
        <v>8055</v>
      </c>
      <c r="Q26" s="2">
        <v>2.1</v>
      </c>
      <c r="R26" s="2">
        <v>0</v>
      </c>
      <c r="S26" s="2">
        <v>0</v>
      </c>
      <c r="T26" t="s">
        <v>8115</v>
      </c>
      <c r="U26" s="6">
        <v>27156</v>
      </c>
      <c r="V26" s="2">
        <v>47037018404</v>
      </c>
      <c r="W26" s="2" t="s">
        <v>38</v>
      </c>
      <c r="X26" s="1">
        <v>45658</v>
      </c>
      <c r="Y26" s="2">
        <v>215600</v>
      </c>
      <c r="Z26" s="2">
        <v>0</v>
      </c>
      <c r="AA26" s="2">
        <v>215600</v>
      </c>
    </row>
    <row r="27" spans="1:27" x14ac:dyDescent="0.3">
      <c r="A27" s="3">
        <v>34</v>
      </c>
      <c r="B27" s="2" t="str">
        <f>"14300002000"</f>
        <v>14300002000</v>
      </c>
      <c r="C27" s="2" t="s">
        <v>6163</v>
      </c>
      <c r="D27" t="s">
        <v>29</v>
      </c>
      <c r="E27" s="2" t="s">
        <v>30</v>
      </c>
      <c r="F27" s="2">
        <v>37221</v>
      </c>
      <c r="G27" s="2" t="s">
        <v>64</v>
      </c>
      <c r="H27" t="s">
        <v>6164</v>
      </c>
      <c r="I27" s="6">
        <v>40009</v>
      </c>
      <c r="J27" s="2" t="s">
        <v>8103</v>
      </c>
      <c r="K27" s="2">
        <v>0</v>
      </c>
      <c r="L27" t="s">
        <v>35</v>
      </c>
      <c r="M27" t="s">
        <v>29</v>
      </c>
      <c r="N27" t="s">
        <v>30</v>
      </c>
      <c r="O27">
        <v>37219</v>
      </c>
      <c r="P27" t="s">
        <v>8116</v>
      </c>
      <c r="Q27" s="2">
        <v>5.2</v>
      </c>
      <c r="R27" s="2">
        <v>0</v>
      </c>
      <c r="S27" s="2">
        <v>0</v>
      </c>
      <c r="T27" t="s">
        <v>8117</v>
      </c>
      <c r="U27" s="6">
        <v>38125</v>
      </c>
      <c r="V27" s="2">
        <v>47037018404</v>
      </c>
      <c r="W27" s="2" t="s">
        <v>38</v>
      </c>
      <c r="X27" s="1">
        <v>45658</v>
      </c>
      <c r="Y27" s="2">
        <v>229500</v>
      </c>
      <c r="Z27" s="2">
        <v>0</v>
      </c>
      <c r="AA27" s="2">
        <v>229500</v>
      </c>
    </row>
    <row r="28" spans="1:27" x14ac:dyDescent="0.3">
      <c r="A28" s="3">
        <v>34</v>
      </c>
      <c r="B28" s="2" t="str">
        <f>"14300005200"</f>
        <v>14300005200</v>
      </c>
      <c r="C28" s="2" t="s">
        <v>8118</v>
      </c>
      <c r="D28" t="s">
        <v>29</v>
      </c>
      <c r="E28" s="2" t="s">
        <v>30</v>
      </c>
      <c r="F28" s="2">
        <v>37221</v>
      </c>
      <c r="G28" s="2" t="s">
        <v>194</v>
      </c>
      <c r="H28" t="s">
        <v>6164</v>
      </c>
      <c r="I28" s="6">
        <v>40009</v>
      </c>
      <c r="J28" s="2" t="s">
        <v>8103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8055</v>
      </c>
      <c r="Q28" s="2">
        <v>21.08</v>
      </c>
      <c r="R28" s="2">
        <v>0</v>
      </c>
      <c r="S28" s="2">
        <v>0</v>
      </c>
      <c r="T28" t="s">
        <v>8117</v>
      </c>
      <c r="U28" s="6">
        <v>38125</v>
      </c>
      <c r="V28" s="2">
        <v>47037018404</v>
      </c>
      <c r="W28" s="2" t="s">
        <v>38</v>
      </c>
      <c r="X28" s="1">
        <v>45658</v>
      </c>
      <c r="Y28" s="2">
        <v>457600</v>
      </c>
      <c r="Z28" s="2">
        <v>0</v>
      </c>
      <c r="AA28" s="2">
        <v>457600</v>
      </c>
    </row>
    <row r="29" spans="1:27" x14ac:dyDescent="0.3">
      <c r="A29" s="3">
        <v>34</v>
      </c>
      <c r="B29" s="2" t="str">
        <f>"14300005300"</f>
        <v>14300005300</v>
      </c>
      <c r="C29" s="2" t="s">
        <v>6163</v>
      </c>
      <c r="D29" t="s">
        <v>29</v>
      </c>
      <c r="E29" s="2" t="s">
        <v>30</v>
      </c>
      <c r="F29" s="2">
        <v>37221</v>
      </c>
      <c r="G29" s="2" t="s">
        <v>64</v>
      </c>
      <c r="H29" t="s">
        <v>6164</v>
      </c>
      <c r="I29" s="6">
        <v>40009</v>
      </c>
      <c r="J29" s="2" t="s">
        <v>8103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8116</v>
      </c>
      <c r="Q29" s="2">
        <v>4.83</v>
      </c>
      <c r="R29" s="2">
        <v>0</v>
      </c>
      <c r="S29" s="2">
        <v>0</v>
      </c>
      <c r="T29" t="s">
        <v>8117</v>
      </c>
      <c r="U29" s="6">
        <v>38125</v>
      </c>
      <c r="V29" s="2">
        <v>47037018404</v>
      </c>
      <c r="W29" s="2" t="s">
        <v>38</v>
      </c>
      <c r="X29" s="1">
        <v>45658</v>
      </c>
      <c r="Y29" s="2">
        <v>243100</v>
      </c>
      <c r="Z29" s="2">
        <v>0</v>
      </c>
      <c r="AA29" s="2">
        <v>243100</v>
      </c>
    </row>
    <row r="30" spans="1:27" x14ac:dyDescent="0.3">
      <c r="A30" s="3">
        <v>34</v>
      </c>
      <c r="B30" s="2" t="str">
        <f>"14300005400"</f>
        <v>14300005400</v>
      </c>
      <c r="C30" s="2" t="s">
        <v>6163</v>
      </c>
      <c r="D30" t="s">
        <v>29</v>
      </c>
      <c r="E30" s="2" t="s">
        <v>30</v>
      </c>
      <c r="F30" s="2">
        <v>37221</v>
      </c>
      <c r="G30" s="2" t="s">
        <v>64</v>
      </c>
      <c r="H30" t="s">
        <v>6164</v>
      </c>
      <c r="I30" s="6">
        <v>40009</v>
      </c>
      <c r="J30" s="2" t="s">
        <v>8103</v>
      </c>
      <c r="K30" s="2">
        <v>0</v>
      </c>
      <c r="L30" t="s">
        <v>35</v>
      </c>
      <c r="M30" t="s">
        <v>29</v>
      </c>
      <c r="N30" t="s">
        <v>30</v>
      </c>
      <c r="O30">
        <v>37219</v>
      </c>
      <c r="P30" t="s">
        <v>8119</v>
      </c>
      <c r="Q30" s="2">
        <v>10</v>
      </c>
      <c r="R30" s="2">
        <v>0</v>
      </c>
      <c r="S30" s="2">
        <v>0</v>
      </c>
      <c r="T30" t="s">
        <v>8120</v>
      </c>
      <c r="U30" s="6">
        <v>38498</v>
      </c>
      <c r="V30" s="2">
        <v>47037018404</v>
      </c>
      <c r="W30" s="2" t="s">
        <v>38</v>
      </c>
      <c r="X30" s="1">
        <v>45658</v>
      </c>
      <c r="Y30" s="2">
        <v>88000</v>
      </c>
      <c r="Z30" s="2">
        <v>0</v>
      </c>
      <c r="AA30" s="2">
        <v>88000</v>
      </c>
    </row>
    <row r="31" spans="1:27" x14ac:dyDescent="0.3">
      <c r="A31" s="3">
        <v>34</v>
      </c>
      <c r="B31" s="2" t="str">
        <f>"14300005500"</f>
        <v>14300005500</v>
      </c>
      <c r="C31" s="2" t="s">
        <v>6163</v>
      </c>
      <c r="D31" t="s">
        <v>29</v>
      </c>
      <c r="E31" s="2" t="s">
        <v>30</v>
      </c>
      <c r="F31" s="2">
        <v>37221</v>
      </c>
      <c r="G31" s="2" t="s">
        <v>64</v>
      </c>
      <c r="H31" t="s">
        <v>6164</v>
      </c>
      <c r="I31" s="6">
        <v>40009</v>
      </c>
      <c r="J31" s="2" t="s">
        <v>8103</v>
      </c>
      <c r="K31" s="2">
        <v>0</v>
      </c>
      <c r="L31" t="s">
        <v>35</v>
      </c>
      <c r="M31" t="s">
        <v>29</v>
      </c>
      <c r="N31" t="s">
        <v>30</v>
      </c>
      <c r="O31">
        <v>37219</v>
      </c>
      <c r="P31" t="s">
        <v>8119</v>
      </c>
      <c r="Q31" s="2">
        <v>1.64</v>
      </c>
      <c r="R31" s="2">
        <v>0</v>
      </c>
      <c r="S31" s="2">
        <v>0</v>
      </c>
      <c r="T31" t="s">
        <v>8120</v>
      </c>
      <c r="U31" s="6">
        <v>38498</v>
      </c>
      <c r="V31" s="2">
        <v>47037018404</v>
      </c>
      <c r="W31" s="2" t="s">
        <v>38</v>
      </c>
      <c r="X31" s="1">
        <v>45658</v>
      </c>
      <c r="Y31" s="2">
        <v>14400</v>
      </c>
      <c r="Z31" s="2">
        <v>0</v>
      </c>
      <c r="AA31" s="2">
        <v>14400</v>
      </c>
    </row>
    <row r="32" spans="1:27" x14ac:dyDescent="0.3">
      <c r="A32" s="3">
        <v>34</v>
      </c>
      <c r="B32" s="2" t="str">
        <f>"14300002500"</f>
        <v>14300002500</v>
      </c>
      <c r="C32" s="2" t="s">
        <v>8121</v>
      </c>
      <c r="D32" t="s">
        <v>29</v>
      </c>
      <c r="E32" s="2" t="s">
        <v>30</v>
      </c>
      <c r="F32" s="2">
        <v>37221</v>
      </c>
      <c r="G32" s="2" t="s">
        <v>200</v>
      </c>
      <c r="H32" t="s">
        <v>8122</v>
      </c>
      <c r="I32" s="6">
        <v>27395</v>
      </c>
      <c r="J32" s="2" t="s">
        <v>8123</v>
      </c>
      <c r="K32" s="2" t="s">
        <v>34</v>
      </c>
      <c r="L32" t="s">
        <v>35</v>
      </c>
      <c r="M32" t="s">
        <v>29</v>
      </c>
      <c r="N32" t="s">
        <v>30</v>
      </c>
      <c r="O32">
        <v>37219</v>
      </c>
      <c r="P32" t="s">
        <v>8124</v>
      </c>
      <c r="Q32" s="2">
        <v>1986.6</v>
      </c>
      <c r="R32" s="2">
        <v>0</v>
      </c>
      <c r="S32" s="2">
        <v>0</v>
      </c>
      <c r="T32" t="s">
        <v>8125</v>
      </c>
      <c r="U32" s="6">
        <v>5075</v>
      </c>
      <c r="V32" s="2">
        <v>47037018404</v>
      </c>
      <c r="W32" s="2" t="s">
        <v>68</v>
      </c>
      <c r="X32" s="1">
        <v>45658</v>
      </c>
      <c r="Y32" s="2">
        <v>12873200</v>
      </c>
      <c r="Z32" s="2">
        <v>0</v>
      </c>
      <c r="AA32" s="2">
        <v>12873200</v>
      </c>
    </row>
    <row r="33" spans="1:27" x14ac:dyDescent="0.3">
      <c r="A33" s="3">
        <v>34</v>
      </c>
      <c r="B33" s="2" t="str">
        <f>"14405000100"</f>
        <v>14405000100</v>
      </c>
      <c r="C33" s="2" t="s">
        <v>8126</v>
      </c>
      <c r="D33" t="s">
        <v>29</v>
      </c>
      <c r="E33" s="2" t="s">
        <v>30</v>
      </c>
      <c r="F33" s="2">
        <v>37215</v>
      </c>
      <c r="G33" s="2" t="s">
        <v>200</v>
      </c>
      <c r="H33" t="s">
        <v>8122</v>
      </c>
      <c r="I33" s="6">
        <v>19898</v>
      </c>
      <c r="J33" s="2" t="s">
        <v>8111</v>
      </c>
      <c r="K33" s="2" t="s">
        <v>34</v>
      </c>
      <c r="L33" t="s">
        <v>35</v>
      </c>
      <c r="M33" t="s">
        <v>29</v>
      </c>
      <c r="N33" t="s">
        <v>30</v>
      </c>
      <c r="O33">
        <v>37219</v>
      </c>
      <c r="P33" t="s">
        <v>8127</v>
      </c>
      <c r="Q33" s="2">
        <v>2.4</v>
      </c>
      <c r="R33" s="2">
        <v>0</v>
      </c>
      <c r="S33" s="2">
        <v>0</v>
      </c>
      <c r="T33" t="s">
        <v>8111</v>
      </c>
      <c r="U33" s="6">
        <v>19898</v>
      </c>
      <c r="V33" s="2">
        <v>47037018601</v>
      </c>
      <c r="W33" s="2" t="s">
        <v>8070</v>
      </c>
      <c r="X33" s="1">
        <v>45658</v>
      </c>
      <c r="Y33" s="2">
        <v>1179000</v>
      </c>
      <c r="Z33" s="2">
        <v>0</v>
      </c>
      <c r="AA33" s="2">
        <v>1179000</v>
      </c>
    </row>
    <row r="34" spans="1:27" x14ac:dyDescent="0.3">
      <c r="A34" s="3">
        <v>34</v>
      </c>
      <c r="B34" s="2" t="str">
        <f>"14300002400"</f>
        <v>14300002400</v>
      </c>
      <c r="C34" s="2" t="s">
        <v>8128</v>
      </c>
      <c r="D34" t="s">
        <v>29</v>
      </c>
      <c r="E34" s="2" t="s">
        <v>30</v>
      </c>
      <c r="F34" s="2">
        <v>37221</v>
      </c>
      <c r="G34" s="2" t="s">
        <v>200</v>
      </c>
      <c r="H34" t="s">
        <v>8122</v>
      </c>
      <c r="I34" s="6">
        <v>17598</v>
      </c>
      <c r="J34" s="2" t="s">
        <v>8129</v>
      </c>
      <c r="K34" s="2" t="s">
        <v>34</v>
      </c>
      <c r="L34" t="s">
        <v>35</v>
      </c>
      <c r="M34" t="s">
        <v>29</v>
      </c>
      <c r="N34" t="s">
        <v>30</v>
      </c>
      <c r="O34">
        <v>37219</v>
      </c>
      <c r="P34" t="s">
        <v>8130</v>
      </c>
      <c r="Q34" s="2">
        <v>16.52</v>
      </c>
      <c r="R34" s="2">
        <v>0</v>
      </c>
      <c r="S34" s="2">
        <v>0</v>
      </c>
      <c r="T34" t="s">
        <v>8129</v>
      </c>
      <c r="U34" s="6">
        <v>17598</v>
      </c>
      <c r="V34" s="2">
        <v>47037018404</v>
      </c>
      <c r="W34" s="2" t="s">
        <v>38</v>
      </c>
      <c r="X34" s="1">
        <v>45658</v>
      </c>
      <c r="Y34" s="2">
        <v>348400</v>
      </c>
      <c r="Z34" s="2">
        <v>0</v>
      </c>
      <c r="AA34" s="2">
        <v>348400</v>
      </c>
    </row>
    <row r="35" spans="1:27" x14ac:dyDescent="0.3">
      <c r="A35" s="3">
        <v>34</v>
      </c>
      <c r="B35" s="2" t="str">
        <f>"15700000900"</f>
        <v>15700000900</v>
      </c>
      <c r="C35" s="2" t="s">
        <v>8131</v>
      </c>
      <c r="D35" t="s">
        <v>29</v>
      </c>
      <c r="E35" s="2" t="s">
        <v>30</v>
      </c>
      <c r="F35" s="2">
        <v>37221</v>
      </c>
      <c r="G35" s="2" t="s">
        <v>200</v>
      </c>
      <c r="H35" t="s">
        <v>8122</v>
      </c>
      <c r="I35" s="6">
        <v>16348</v>
      </c>
      <c r="J35" s="2" t="s">
        <v>6233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8132</v>
      </c>
      <c r="Q35" s="2">
        <v>116.1</v>
      </c>
      <c r="R35" s="2">
        <v>0</v>
      </c>
      <c r="S35" s="2">
        <v>0</v>
      </c>
      <c r="T35" t="s">
        <v>6233</v>
      </c>
      <c r="U35" s="6">
        <v>16348</v>
      </c>
      <c r="V35" s="2">
        <v>47037018404</v>
      </c>
      <c r="W35" s="2" t="s">
        <v>38</v>
      </c>
      <c r="X35" s="1">
        <v>45658</v>
      </c>
      <c r="Y35" s="2">
        <v>1879500</v>
      </c>
      <c r="Z35" s="2">
        <v>0</v>
      </c>
      <c r="AA35" s="2">
        <v>1879500</v>
      </c>
    </row>
    <row r="36" spans="1:27" x14ac:dyDescent="0.3">
      <c r="A36" s="3">
        <v>34</v>
      </c>
      <c r="B36" s="2" t="str">
        <f>"13004006500"</f>
        <v>13004006500</v>
      </c>
      <c r="C36" s="2" t="s">
        <v>8133</v>
      </c>
      <c r="D36" t="s">
        <v>29</v>
      </c>
      <c r="E36" s="2" t="s">
        <v>30</v>
      </c>
      <c r="F36" s="2">
        <v>37215</v>
      </c>
      <c r="G36" s="2" t="s">
        <v>253</v>
      </c>
      <c r="H36" t="s">
        <v>8134</v>
      </c>
      <c r="I36" s="6">
        <v>17651</v>
      </c>
      <c r="J36" s="2" t="s">
        <v>8135</v>
      </c>
      <c r="K36" s="2" t="s">
        <v>34</v>
      </c>
      <c r="L36" t="s">
        <v>35</v>
      </c>
      <c r="M36" t="s">
        <v>29</v>
      </c>
      <c r="N36" t="s">
        <v>30</v>
      </c>
      <c r="O36">
        <v>37219</v>
      </c>
      <c r="P36" t="s">
        <v>8136</v>
      </c>
      <c r="Q36" s="2">
        <v>7.29</v>
      </c>
      <c r="R36" s="2">
        <v>0</v>
      </c>
      <c r="S36" s="2">
        <v>0</v>
      </c>
      <c r="T36" t="s">
        <v>8137</v>
      </c>
      <c r="U36" s="6">
        <v>36168</v>
      </c>
      <c r="V36" s="2">
        <v>47037017901</v>
      </c>
      <c r="W36" s="2" t="s">
        <v>68</v>
      </c>
      <c r="X36" s="1">
        <v>45658</v>
      </c>
      <c r="Y36" s="2">
        <v>5423800</v>
      </c>
      <c r="Z36" s="2">
        <v>0</v>
      </c>
      <c r="AA36" s="2">
        <v>5423800</v>
      </c>
    </row>
    <row r="37" spans="1:27" x14ac:dyDescent="0.3">
      <c r="A37" s="3">
        <v>34</v>
      </c>
      <c r="B37" s="2" t="str">
        <f>"14416002600"</f>
        <v>14416002600</v>
      </c>
      <c r="C37" s="2" t="s">
        <v>8138</v>
      </c>
      <c r="D37" t="s">
        <v>29</v>
      </c>
      <c r="E37" s="2" t="s">
        <v>30</v>
      </c>
      <c r="F37" s="2">
        <v>37215</v>
      </c>
      <c r="G37" s="2" t="s">
        <v>253</v>
      </c>
      <c r="H37" t="s">
        <v>8139</v>
      </c>
      <c r="I37" s="6">
        <v>20782</v>
      </c>
      <c r="J37" s="2" t="s">
        <v>8140</v>
      </c>
      <c r="K37" s="2" t="s">
        <v>34</v>
      </c>
      <c r="L37" t="s">
        <v>35</v>
      </c>
      <c r="M37" t="s">
        <v>29</v>
      </c>
      <c r="N37" t="s">
        <v>30</v>
      </c>
      <c r="O37">
        <v>37219</v>
      </c>
      <c r="P37" t="s">
        <v>8141</v>
      </c>
      <c r="Q37" s="2">
        <v>9.9</v>
      </c>
      <c r="R37" s="2">
        <v>0</v>
      </c>
      <c r="S37" s="2">
        <v>0</v>
      </c>
      <c r="T37" t="s">
        <v>8140</v>
      </c>
      <c r="U37" s="6">
        <v>20782</v>
      </c>
      <c r="V37" s="2">
        <v>47037018602</v>
      </c>
      <c r="W37" s="2" t="s">
        <v>8070</v>
      </c>
      <c r="X37" s="1">
        <v>45658</v>
      </c>
      <c r="Y37" s="2">
        <v>2142100</v>
      </c>
      <c r="Z37" s="2">
        <v>0</v>
      </c>
      <c r="AA37" s="2">
        <v>2142100</v>
      </c>
    </row>
    <row r="38" spans="1:27" x14ac:dyDescent="0.3">
      <c r="A38" s="3">
        <v>34</v>
      </c>
      <c r="B38" s="2" t="str">
        <f>"13101000600"</f>
        <v>13101000600</v>
      </c>
      <c r="C38" s="2" t="s">
        <v>8142</v>
      </c>
      <c r="D38" t="s">
        <v>29</v>
      </c>
      <c r="E38" s="2" t="s">
        <v>30</v>
      </c>
      <c r="F38" s="2">
        <v>37215</v>
      </c>
      <c r="G38" s="2" t="s">
        <v>64</v>
      </c>
      <c r="H38" t="s">
        <v>996</v>
      </c>
      <c r="I38" s="6">
        <v>41290</v>
      </c>
      <c r="J38" s="2" t="s">
        <v>8143</v>
      </c>
      <c r="K38" s="2">
        <v>469000</v>
      </c>
      <c r="L38" t="s">
        <v>35</v>
      </c>
      <c r="M38" t="s">
        <v>29</v>
      </c>
      <c r="N38" t="s">
        <v>30</v>
      </c>
      <c r="O38">
        <v>37219</v>
      </c>
      <c r="P38" t="s">
        <v>8144</v>
      </c>
      <c r="Q38" s="2">
        <v>0.52</v>
      </c>
      <c r="R38" s="2">
        <v>100</v>
      </c>
      <c r="S38" s="2">
        <v>230</v>
      </c>
      <c r="T38" t="s">
        <v>8145</v>
      </c>
      <c r="U38" s="6">
        <v>26103</v>
      </c>
      <c r="V38" s="2">
        <v>47037017901</v>
      </c>
      <c r="W38" s="2" t="s">
        <v>68</v>
      </c>
      <c r="X38" s="1">
        <v>45658</v>
      </c>
      <c r="Y38" s="2">
        <v>620000</v>
      </c>
      <c r="Z38" s="2">
        <v>0</v>
      </c>
      <c r="AA38" s="2">
        <v>620000</v>
      </c>
    </row>
    <row r="39" spans="1:27" x14ac:dyDescent="0.3">
      <c r="A39" s="3">
        <v>34</v>
      </c>
      <c r="B39" s="2" t="str">
        <f>"13101000500"</f>
        <v>13101000500</v>
      </c>
      <c r="C39" s="2" t="s">
        <v>8146</v>
      </c>
      <c r="D39" t="s">
        <v>29</v>
      </c>
      <c r="E39" s="2" t="s">
        <v>30</v>
      </c>
      <c r="F39" s="2">
        <v>37215</v>
      </c>
      <c r="G39" s="2" t="s">
        <v>64</v>
      </c>
      <c r="H39" t="s">
        <v>996</v>
      </c>
      <c r="I39" s="6">
        <v>41246</v>
      </c>
      <c r="J39" s="2" t="s">
        <v>8147</v>
      </c>
      <c r="K39" s="2">
        <v>0</v>
      </c>
      <c r="L39" t="s">
        <v>35</v>
      </c>
      <c r="M39" t="s">
        <v>29</v>
      </c>
      <c r="N39" t="s">
        <v>30</v>
      </c>
      <c r="O39">
        <v>37219</v>
      </c>
      <c r="P39" t="s">
        <v>8148</v>
      </c>
      <c r="Q39" s="2">
        <v>0.61</v>
      </c>
      <c r="R39" s="2">
        <v>92</v>
      </c>
      <c r="S39" s="2">
        <v>230</v>
      </c>
      <c r="T39" t="s">
        <v>8149</v>
      </c>
      <c r="U39" s="6">
        <v>23986</v>
      </c>
      <c r="V39" s="2">
        <v>47037017901</v>
      </c>
      <c r="W39" s="2" t="s">
        <v>68</v>
      </c>
      <c r="X39" s="1">
        <v>45658</v>
      </c>
      <c r="Y39" s="2">
        <v>620000</v>
      </c>
      <c r="Z39" s="2">
        <v>0</v>
      </c>
      <c r="AA39" s="2">
        <v>620000</v>
      </c>
    </row>
    <row r="40" spans="1:27" x14ac:dyDescent="0.3">
      <c r="A40" s="3">
        <v>34</v>
      </c>
      <c r="B40" s="2" t="str">
        <f>"13016006000"</f>
        <v>13016006000</v>
      </c>
      <c r="C40" s="2" t="s">
        <v>8150</v>
      </c>
      <c r="D40" t="s">
        <v>29</v>
      </c>
      <c r="E40" s="2" t="s">
        <v>30</v>
      </c>
      <c r="F40" s="2">
        <v>37215</v>
      </c>
      <c r="G40" s="2" t="s">
        <v>152</v>
      </c>
      <c r="H40" t="s">
        <v>280</v>
      </c>
      <c r="I40" s="6">
        <v>13746</v>
      </c>
      <c r="J40" s="2" t="s">
        <v>8151</v>
      </c>
      <c r="K40" s="2" t="s">
        <v>34</v>
      </c>
      <c r="L40" t="s">
        <v>35</v>
      </c>
      <c r="M40" t="s">
        <v>29</v>
      </c>
      <c r="N40" t="s">
        <v>30</v>
      </c>
      <c r="O40">
        <v>37219</v>
      </c>
      <c r="P40" t="s">
        <v>8152</v>
      </c>
      <c r="Q40" s="2">
        <v>0.01</v>
      </c>
      <c r="R40" s="2">
        <v>16</v>
      </c>
      <c r="S40" s="2">
        <v>22</v>
      </c>
      <c r="T40" t="s">
        <v>8153</v>
      </c>
      <c r="U40" s="6">
        <v>13745</v>
      </c>
      <c r="V40" s="2">
        <v>47037018602</v>
      </c>
      <c r="W40" s="2" t="s">
        <v>8070</v>
      </c>
      <c r="X40" s="1">
        <v>45658</v>
      </c>
      <c r="Y40" s="2">
        <v>6500</v>
      </c>
      <c r="Z40" s="2">
        <v>0</v>
      </c>
      <c r="AA40" s="2">
        <v>6500</v>
      </c>
    </row>
    <row r="41" spans="1:27" x14ac:dyDescent="0.3">
      <c r="A41" s="3">
        <v>34</v>
      </c>
      <c r="B41" s="2" t="str">
        <f>"15807000401"</f>
        <v>15807000401</v>
      </c>
      <c r="C41" s="2" t="s">
        <v>8154</v>
      </c>
      <c r="D41" t="s">
        <v>29</v>
      </c>
      <c r="E41" s="2" t="s">
        <v>30</v>
      </c>
      <c r="F41" s="2">
        <v>37215</v>
      </c>
      <c r="G41" s="2" t="s">
        <v>152</v>
      </c>
      <c r="H41" t="s">
        <v>280</v>
      </c>
      <c r="I41" s="6">
        <v>23545</v>
      </c>
      <c r="J41" s="2" t="s">
        <v>8155</v>
      </c>
      <c r="K41" s="2" t="s">
        <v>34</v>
      </c>
      <c r="L41" t="s">
        <v>35</v>
      </c>
      <c r="M41" t="s">
        <v>29</v>
      </c>
      <c r="N41" t="s">
        <v>30</v>
      </c>
      <c r="O41">
        <v>37219</v>
      </c>
      <c r="P41" t="s">
        <v>8156</v>
      </c>
      <c r="Q41" s="2">
        <v>0.18</v>
      </c>
      <c r="R41" s="2">
        <v>100</v>
      </c>
      <c r="S41" s="2">
        <v>80</v>
      </c>
      <c r="T41" t="s">
        <v>8155</v>
      </c>
      <c r="U41" s="6">
        <v>23545</v>
      </c>
      <c r="V41" s="2">
        <v>47037018602</v>
      </c>
      <c r="W41" s="2" t="s">
        <v>8070</v>
      </c>
      <c r="X41" s="1">
        <v>45658</v>
      </c>
      <c r="Y41" s="2">
        <v>45000</v>
      </c>
      <c r="Z41" s="2">
        <v>0</v>
      </c>
      <c r="AA41" s="2">
        <v>45000</v>
      </c>
    </row>
    <row r="42" spans="1:27" x14ac:dyDescent="0.3">
      <c r="A42" s="3">
        <v>34</v>
      </c>
      <c r="B42" s="2" t="str">
        <f>"15900023300"</f>
        <v>15900023300</v>
      </c>
      <c r="C42" s="2" t="s">
        <v>8157</v>
      </c>
      <c r="D42" t="s">
        <v>1117</v>
      </c>
      <c r="E42" s="2" t="s">
        <v>30</v>
      </c>
      <c r="F42" s="2">
        <v>37027</v>
      </c>
      <c r="G42" s="2" t="s">
        <v>64</v>
      </c>
      <c r="H42" t="s">
        <v>280</v>
      </c>
      <c r="I42" s="6">
        <v>32707</v>
      </c>
      <c r="J42" s="2" t="s">
        <v>8158</v>
      </c>
      <c r="K42" s="2">
        <v>0</v>
      </c>
      <c r="L42" t="s">
        <v>35</v>
      </c>
      <c r="M42" t="s">
        <v>29</v>
      </c>
      <c r="N42" t="s">
        <v>30</v>
      </c>
      <c r="O42">
        <v>37219</v>
      </c>
      <c r="P42" t="s">
        <v>8159</v>
      </c>
      <c r="Q42" s="2">
        <v>0.7</v>
      </c>
      <c r="R42" s="2">
        <v>259</v>
      </c>
      <c r="S42" s="2">
        <v>145</v>
      </c>
      <c r="T42" t="s">
        <v>8158</v>
      </c>
      <c r="U42" s="6">
        <v>32707</v>
      </c>
      <c r="V42" s="2">
        <v>47037018700</v>
      </c>
      <c r="W42" s="2" t="s">
        <v>38</v>
      </c>
      <c r="X42" s="1">
        <v>45658</v>
      </c>
      <c r="Y42" s="2">
        <v>693000</v>
      </c>
      <c r="Z42" s="2">
        <v>0</v>
      </c>
      <c r="AA42" s="2">
        <v>693000</v>
      </c>
    </row>
    <row r="43" spans="1:27" x14ac:dyDescent="0.3">
      <c r="A43" s="3">
        <v>34</v>
      </c>
      <c r="B43" s="2" t="str">
        <f>"13109001100"</f>
        <v>13109001100</v>
      </c>
      <c r="C43" s="2" t="s">
        <v>8160</v>
      </c>
      <c r="D43" t="s">
        <v>29</v>
      </c>
      <c r="E43" s="2" t="s">
        <v>30</v>
      </c>
      <c r="F43" s="2">
        <v>37215</v>
      </c>
      <c r="G43" s="2" t="s">
        <v>152</v>
      </c>
      <c r="H43" t="s">
        <v>280</v>
      </c>
      <c r="I43" s="6">
        <v>23545</v>
      </c>
      <c r="J43" s="2" t="s">
        <v>8161</v>
      </c>
      <c r="K43" s="2" t="s">
        <v>34</v>
      </c>
      <c r="L43" t="s">
        <v>35</v>
      </c>
      <c r="M43" t="s">
        <v>29</v>
      </c>
      <c r="N43" t="s">
        <v>30</v>
      </c>
      <c r="O43">
        <v>37219</v>
      </c>
      <c r="P43" t="s">
        <v>8162</v>
      </c>
      <c r="Q43" s="2">
        <v>2.4500000000000002</v>
      </c>
      <c r="R43" s="2">
        <v>280</v>
      </c>
      <c r="S43" s="2">
        <v>380</v>
      </c>
      <c r="T43" t="s">
        <v>8161</v>
      </c>
      <c r="U43" s="6">
        <v>23545</v>
      </c>
      <c r="V43" s="2">
        <v>47037017902</v>
      </c>
      <c r="W43" s="2" t="s">
        <v>68</v>
      </c>
      <c r="X43" s="1">
        <v>45658</v>
      </c>
      <c r="Y43" s="2">
        <v>766000</v>
      </c>
      <c r="Z43" s="2">
        <v>0</v>
      </c>
      <c r="AA43" s="2">
        <v>766000</v>
      </c>
    </row>
    <row r="44" spans="1:27" x14ac:dyDescent="0.3">
      <c r="A44" s="3">
        <v>34</v>
      </c>
      <c r="B44" s="2" t="str">
        <f>"13012003501"</f>
        <v>13012003501</v>
      </c>
      <c r="C44" s="2" t="s">
        <v>8163</v>
      </c>
      <c r="D44" t="s">
        <v>29</v>
      </c>
      <c r="E44" s="2" t="s">
        <v>30</v>
      </c>
      <c r="F44" s="2">
        <v>37215</v>
      </c>
      <c r="G44" s="2" t="s">
        <v>152</v>
      </c>
      <c r="H44" t="s">
        <v>280</v>
      </c>
      <c r="I44" s="6">
        <v>23545</v>
      </c>
      <c r="J44" s="2" t="s">
        <v>8164</v>
      </c>
      <c r="K44" s="2" t="s">
        <v>34</v>
      </c>
      <c r="L44" t="s">
        <v>35</v>
      </c>
      <c r="M44" t="s">
        <v>29</v>
      </c>
      <c r="N44" t="s">
        <v>30</v>
      </c>
      <c r="O44">
        <v>37219</v>
      </c>
      <c r="P44" t="s">
        <v>8165</v>
      </c>
      <c r="Q44" s="2">
        <v>3.71</v>
      </c>
      <c r="R44" s="2">
        <v>0</v>
      </c>
      <c r="S44" s="2">
        <v>0</v>
      </c>
      <c r="T44" t="s">
        <v>8164</v>
      </c>
      <c r="U44" s="6">
        <v>23545</v>
      </c>
      <c r="V44" s="2">
        <v>47037018601</v>
      </c>
      <c r="W44" s="2" t="s">
        <v>8070</v>
      </c>
      <c r="X44" s="1">
        <v>45658</v>
      </c>
      <c r="Y44" s="2">
        <v>1164400</v>
      </c>
      <c r="Z44" s="2">
        <v>0</v>
      </c>
      <c r="AA44" s="2">
        <v>1164400</v>
      </c>
    </row>
    <row r="45" spans="1:27" x14ac:dyDescent="0.3">
      <c r="A45" s="3">
        <v>34</v>
      </c>
      <c r="B45" s="2" t="str">
        <f>"13109001301"</f>
        <v>13109001301</v>
      </c>
      <c r="C45" s="2" t="s">
        <v>8150</v>
      </c>
      <c r="D45" t="s">
        <v>29</v>
      </c>
      <c r="E45" s="2" t="s">
        <v>30</v>
      </c>
      <c r="F45" s="2">
        <v>37215</v>
      </c>
      <c r="G45" s="2" t="s">
        <v>64</v>
      </c>
      <c r="H45" t="s">
        <v>280</v>
      </c>
      <c r="I45" s="6">
        <v>23545</v>
      </c>
      <c r="J45" s="2" t="s">
        <v>8166</v>
      </c>
      <c r="K45" s="2" t="s">
        <v>34</v>
      </c>
      <c r="L45" t="s">
        <v>35</v>
      </c>
      <c r="M45" t="s">
        <v>29</v>
      </c>
      <c r="N45" t="s">
        <v>30</v>
      </c>
      <c r="O45">
        <v>37219</v>
      </c>
      <c r="P45" t="s">
        <v>8167</v>
      </c>
      <c r="Q45" s="2">
        <v>0.01</v>
      </c>
      <c r="R45" s="2">
        <v>15</v>
      </c>
      <c r="S45" s="2">
        <v>22</v>
      </c>
      <c r="T45" t="s">
        <v>8166</v>
      </c>
      <c r="U45" s="6">
        <v>23545</v>
      </c>
      <c r="V45" s="2">
        <v>47037018602</v>
      </c>
      <c r="W45" s="2" t="s">
        <v>8070</v>
      </c>
      <c r="X45" s="1">
        <v>45658</v>
      </c>
      <c r="Y45" s="2">
        <v>100</v>
      </c>
      <c r="Z45" s="2">
        <v>0</v>
      </c>
      <c r="AA45" s="2">
        <v>100</v>
      </c>
    </row>
    <row r="46" spans="1:27" x14ac:dyDescent="0.3">
      <c r="A46" s="3">
        <v>34</v>
      </c>
      <c r="B46" s="2" t="str">
        <f>"15800003300"</f>
        <v>15800003300</v>
      </c>
      <c r="C46" s="2" t="s">
        <v>8168</v>
      </c>
      <c r="D46" t="s">
        <v>1117</v>
      </c>
      <c r="E46" s="2" t="s">
        <v>30</v>
      </c>
      <c r="F46" s="2">
        <v>37027</v>
      </c>
      <c r="G46" s="2" t="s">
        <v>64</v>
      </c>
      <c r="H46" t="s">
        <v>6125</v>
      </c>
      <c r="I46" s="6">
        <v>38574</v>
      </c>
      <c r="J46" s="2" t="s">
        <v>8169</v>
      </c>
      <c r="K46" s="2">
        <v>1375000</v>
      </c>
      <c r="L46" t="s">
        <v>8170</v>
      </c>
      <c r="M46" t="s">
        <v>29</v>
      </c>
      <c r="N46" t="s">
        <v>30</v>
      </c>
      <c r="O46">
        <v>37203</v>
      </c>
      <c r="P46" t="s">
        <v>8171</v>
      </c>
      <c r="Q46" s="2">
        <v>20.16</v>
      </c>
      <c r="R46" s="2">
        <v>1010</v>
      </c>
      <c r="S46" s="2">
        <v>0</v>
      </c>
      <c r="T46" t="s">
        <v>8172</v>
      </c>
      <c r="U46" s="6">
        <v>40024</v>
      </c>
      <c r="V46" s="2">
        <v>47037018602</v>
      </c>
      <c r="W46" s="2" t="s">
        <v>8070</v>
      </c>
      <c r="X46" s="1">
        <v>45658</v>
      </c>
      <c r="Y46" s="2">
        <v>2316900</v>
      </c>
      <c r="Z46" s="2">
        <v>0</v>
      </c>
      <c r="AA46" s="2">
        <v>2316900</v>
      </c>
    </row>
    <row r="47" spans="1:27" x14ac:dyDescent="0.3">
      <c r="A47" s="3">
        <v>34</v>
      </c>
      <c r="B47" s="2" t="str">
        <f>"11608011300"</f>
        <v>11608011300</v>
      </c>
      <c r="C47" s="2" t="s">
        <v>8173</v>
      </c>
      <c r="D47" t="s">
        <v>29</v>
      </c>
      <c r="E47" s="2" t="s">
        <v>30</v>
      </c>
      <c r="F47" s="2">
        <v>37215</v>
      </c>
      <c r="G47" s="2" t="s">
        <v>64</v>
      </c>
      <c r="H47" t="s">
        <v>379</v>
      </c>
      <c r="I47" s="6">
        <v>43320</v>
      </c>
      <c r="J47" s="2" t="s">
        <v>8174</v>
      </c>
      <c r="K47" s="2">
        <v>0</v>
      </c>
      <c r="L47" t="s">
        <v>343</v>
      </c>
      <c r="M47" t="s">
        <v>29</v>
      </c>
      <c r="N47" t="s">
        <v>30</v>
      </c>
      <c r="O47">
        <v>37201</v>
      </c>
      <c r="P47" t="s">
        <v>8175</v>
      </c>
      <c r="Q47" s="2">
        <v>0.39</v>
      </c>
      <c r="R47" s="2">
        <v>75</v>
      </c>
      <c r="S47" s="2">
        <v>221</v>
      </c>
      <c r="T47" t="s">
        <v>8176</v>
      </c>
      <c r="U47" s="6">
        <v>27137</v>
      </c>
      <c r="V47" s="2">
        <v>47037017901</v>
      </c>
      <c r="W47" s="2" t="s">
        <v>68</v>
      </c>
      <c r="X47" s="1">
        <v>45658</v>
      </c>
      <c r="Y47" s="2">
        <v>340000</v>
      </c>
      <c r="Z47" s="2">
        <v>0</v>
      </c>
      <c r="AA47" s="2">
        <v>340000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41F9-5BDB-40B4-9028-2825B8F3CFE9}">
  <sheetPr>
    <tabColor rgb="FF002060"/>
  </sheetPr>
  <dimension ref="A1:AA19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3">
        <v>35</v>
      </c>
      <c r="B2" s="2" t="str">
        <f>"07700007500"</f>
        <v>07700007500</v>
      </c>
      <c r="C2" s="2" t="s">
        <v>8177</v>
      </c>
      <c r="D2" t="s">
        <v>8178</v>
      </c>
      <c r="E2" s="2" t="s">
        <v>30</v>
      </c>
      <c r="F2" s="2">
        <v>37143</v>
      </c>
      <c r="G2" s="2" t="s">
        <v>31</v>
      </c>
      <c r="H2" t="s">
        <v>32</v>
      </c>
      <c r="I2" s="6">
        <v>38422</v>
      </c>
      <c r="J2" s="2" t="s">
        <v>8179</v>
      </c>
      <c r="K2" s="2">
        <v>1139</v>
      </c>
      <c r="L2" t="s">
        <v>35</v>
      </c>
      <c r="M2" t="s">
        <v>29</v>
      </c>
      <c r="N2" t="s">
        <v>30</v>
      </c>
      <c r="O2">
        <v>37219</v>
      </c>
      <c r="P2" t="s">
        <v>8180</v>
      </c>
      <c r="Q2" s="2">
        <v>0.41</v>
      </c>
      <c r="R2" s="2">
        <v>0</v>
      </c>
      <c r="S2" s="2">
        <v>0</v>
      </c>
      <c r="T2" t="s">
        <v>8181</v>
      </c>
      <c r="U2" s="6">
        <v>23281</v>
      </c>
      <c r="V2" s="2">
        <v>47037018301</v>
      </c>
      <c r="W2" s="2" t="s">
        <v>38</v>
      </c>
      <c r="X2" s="1">
        <v>45658</v>
      </c>
      <c r="Y2" s="2">
        <v>2400</v>
      </c>
      <c r="Z2" s="2">
        <v>0</v>
      </c>
      <c r="AA2" s="2">
        <v>2400</v>
      </c>
    </row>
    <row r="3" spans="1:27" x14ac:dyDescent="0.3">
      <c r="A3" s="3">
        <v>35</v>
      </c>
      <c r="B3" s="2" t="str">
        <f>"14100001600"</f>
        <v>14100001600</v>
      </c>
      <c r="C3" s="2" t="s">
        <v>8182</v>
      </c>
      <c r="D3" t="s">
        <v>29</v>
      </c>
      <c r="E3" s="2" t="s">
        <v>30</v>
      </c>
      <c r="F3" s="2">
        <v>37221</v>
      </c>
      <c r="G3" s="2" t="s">
        <v>31</v>
      </c>
      <c r="H3" t="s">
        <v>32</v>
      </c>
      <c r="I3" s="6">
        <v>43791</v>
      </c>
      <c r="J3" s="2" t="s">
        <v>8183</v>
      </c>
      <c r="K3" s="2" t="s">
        <v>34</v>
      </c>
      <c r="L3" t="s">
        <v>35</v>
      </c>
      <c r="M3" t="s">
        <v>29</v>
      </c>
      <c r="N3" t="s">
        <v>30</v>
      </c>
      <c r="O3">
        <v>37219</v>
      </c>
      <c r="P3" t="s">
        <v>8184</v>
      </c>
      <c r="Q3" s="2">
        <v>51</v>
      </c>
      <c r="R3" s="2">
        <v>0</v>
      </c>
      <c r="S3" s="2">
        <v>0</v>
      </c>
      <c r="T3" t="s">
        <v>8185</v>
      </c>
      <c r="U3" s="6">
        <v>31272</v>
      </c>
      <c r="V3" s="2">
        <v>47037018409</v>
      </c>
      <c r="W3" s="2" t="s">
        <v>38</v>
      </c>
      <c r="X3" s="1">
        <v>45658</v>
      </c>
      <c r="Y3" s="2">
        <v>361400</v>
      </c>
      <c r="Z3" s="2">
        <v>0</v>
      </c>
      <c r="AA3" s="2">
        <v>361400</v>
      </c>
    </row>
    <row r="4" spans="1:27" x14ac:dyDescent="0.3">
      <c r="A4" s="3">
        <v>35</v>
      </c>
      <c r="B4" s="2" t="str">
        <f>"10100015800"</f>
        <v>10100015800</v>
      </c>
      <c r="C4" s="2" t="s">
        <v>8186</v>
      </c>
      <c r="D4" t="s">
        <v>29</v>
      </c>
      <c r="E4" s="2" t="s">
        <v>30</v>
      </c>
      <c r="F4" s="2">
        <v>37209</v>
      </c>
      <c r="G4" s="2" t="s">
        <v>31</v>
      </c>
      <c r="H4" t="s">
        <v>99</v>
      </c>
      <c r="I4" s="6">
        <v>42958</v>
      </c>
      <c r="J4" s="2" t="s">
        <v>8187</v>
      </c>
      <c r="K4" s="2">
        <v>17218</v>
      </c>
      <c r="L4" t="s">
        <v>893</v>
      </c>
      <c r="M4" t="s">
        <v>29</v>
      </c>
      <c r="N4" t="s">
        <v>30</v>
      </c>
      <c r="O4">
        <v>37219</v>
      </c>
      <c r="P4" t="s">
        <v>8188</v>
      </c>
      <c r="Q4" s="2">
        <v>0.5</v>
      </c>
      <c r="R4" s="2">
        <v>300</v>
      </c>
      <c r="S4" s="2">
        <v>95</v>
      </c>
      <c r="T4" t="s">
        <v>8189</v>
      </c>
      <c r="U4" s="6">
        <v>173</v>
      </c>
      <c r="V4" s="2">
        <v>47037018301</v>
      </c>
      <c r="W4" s="2" t="s">
        <v>38</v>
      </c>
      <c r="X4" s="1">
        <v>45658</v>
      </c>
      <c r="Y4" s="2">
        <v>50100</v>
      </c>
      <c r="Z4" s="2">
        <v>0</v>
      </c>
      <c r="AA4" s="2">
        <v>50100</v>
      </c>
    </row>
    <row r="5" spans="1:27" x14ac:dyDescent="0.3">
      <c r="A5" s="3">
        <v>35</v>
      </c>
      <c r="B5" s="2" t="str">
        <f>"10200003500"</f>
        <v>10200003500</v>
      </c>
      <c r="C5" s="2" t="s">
        <v>8190</v>
      </c>
      <c r="D5" t="s">
        <v>29</v>
      </c>
      <c r="E5" s="2" t="s">
        <v>30</v>
      </c>
      <c r="F5" s="2">
        <v>37209</v>
      </c>
      <c r="G5" s="2" t="s">
        <v>31</v>
      </c>
      <c r="H5" t="s">
        <v>99</v>
      </c>
      <c r="I5" s="6">
        <v>37970</v>
      </c>
      <c r="J5" s="2" t="s">
        <v>8191</v>
      </c>
      <c r="K5" s="2">
        <v>0</v>
      </c>
      <c r="L5" t="s">
        <v>35</v>
      </c>
      <c r="M5" t="s">
        <v>29</v>
      </c>
      <c r="N5" t="s">
        <v>30</v>
      </c>
      <c r="O5">
        <v>37219</v>
      </c>
      <c r="P5" t="s">
        <v>8192</v>
      </c>
      <c r="Q5" s="2">
        <v>0.5</v>
      </c>
      <c r="R5" s="2">
        <v>105</v>
      </c>
      <c r="S5" s="2">
        <v>210</v>
      </c>
      <c r="T5" t="s">
        <v>8193</v>
      </c>
      <c r="U5" s="6">
        <v>24939</v>
      </c>
      <c r="V5" s="2">
        <v>47037018301</v>
      </c>
      <c r="W5" s="2" t="s">
        <v>38</v>
      </c>
      <c r="X5" s="1">
        <v>45658</v>
      </c>
      <c r="Y5" s="2">
        <v>5300</v>
      </c>
      <c r="Z5" s="2">
        <v>0</v>
      </c>
      <c r="AA5" s="2">
        <v>5300</v>
      </c>
    </row>
    <row r="6" spans="1:27" x14ac:dyDescent="0.3">
      <c r="A6" s="3">
        <v>35</v>
      </c>
      <c r="B6" s="2" t="str">
        <f>"12700014200"</f>
        <v>12700014200</v>
      </c>
      <c r="C6" s="2" t="s">
        <v>8194</v>
      </c>
      <c r="D6" t="s">
        <v>29</v>
      </c>
      <c r="E6" s="2" t="s">
        <v>30</v>
      </c>
      <c r="F6" s="2">
        <v>37221</v>
      </c>
      <c r="G6" s="2" t="s">
        <v>147</v>
      </c>
      <c r="H6" t="s">
        <v>1131</v>
      </c>
      <c r="I6" s="6">
        <v>28685</v>
      </c>
      <c r="J6" s="2" t="s">
        <v>8195</v>
      </c>
      <c r="K6" s="2" t="s">
        <v>34</v>
      </c>
      <c r="L6" t="s">
        <v>35</v>
      </c>
      <c r="M6" t="s">
        <v>29</v>
      </c>
      <c r="N6" t="s">
        <v>30</v>
      </c>
      <c r="O6">
        <v>37219</v>
      </c>
      <c r="P6" t="s">
        <v>8196</v>
      </c>
      <c r="Q6" s="2">
        <v>1.48</v>
      </c>
      <c r="R6" s="2">
        <v>253</v>
      </c>
      <c r="S6" s="2">
        <v>255</v>
      </c>
      <c r="T6" t="s">
        <v>8195</v>
      </c>
      <c r="U6" s="6">
        <v>28685</v>
      </c>
      <c r="V6" s="2">
        <v>47037018301</v>
      </c>
      <c r="W6" s="2" t="s">
        <v>38</v>
      </c>
      <c r="X6" s="1">
        <v>45658</v>
      </c>
      <c r="Y6" s="2">
        <v>271900</v>
      </c>
      <c r="Z6" s="2">
        <v>0</v>
      </c>
      <c r="AA6" s="2">
        <v>271900</v>
      </c>
    </row>
    <row r="7" spans="1:27" x14ac:dyDescent="0.3">
      <c r="A7" s="3">
        <v>35</v>
      </c>
      <c r="B7" s="2" t="str">
        <f>"14200012300"</f>
        <v>14200012300</v>
      </c>
      <c r="C7" s="2" t="s">
        <v>8197</v>
      </c>
      <c r="D7" t="s">
        <v>29</v>
      </c>
      <c r="E7" s="2" t="s">
        <v>30</v>
      </c>
      <c r="F7" s="2">
        <v>37221</v>
      </c>
      <c r="G7" s="2" t="s">
        <v>64</v>
      </c>
      <c r="H7" t="s">
        <v>171</v>
      </c>
      <c r="I7" s="6">
        <v>33750</v>
      </c>
      <c r="J7" s="2" t="s">
        <v>8198</v>
      </c>
      <c r="K7" s="2">
        <v>0</v>
      </c>
      <c r="L7" t="s">
        <v>35</v>
      </c>
      <c r="M7" t="s">
        <v>29</v>
      </c>
      <c r="N7" t="s">
        <v>30</v>
      </c>
      <c r="O7">
        <v>37219</v>
      </c>
      <c r="P7" t="s">
        <v>8199</v>
      </c>
      <c r="Q7" s="2">
        <v>7.71</v>
      </c>
      <c r="R7" s="2">
        <v>0</v>
      </c>
      <c r="S7" s="2">
        <v>0</v>
      </c>
      <c r="T7" t="s">
        <v>8200</v>
      </c>
      <c r="U7" s="6">
        <v>26778</v>
      </c>
      <c r="V7" s="2">
        <v>47037018407</v>
      </c>
      <c r="W7" s="2" t="s">
        <v>38</v>
      </c>
      <c r="X7" s="1">
        <v>45658</v>
      </c>
      <c r="Y7" s="2">
        <v>64000</v>
      </c>
      <c r="Z7" s="2">
        <v>0</v>
      </c>
      <c r="AA7" s="2">
        <v>64000</v>
      </c>
    </row>
    <row r="8" spans="1:27" x14ac:dyDescent="0.3">
      <c r="A8" s="3">
        <v>35</v>
      </c>
      <c r="B8" s="2" t="str">
        <f>"10200008500"</f>
        <v>10200008500</v>
      </c>
      <c r="C8" s="2" t="s">
        <v>8201</v>
      </c>
      <c r="D8" t="s">
        <v>29</v>
      </c>
      <c r="E8" s="2" t="s">
        <v>30</v>
      </c>
      <c r="F8" s="2">
        <v>37209</v>
      </c>
      <c r="G8" s="2" t="s">
        <v>41</v>
      </c>
      <c r="H8" t="s">
        <v>8202</v>
      </c>
      <c r="I8" s="6">
        <v>37026</v>
      </c>
      <c r="J8" s="2" t="s">
        <v>8203</v>
      </c>
      <c r="K8" s="2" t="s">
        <v>34</v>
      </c>
      <c r="L8" t="s">
        <v>35</v>
      </c>
      <c r="M8" t="s">
        <v>29</v>
      </c>
      <c r="N8" t="s">
        <v>30</v>
      </c>
      <c r="O8">
        <v>37219</v>
      </c>
      <c r="P8" t="s">
        <v>8204</v>
      </c>
      <c r="Q8" s="2">
        <v>14.02</v>
      </c>
      <c r="R8" s="2">
        <v>0</v>
      </c>
      <c r="S8" s="2">
        <v>0</v>
      </c>
      <c r="T8" t="s">
        <v>8205</v>
      </c>
      <c r="U8" s="6">
        <v>37026</v>
      </c>
      <c r="V8" s="2">
        <v>47037018301</v>
      </c>
      <c r="W8" s="2" t="s">
        <v>38</v>
      </c>
      <c r="X8" s="1">
        <v>45658</v>
      </c>
      <c r="Y8" s="2">
        <v>168200</v>
      </c>
      <c r="Z8" s="2">
        <v>0</v>
      </c>
      <c r="AA8" s="2">
        <v>168200</v>
      </c>
    </row>
    <row r="9" spans="1:27" x14ac:dyDescent="0.3">
      <c r="A9" s="3">
        <v>35</v>
      </c>
      <c r="B9" s="2" t="str">
        <f>"16800015300"</f>
        <v>16800015300</v>
      </c>
      <c r="C9" s="2" t="s">
        <v>6163</v>
      </c>
      <c r="D9" t="s">
        <v>29</v>
      </c>
      <c r="E9" s="2" t="s">
        <v>30</v>
      </c>
      <c r="F9" s="2">
        <v>37221</v>
      </c>
      <c r="G9" s="2" t="s">
        <v>31</v>
      </c>
      <c r="H9" t="s">
        <v>211</v>
      </c>
      <c r="I9" s="6">
        <v>28880</v>
      </c>
      <c r="J9" s="2" t="s">
        <v>8206</v>
      </c>
      <c r="K9" s="2">
        <v>164</v>
      </c>
      <c r="L9" t="s">
        <v>35</v>
      </c>
      <c r="M9" t="s">
        <v>29</v>
      </c>
      <c r="N9" t="s">
        <v>30</v>
      </c>
      <c r="O9">
        <v>37219</v>
      </c>
      <c r="P9" t="s">
        <v>8207</v>
      </c>
      <c r="Q9" s="2">
        <v>0.11</v>
      </c>
      <c r="R9" s="2">
        <v>105</v>
      </c>
      <c r="S9" s="2">
        <v>40</v>
      </c>
      <c r="T9" t="s">
        <v>8208</v>
      </c>
      <c r="U9" s="6">
        <v>20215</v>
      </c>
      <c r="V9" s="2">
        <v>47037018302</v>
      </c>
      <c r="W9" s="2" t="s">
        <v>38</v>
      </c>
      <c r="X9" s="1">
        <v>45658</v>
      </c>
      <c r="Y9" s="2">
        <v>36400</v>
      </c>
      <c r="Z9" s="2">
        <v>0</v>
      </c>
      <c r="AA9" s="2">
        <v>36400</v>
      </c>
    </row>
    <row r="10" spans="1:27" x14ac:dyDescent="0.3">
      <c r="A10" s="3">
        <v>35</v>
      </c>
      <c r="B10" s="2" t="str">
        <f>"15600008200"</f>
        <v>15600008200</v>
      </c>
      <c r="C10" s="2" t="s">
        <v>8209</v>
      </c>
      <c r="D10" t="s">
        <v>29</v>
      </c>
      <c r="E10" s="2" t="s">
        <v>30</v>
      </c>
      <c r="F10" s="2">
        <v>37221</v>
      </c>
      <c r="G10" s="2" t="s">
        <v>64</v>
      </c>
      <c r="H10" t="s">
        <v>211</v>
      </c>
      <c r="I10" s="6">
        <v>29062</v>
      </c>
      <c r="J10" s="2" t="s">
        <v>8210</v>
      </c>
      <c r="K10" s="2">
        <v>186</v>
      </c>
      <c r="L10" t="s">
        <v>35</v>
      </c>
      <c r="M10" t="s">
        <v>29</v>
      </c>
      <c r="N10" t="s">
        <v>30</v>
      </c>
      <c r="O10">
        <v>37219</v>
      </c>
      <c r="P10" t="s">
        <v>8211</v>
      </c>
      <c r="Q10" s="2">
        <v>0.27</v>
      </c>
      <c r="R10" s="2">
        <v>50</v>
      </c>
      <c r="S10" s="2">
        <v>250</v>
      </c>
      <c r="T10" t="s">
        <v>8212</v>
      </c>
      <c r="U10" s="6">
        <v>26318</v>
      </c>
      <c r="V10" s="2">
        <v>47037018405</v>
      </c>
      <c r="W10" s="2" t="s">
        <v>38</v>
      </c>
      <c r="X10" s="1">
        <v>45658</v>
      </c>
      <c r="Y10" s="2">
        <v>90300</v>
      </c>
      <c r="Z10" s="2">
        <v>0</v>
      </c>
      <c r="AA10" s="2">
        <v>90300</v>
      </c>
    </row>
    <row r="11" spans="1:27" x14ac:dyDescent="0.3">
      <c r="A11" s="3">
        <v>35</v>
      </c>
      <c r="B11" s="2" t="str">
        <f>"10214000900"</f>
        <v>10214000900</v>
      </c>
      <c r="C11" s="2" t="s">
        <v>8213</v>
      </c>
      <c r="D11" t="s">
        <v>29</v>
      </c>
      <c r="E11" s="2" t="s">
        <v>30</v>
      </c>
      <c r="F11" s="2">
        <v>37205</v>
      </c>
      <c r="G11" s="2" t="s">
        <v>253</v>
      </c>
      <c r="H11" t="s">
        <v>8214</v>
      </c>
      <c r="I11" s="6">
        <v>20999</v>
      </c>
      <c r="J11" s="2" t="s">
        <v>8215</v>
      </c>
      <c r="K11" s="2" t="s">
        <v>34</v>
      </c>
      <c r="L11" t="s">
        <v>35</v>
      </c>
      <c r="M11" t="s">
        <v>29</v>
      </c>
      <c r="N11" t="s">
        <v>30</v>
      </c>
      <c r="O11">
        <v>37219</v>
      </c>
      <c r="P11" t="s">
        <v>8216</v>
      </c>
      <c r="Q11" s="2">
        <v>7.0000000000000007E-2</v>
      </c>
      <c r="R11" s="2">
        <v>86</v>
      </c>
      <c r="S11" s="2">
        <v>184</v>
      </c>
      <c r="T11" t="s">
        <v>8215</v>
      </c>
      <c r="U11" s="6">
        <v>20999</v>
      </c>
      <c r="V11" s="2">
        <v>47037018301</v>
      </c>
      <c r="W11" s="2" t="s">
        <v>68</v>
      </c>
      <c r="X11" s="1">
        <v>45658</v>
      </c>
      <c r="Y11" s="2">
        <v>800</v>
      </c>
      <c r="Z11" s="2">
        <v>0</v>
      </c>
      <c r="AA11" s="2">
        <v>800</v>
      </c>
    </row>
    <row r="12" spans="1:27" x14ac:dyDescent="0.3">
      <c r="A12" s="3">
        <v>35</v>
      </c>
      <c r="B12" s="2" t="str">
        <f>"11400015400"</f>
        <v>11400015400</v>
      </c>
      <c r="C12" s="2" t="s">
        <v>8217</v>
      </c>
      <c r="D12" t="s">
        <v>29</v>
      </c>
      <c r="E12" s="2" t="s">
        <v>30</v>
      </c>
      <c r="F12" s="2">
        <v>37209</v>
      </c>
      <c r="G12" s="2" t="s">
        <v>253</v>
      </c>
      <c r="H12" t="s">
        <v>8218</v>
      </c>
      <c r="I12" s="6">
        <v>31980</v>
      </c>
      <c r="J12" s="2" t="s">
        <v>8219</v>
      </c>
      <c r="K12" s="2">
        <v>67000</v>
      </c>
      <c r="L12" t="s">
        <v>35</v>
      </c>
      <c r="M12" t="s">
        <v>29</v>
      </c>
      <c r="N12" t="s">
        <v>30</v>
      </c>
      <c r="O12">
        <v>37219</v>
      </c>
      <c r="P12" t="s">
        <v>8220</v>
      </c>
      <c r="Q12" s="2">
        <v>12.22</v>
      </c>
      <c r="R12" s="2">
        <v>0</v>
      </c>
      <c r="S12" s="2">
        <v>0</v>
      </c>
      <c r="T12" t="s">
        <v>278</v>
      </c>
      <c r="U12" s="6">
        <v>36581</v>
      </c>
      <c r="V12" s="2">
        <v>47037018301</v>
      </c>
      <c r="W12" s="2" t="s">
        <v>68</v>
      </c>
      <c r="X12" s="1">
        <v>45658</v>
      </c>
      <c r="Y12" s="2">
        <v>801100</v>
      </c>
      <c r="Z12" s="2">
        <v>0</v>
      </c>
      <c r="AA12" s="2">
        <v>801100</v>
      </c>
    </row>
    <row r="13" spans="1:27" x14ac:dyDescent="0.3">
      <c r="A13" s="3">
        <v>35</v>
      </c>
      <c r="B13" s="2" t="str">
        <f>"15500008900"</f>
        <v>15500008900</v>
      </c>
      <c r="C13" s="2" t="s">
        <v>8221</v>
      </c>
      <c r="D13" t="s">
        <v>29</v>
      </c>
      <c r="E13" s="2" t="s">
        <v>30</v>
      </c>
      <c r="F13" s="2">
        <v>37221</v>
      </c>
      <c r="G13" s="2" t="s">
        <v>253</v>
      </c>
      <c r="H13" t="s">
        <v>8222</v>
      </c>
      <c r="I13" s="6">
        <v>18692</v>
      </c>
      <c r="J13" s="2" t="s">
        <v>8223</v>
      </c>
      <c r="K13" s="2" t="s">
        <v>34</v>
      </c>
      <c r="L13" t="s">
        <v>35</v>
      </c>
      <c r="M13" t="s">
        <v>29</v>
      </c>
      <c r="N13" t="s">
        <v>30</v>
      </c>
      <c r="O13">
        <v>37219</v>
      </c>
      <c r="P13" t="s">
        <v>8224</v>
      </c>
      <c r="Q13" s="2">
        <v>11.2</v>
      </c>
      <c r="R13" s="2">
        <v>0</v>
      </c>
      <c r="S13" s="2">
        <v>0</v>
      </c>
      <c r="T13" t="s">
        <v>8223</v>
      </c>
      <c r="U13" s="6">
        <v>18692</v>
      </c>
      <c r="V13" s="2">
        <v>47037018408</v>
      </c>
      <c r="W13" s="2" t="s">
        <v>38</v>
      </c>
      <c r="X13" s="1">
        <v>45658</v>
      </c>
      <c r="Y13" s="2">
        <v>927400</v>
      </c>
      <c r="Z13" s="2">
        <v>0</v>
      </c>
      <c r="AA13" s="2">
        <v>927400</v>
      </c>
    </row>
    <row r="14" spans="1:27" x14ac:dyDescent="0.3">
      <c r="A14" s="3">
        <v>35</v>
      </c>
      <c r="B14" s="2" t="str">
        <f>"12700011800"</f>
        <v>12700011800</v>
      </c>
      <c r="C14" s="2" t="s">
        <v>8225</v>
      </c>
      <c r="D14" t="s">
        <v>29</v>
      </c>
      <c r="E14" s="2" t="s">
        <v>30</v>
      </c>
      <c r="F14" s="2">
        <v>37221</v>
      </c>
      <c r="G14" s="2" t="s">
        <v>31</v>
      </c>
      <c r="H14" t="s">
        <v>280</v>
      </c>
      <c r="I14" s="6">
        <v>40924</v>
      </c>
      <c r="J14" s="2" t="s">
        <v>8226</v>
      </c>
      <c r="K14" s="2">
        <v>0</v>
      </c>
      <c r="L14" t="s">
        <v>35</v>
      </c>
      <c r="M14" t="s">
        <v>29</v>
      </c>
      <c r="N14" t="s">
        <v>30</v>
      </c>
      <c r="O14">
        <v>37219</v>
      </c>
      <c r="P14" t="s">
        <v>8227</v>
      </c>
      <c r="Q14" s="2">
        <v>1</v>
      </c>
      <c r="R14" s="2">
        <v>374</v>
      </c>
      <c r="S14" s="2">
        <v>323</v>
      </c>
      <c r="T14" t="s">
        <v>8228</v>
      </c>
      <c r="U14" s="6">
        <v>27092</v>
      </c>
      <c r="V14" s="2">
        <v>47037018301</v>
      </c>
      <c r="W14" s="2" t="s">
        <v>38</v>
      </c>
      <c r="X14" s="1">
        <v>45658</v>
      </c>
      <c r="Y14" s="2">
        <v>1700</v>
      </c>
      <c r="Z14" s="2">
        <v>0</v>
      </c>
      <c r="AA14" s="2">
        <v>1700</v>
      </c>
    </row>
    <row r="15" spans="1:27" x14ac:dyDescent="0.3">
      <c r="A15" s="3">
        <v>35</v>
      </c>
      <c r="B15" s="2" t="str">
        <f>"12700011900"</f>
        <v>12700011900</v>
      </c>
      <c r="C15" s="2" t="s">
        <v>8229</v>
      </c>
      <c r="D15" t="s">
        <v>29</v>
      </c>
      <c r="E15" s="2" t="s">
        <v>30</v>
      </c>
      <c r="F15" s="2">
        <v>37221</v>
      </c>
      <c r="G15" s="2" t="s">
        <v>31</v>
      </c>
      <c r="H15" t="s">
        <v>280</v>
      </c>
      <c r="I15" s="6">
        <v>40906</v>
      </c>
      <c r="J15" s="2" t="s">
        <v>8230</v>
      </c>
      <c r="K15" s="2">
        <v>0</v>
      </c>
      <c r="L15" t="s">
        <v>35</v>
      </c>
      <c r="M15" t="s">
        <v>29</v>
      </c>
      <c r="N15" t="s">
        <v>30</v>
      </c>
      <c r="O15">
        <v>37219</v>
      </c>
      <c r="P15" t="s">
        <v>8231</v>
      </c>
      <c r="Q15" s="2">
        <v>1.89</v>
      </c>
      <c r="R15" s="2">
        <v>234</v>
      </c>
      <c r="S15" s="2">
        <v>376</v>
      </c>
      <c r="T15" t="s">
        <v>8232</v>
      </c>
      <c r="U15" s="6">
        <v>26639</v>
      </c>
      <c r="V15" s="2">
        <v>47037018301</v>
      </c>
      <c r="W15" s="2" t="s">
        <v>38</v>
      </c>
      <c r="X15" s="1">
        <v>45658</v>
      </c>
      <c r="Y15" s="2">
        <v>3300</v>
      </c>
      <c r="Z15" s="2">
        <v>0</v>
      </c>
      <c r="AA15" s="2">
        <v>3300</v>
      </c>
    </row>
    <row r="16" spans="1:27" x14ac:dyDescent="0.3">
      <c r="A16" s="3">
        <v>35</v>
      </c>
      <c r="B16" s="2" t="str">
        <f>"12700011000"</f>
        <v>12700011000</v>
      </c>
      <c r="C16" s="2" t="s">
        <v>8233</v>
      </c>
      <c r="D16" t="s">
        <v>29</v>
      </c>
      <c r="E16" s="2" t="s">
        <v>30</v>
      </c>
      <c r="F16" s="2">
        <v>37221</v>
      </c>
      <c r="G16" s="2" t="s">
        <v>31</v>
      </c>
      <c r="H16" t="s">
        <v>280</v>
      </c>
      <c r="I16" s="6">
        <v>40899</v>
      </c>
      <c r="J16" s="2" t="s">
        <v>8234</v>
      </c>
      <c r="K16" s="2">
        <v>0</v>
      </c>
      <c r="L16" t="s">
        <v>35</v>
      </c>
      <c r="M16" t="s">
        <v>29</v>
      </c>
      <c r="N16" t="s">
        <v>30</v>
      </c>
      <c r="O16">
        <v>37219</v>
      </c>
      <c r="P16" t="s">
        <v>8235</v>
      </c>
      <c r="Q16" s="2">
        <v>3</v>
      </c>
      <c r="R16" s="2">
        <v>0</v>
      </c>
      <c r="S16" s="2">
        <v>0</v>
      </c>
      <c r="T16" t="s">
        <v>8236</v>
      </c>
      <c r="U16" s="6">
        <v>26070</v>
      </c>
      <c r="V16" s="2">
        <v>47037018301</v>
      </c>
      <c r="W16" s="2" t="s">
        <v>38</v>
      </c>
      <c r="X16" s="1">
        <v>45658</v>
      </c>
      <c r="Y16" s="2">
        <v>5200</v>
      </c>
      <c r="Z16" s="2">
        <v>0</v>
      </c>
      <c r="AA16" s="2">
        <v>5200</v>
      </c>
    </row>
    <row r="17" spans="1:27" x14ac:dyDescent="0.3">
      <c r="A17" s="3">
        <v>35</v>
      </c>
      <c r="B17" s="2" t="str">
        <f>"10200001700"</f>
        <v>10200001700</v>
      </c>
      <c r="C17" s="2" t="s">
        <v>8237</v>
      </c>
      <c r="D17" t="s">
        <v>29</v>
      </c>
      <c r="E17" s="2" t="s">
        <v>30</v>
      </c>
      <c r="F17" s="2">
        <v>37209</v>
      </c>
      <c r="G17" s="2" t="s">
        <v>41</v>
      </c>
      <c r="H17" t="s">
        <v>280</v>
      </c>
      <c r="I17" s="6">
        <v>41914</v>
      </c>
      <c r="J17" s="2" t="s">
        <v>8238</v>
      </c>
      <c r="K17" s="2">
        <v>0</v>
      </c>
      <c r="L17" t="s">
        <v>35</v>
      </c>
      <c r="M17" t="s">
        <v>29</v>
      </c>
      <c r="N17" t="s">
        <v>30</v>
      </c>
      <c r="O17">
        <v>37219</v>
      </c>
      <c r="P17" t="s">
        <v>8239</v>
      </c>
      <c r="Q17" s="2">
        <v>8.8800000000000008</v>
      </c>
      <c r="R17" s="2">
        <v>0</v>
      </c>
      <c r="S17" s="2">
        <v>0</v>
      </c>
      <c r="T17" t="s">
        <v>8240</v>
      </c>
      <c r="U17" s="6">
        <v>37610</v>
      </c>
      <c r="V17" s="2">
        <v>47037018301</v>
      </c>
      <c r="W17" s="2" t="s">
        <v>68</v>
      </c>
      <c r="X17" s="1">
        <v>45658</v>
      </c>
      <c r="Y17" s="2">
        <v>1054200</v>
      </c>
      <c r="Z17" s="2">
        <v>0</v>
      </c>
      <c r="AA17" s="2">
        <v>1054200</v>
      </c>
    </row>
    <row r="18" spans="1:27" x14ac:dyDescent="0.3">
      <c r="A18" s="3">
        <v>35</v>
      </c>
      <c r="B18" s="2" t="str">
        <f>"10200008800"</f>
        <v>10200008800</v>
      </c>
      <c r="C18" s="2" t="s">
        <v>8241</v>
      </c>
      <c r="D18" t="s">
        <v>29</v>
      </c>
      <c r="E18" s="2" t="s">
        <v>30</v>
      </c>
      <c r="F18" s="2">
        <v>37209</v>
      </c>
      <c r="G18" s="2" t="s">
        <v>41</v>
      </c>
      <c r="H18" t="s">
        <v>280</v>
      </c>
      <c r="I18" s="6">
        <v>41914</v>
      </c>
      <c r="J18" s="2" t="s">
        <v>8238</v>
      </c>
      <c r="K18" s="2">
        <v>0</v>
      </c>
      <c r="L18" t="s">
        <v>35</v>
      </c>
      <c r="M18" t="s">
        <v>29</v>
      </c>
      <c r="N18" t="s">
        <v>30</v>
      </c>
      <c r="O18">
        <v>37219</v>
      </c>
      <c r="P18" t="s">
        <v>8239</v>
      </c>
      <c r="Q18" s="2">
        <v>15.05</v>
      </c>
      <c r="R18" s="2">
        <v>0</v>
      </c>
      <c r="S18" s="2">
        <v>0</v>
      </c>
      <c r="T18" t="s">
        <v>8240</v>
      </c>
      <c r="U18" s="6">
        <v>37610</v>
      </c>
      <c r="V18" s="2">
        <v>47037018301</v>
      </c>
      <c r="W18" s="2" t="s">
        <v>68</v>
      </c>
      <c r="X18" s="1">
        <v>45658</v>
      </c>
      <c r="Y18" s="2">
        <v>1191600</v>
      </c>
      <c r="Z18" s="2">
        <v>0</v>
      </c>
      <c r="AA18" s="2">
        <v>1191600</v>
      </c>
    </row>
    <row r="19" spans="1:27" x14ac:dyDescent="0.3">
      <c r="A19" s="3">
        <v>35</v>
      </c>
      <c r="B19" s="2" t="str">
        <f>"10100003300"</f>
        <v>10100003300</v>
      </c>
      <c r="C19" s="2" t="s">
        <v>8242</v>
      </c>
      <c r="D19" t="s">
        <v>29</v>
      </c>
      <c r="E19" s="2" t="s">
        <v>30</v>
      </c>
      <c r="F19" s="2">
        <v>37209</v>
      </c>
      <c r="G19" s="2" t="s">
        <v>31</v>
      </c>
      <c r="H19" t="s">
        <v>280</v>
      </c>
      <c r="I19" s="6">
        <v>40898</v>
      </c>
      <c r="J19" s="2" t="s">
        <v>8243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8244</v>
      </c>
      <c r="Q19" s="2">
        <v>0.96</v>
      </c>
      <c r="R19" s="2">
        <v>260</v>
      </c>
      <c r="S19" s="2">
        <v>210</v>
      </c>
      <c r="T19" t="s">
        <v>8245</v>
      </c>
      <c r="U19" s="6">
        <v>31337</v>
      </c>
      <c r="V19" s="2">
        <v>47037018301</v>
      </c>
      <c r="W19" s="2" t="s">
        <v>38</v>
      </c>
      <c r="X19" s="1">
        <v>45658</v>
      </c>
      <c r="Y19" s="2">
        <v>508200</v>
      </c>
      <c r="Z19" s="2">
        <v>0</v>
      </c>
      <c r="AA19" s="2">
        <v>508200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52A4-FCB1-4B53-8419-185BA23D9AB4}">
  <sheetPr>
    <tabColor rgb="FF002060"/>
  </sheetPr>
  <dimension ref="A1:AA65"/>
  <sheetViews>
    <sheetView workbookViewId="0">
      <selection activeCell="C72" sqref="C72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style="2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4" t="s">
        <v>864</v>
      </c>
      <c r="B2" s="2" t="str">
        <f>"05102000600"</f>
        <v>05102000600</v>
      </c>
      <c r="C2" s="2" t="s">
        <v>865</v>
      </c>
      <c r="D2" s="2" t="s">
        <v>866</v>
      </c>
      <c r="E2" s="2" t="s">
        <v>30</v>
      </c>
      <c r="F2" s="2">
        <v>37115</v>
      </c>
      <c r="G2" s="2" t="s">
        <v>64</v>
      </c>
      <c r="H2" t="s">
        <v>32</v>
      </c>
      <c r="I2" s="6">
        <v>42639</v>
      </c>
      <c r="J2" s="2" t="s">
        <v>867</v>
      </c>
      <c r="K2" s="2">
        <v>499</v>
      </c>
      <c r="L2" t="s">
        <v>35</v>
      </c>
      <c r="M2" t="s">
        <v>29</v>
      </c>
      <c r="N2" t="s">
        <v>30</v>
      </c>
      <c r="O2">
        <v>37219</v>
      </c>
      <c r="P2" t="s">
        <v>868</v>
      </c>
      <c r="Q2" s="2">
        <v>0.75</v>
      </c>
      <c r="R2" s="2">
        <v>0</v>
      </c>
      <c r="S2" s="2">
        <v>423</v>
      </c>
      <c r="T2" t="s">
        <v>869</v>
      </c>
      <c r="U2" s="6">
        <v>36993</v>
      </c>
      <c r="V2" s="2">
        <v>47037010901</v>
      </c>
      <c r="W2" s="2" t="s">
        <v>837</v>
      </c>
      <c r="X2" s="1">
        <v>45658</v>
      </c>
      <c r="Y2" s="2">
        <v>6300</v>
      </c>
      <c r="Z2" s="2">
        <v>0</v>
      </c>
      <c r="AA2" s="2">
        <v>6300</v>
      </c>
    </row>
    <row r="3" spans="1:27" x14ac:dyDescent="0.3">
      <c r="A3" s="4" t="s">
        <v>864</v>
      </c>
      <c r="B3" s="2" t="str">
        <f>"04200004000"</f>
        <v>04200004000</v>
      </c>
      <c r="C3" s="2" t="s">
        <v>28</v>
      </c>
      <c r="D3" s="2" t="s">
        <v>866</v>
      </c>
      <c r="E3" s="2" t="s">
        <v>30</v>
      </c>
      <c r="F3" s="2">
        <v>37115</v>
      </c>
      <c r="G3" s="2" t="s">
        <v>870</v>
      </c>
      <c r="H3" t="s">
        <v>32</v>
      </c>
      <c r="I3" s="6">
        <v>41537</v>
      </c>
      <c r="J3" s="2" t="s">
        <v>871</v>
      </c>
      <c r="K3" s="2">
        <v>0</v>
      </c>
      <c r="L3" t="s">
        <v>35</v>
      </c>
      <c r="M3" t="s">
        <v>29</v>
      </c>
      <c r="N3" t="s">
        <v>30</v>
      </c>
      <c r="O3">
        <v>37219</v>
      </c>
      <c r="P3" t="s">
        <v>872</v>
      </c>
      <c r="Q3" s="2">
        <v>103.09</v>
      </c>
      <c r="R3" s="2">
        <v>0</v>
      </c>
      <c r="S3" s="2">
        <v>0</v>
      </c>
      <c r="T3" t="s">
        <v>873</v>
      </c>
      <c r="U3" s="6">
        <v>37648</v>
      </c>
      <c r="V3" s="2">
        <v>47037010201</v>
      </c>
      <c r="W3" s="2" t="s">
        <v>38</v>
      </c>
      <c r="X3" s="1">
        <v>45658</v>
      </c>
      <c r="Y3" s="2">
        <v>1855600</v>
      </c>
      <c r="Z3" s="2">
        <v>0</v>
      </c>
      <c r="AA3" s="2">
        <v>1855600</v>
      </c>
    </row>
    <row r="4" spans="1:27" x14ac:dyDescent="0.3">
      <c r="A4" s="4" t="s">
        <v>864</v>
      </c>
      <c r="B4" s="2" t="str">
        <f>"05000012300"</f>
        <v>05000012300</v>
      </c>
      <c r="C4" s="2" t="s">
        <v>874</v>
      </c>
      <c r="D4" s="2" t="s">
        <v>29</v>
      </c>
      <c r="E4" s="2" t="s">
        <v>30</v>
      </c>
      <c r="F4" s="2">
        <v>37207</v>
      </c>
      <c r="G4" s="2" t="s">
        <v>152</v>
      </c>
      <c r="H4" t="s">
        <v>32</v>
      </c>
      <c r="I4" s="6">
        <v>30781</v>
      </c>
      <c r="J4" s="2" t="s">
        <v>875</v>
      </c>
      <c r="K4" s="2" t="s">
        <v>34</v>
      </c>
      <c r="L4" t="s">
        <v>35</v>
      </c>
      <c r="M4" t="s">
        <v>29</v>
      </c>
      <c r="N4" t="s">
        <v>30</v>
      </c>
      <c r="O4">
        <v>37219</v>
      </c>
      <c r="P4" t="s">
        <v>876</v>
      </c>
      <c r="Q4" s="2">
        <v>10.02</v>
      </c>
      <c r="R4" s="2">
        <v>0</v>
      </c>
      <c r="S4" s="2">
        <v>0</v>
      </c>
      <c r="T4" t="s">
        <v>875</v>
      </c>
      <c r="U4" s="6">
        <v>30781</v>
      </c>
      <c r="V4" s="2">
        <v>47037010903</v>
      </c>
      <c r="W4" s="2" t="s">
        <v>837</v>
      </c>
      <c r="X4" s="1">
        <v>45658</v>
      </c>
      <c r="Y4" s="2">
        <v>200400</v>
      </c>
      <c r="Z4" s="2">
        <v>0</v>
      </c>
      <c r="AA4" s="2">
        <v>200400</v>
      </c>
    </row>
    <row r="5" spans="1:27" x14ac:dyDescent="0.3">
      <c r="A5" s="4" t="s">
        <v>864</v>
      </c>
      <c r="B5" s="2" t="str">
        <f>"05000012200"</f>
        <v>05000012200</v>
      </c>
      <c r="C5" s="2" t="s">
        <v>877</v>
      </c>
      <c r="D5" s="2" t="s">
        <v>29</v>
      </c>
      <c r="E5" s="2" t="s">
        <v>30</v>
      </c>
      <c r="F5" s="2">
        <v>37207</v>
      </c>
      <c r="G5" s="2" t="s">
        <v>152</v>
      </c>
      <c r="H5" t="s">
        <v>32</v>
      </c>
      <c r="I5" s="6">
        <v>30781</v>
      </c>
      <c r="J5" s="2" t="s">
        <v>875</v>
      </c>
      <c r="K5" s="2" t="s">
        <v>34</v>
      </c>
      <c r="L5" t="s">
        <v>35</v>
      </c>
      <c r="M5" t="s">
        <v>29</v>
      </c>
      <c r="N5" t="s">
        <v>30</v>
      </c>
      <c r="O5">
        <v>37219</v>
      </c>
      <c r="P5" t="s">
        <v>878</v>
      </c>
      <c r="Q5" s="2">
        <v>2.5099999999999998</v>
      </c>
      <c r="R5" s="2">
        <v>0</v>
      </c>
      <c r="S5" s="2">
        <v>0</v>
      </c>
      <c r="T5" t="s">
        <v>875</v>
      </c>
      <c r="U5" s="6">
        <v>30781</v>
      </c>
      <c r="V5" s="2">
        <v>47037010903</v>
      </c>
      <c r="W5" s="2" t="s">
        <v>837</v>
      </c>
      <c r="X5" s="1">
        <v>45658</v>
      </c>
      <c r="Y5" s="2">
        <v>138100</v>
      </c>
      <c r="Z5" s="2">
        <v>0</v>
      </c>
      <c r="AA5" s="2">
        <v>138100</v>
      </c>
    </row>
    <row r="6" spans="1:27" x14ac:dyDescent="0.3">
      <c r="A6" s="4" t="s">
        <v>864</v>
      </c>
      <c r="B6" s="2" t="str">
        <f>"05015022800"</f>
        <v>05015022800</v>
      </c>
      <c r="C6" s="2" t="s">
        <v>879</v>
      </c>
      <c r="D6" s="2" t="s">
        <v>29</v>
      </c>
      <c r="E6" s="2" t="s">
        <v>30</v>
      </c>
      <c r="F6" s="2">
        <v>37207</v>
      </c>
      <c r="G6" s="2" t="s">
        <v>64</v>
      </c>
      <c r="H6" t="s">
        <v>99</v>
      </c>
      <c r="I6" s="6">
        <v>42936</v>
      </c>
      <c r="J6" s="2" t="s">
        <v>880</v>
      </c>
      <c r="K6" s="2">
        <v>603</v>
      </c>
      <c r="L6" t="s">
        <v>881</v>
      </c>
      <c r="M6" t="s">
        <v>29</v>
      </c>
      <c r="N6" t="s">
        <v>30</v>
      </c>
      <c r="O6">
        <v>37219</v>
      </c>
      <c r="P6" t="s">
        <v>882</v>
      </c>
      <c r="Q6" s="2">
        <v>0.01</v>
      </c>
      <c r="R6" s="2">
        <v>43</v>
      </c>
      <c r="S6" s="2">
        <v>24</v>
      </c>
      <c r="T6" t="s">
        <v>883</v>
      </c>
      <c r="U6" s="6">
        <v>23462</v>
      </c>
      <c r="V6" s="2">
        <v>47037010904</v>
      </c>
      <c r="W6" s="2" t="s">
        <v>68</v>
      </c>
      <c r="X6" s="1">
        <v>45658</v>
      </c>
      <c r="Y6" s="2">
        <v>1500</v>
      </c>
      <c r="Z6" s="2">
        <v>0</v>
      </c>
      <c r="AA6" s="2">
        <v>1500</v>
      </c>
    </row>
    <row r="7" spans="1:27" x14ac:dyDescent="0.3">
      <c r="A7" s="4" t="s">
        <v>864</v>
      </c>
      <c r="B7" s="2" t="str">
        <f>"04213003800"</f>
        <v>04213003800</v>
      </c>
      <c r="C7" s="2" t="s">
        <v>884</v>
      </c>
      <c r="D7" s="2" t="s">
        <v>866</v>
      </c>
      <c r="E7" s="2" t="s">
        <v>30</v>
      </c>
      <c r="F7" s="2">
        <v>37115</v>
      </c>
      <c r="G7" s="2" t="s">
        <v>64</v>
      </c>
      <c r="H7" t="s">
        <v>99</v>
      </c>
      <c r="I7" s="6">
        <v>27282</v>
      </c>
      <c r="J7" s="2" t="s">
        <v>885</v>
      </c>
      <c r="K7" s="2">
        <v>140</v>
      </c>
      <c r="L7" t="s">
        <v>35</v>
      </c>
      <c r="M7" t="s">
        <v>29</v>
      </c>
      <c r="N7" t="s">
        <v>30</v>
      </c>
      <c r="O7">
        <v>37219</v>
      </c>
      <c r="P7" t="s">
        <v>886</v>
      </c>
      <c r="Q7" s="2">
        <v>0.03</v>
      </c>
      <c r="R7" s="2">
        <v>41</v>
      </c>
      <c r="S7" s="2">
        <v>98</v>
      </c>
      <c r="T7" t="s">
        <v>887</v>
      </c>
      <c r="U7" s="6">
        <v>21985</v>
      </c>
      <c r="V7" s="2">
        <v>47037010901</v>
      </c>
      <c r="W7" s="2" t="s">
        <v>837</v>
      </c>
      <c r="X7" s="1">
        <v>45658</v>
      </c>
      <c r="Y7" s="2">
        <v>1600</v>
      </c>
      <c r="Z7" s="2">
        <v>0</v>
      </c>
      <c r="AA7" s="2">
        <v>1600</v>
      </c>
    </row>
    <row r="8" spans="1:27" x14ac:dyDescent="0.3">
      <c r="A8" s="4" t="s">
        <v>864</v>
      </c>
      <c r="B8" s="2" t="str">
        <f>"05015022700"</f>
        <v>05015022700</v>
      </c>
      <c r="C8" s="2" t="s">
        <v>888</v>
      </c>
      <c r="D8" s="2" t="s">
        <v>29</v>
      </c>
      <c r="E8" s="2" t="s">
        <v>30</v>
      </c>
      <c r="F8" s="2">
        <v>37207</v>
      </c>
      <c r="G8" s="2" t="s">
        <v>64</v>
      </c>
      <c r="H8" t="s">
        <v>99</v>
      </c>
      <c r="I8" s="6">
        <v>41444</v>
      </c>
      <c r="J8" s="2" t="s">
        <v>889</v>
      </c>
      <c r="K8" s="2">
        <v>554</v>
      </c>
      <c r="L8" t="s">
        <v>35</v>
      </c>
      <c r="M8" t="s">
        <v>29</v>
      </c>
      <c r="N8" t="s">
        <v>30</v>
      </c>
      <c r="O8">
        <v>37219</v>
      </c>
      <c r="P8" t="s">
        <v>890</v>
      </c>
      <c r="Q8" s="2">
        <v>0.41</v>
      </c>
      <c r="R8" s="2">
        <v>202</v>
      </c>
      <c r="S8" s="2">
        <v>139</v>
      </c>
      <c r="T8" t="s">
        <v>891</v>
      </c>
      <c r="U8" s="6">
        <v>19285</v>
      </c>
      <c r="V8" s="2">
        <v>47037010904</v>
      </c>
      <c r="W8" s="2" t="s">
        <v>68</v>
      </c>
      <c r="X8" s="1">
        <v>45658</v>
      </c>
      <c r="Y8" s="2">
        <v>2500</v>
      </c>
      <c r="Z8" s="2">
        <v>0</v>
      </c>
      <c r="AA8" s="2">
        <v>2500</v>
      </c>
    </row>
    <row r="9" spans="1:27" x14ac:dyDescent="0.3">
      <c r="A9" s="4" t="s">
        <v>864</v>
      </c>
      <c r="B9" s="2" t="str">
        <f>"05006001100"</f>
        <v>05006001100</v>
      </c>
      <c r="C9" s="2" t="s">
        <v>517</v>
      </c>
      <c r="D9" s="2" t="s">
        <v>29</v>
      </c>
      <c r="E9" s="2" t="s">
        <v>30</v>
      </c>
      <c r="F9" s="2">
        <v>37207</v>
      </c>
      <c r="G9" s="2" t="s">
        <v>64</v>
      </c>
      <c r="H9" t="s">
        <v>99</v>
      </c>
      <c r="I9" s="6">
        <v>43665</v>
      </c>
      <c r="J9" s="2" t="s">
        <v>892</v>
      </c>
      <c r="K9" s="2">
        <v>1134</v>
      </c>
      <c r="L9" t="s">
        <v>893</v>
      </c>
      <c r="M9" t="s">
        <v>29</v>
      </c>
      <c r="N9" t="s">
        <v>30</v>
      </c>
      <c r="O9">
        <v>37219</v>
      </c>
      <c r="P9" t="s">
        <v>894</v>
      </c>
      <c r="Q9" s="2">
        <v>7.0000000000000007E-2</v>
      </c>
      <c r="R9" s="2">
        <v>0</v>
      </c>
      <c r="S9" s="2">
        <v>0</v>
      </c>
      <c r="T9" t="s">
        <v>895</v>
      </c>
      <c r="U9" s="6">
        <v>30806</v>
      </c>
      <c r="V9" s="2">
        <v>47037010903</v>
      </c>
      <c r="W9" s="2" t="s">
        <v>837</v>
      </c>
      <c r="X9" s="1">
        <v>45658</v>
      </c>
      <c r="Y9" s="2">
        <v>300</v>
      </c>
      <c r="Z9" s="2">
        <v>0</v>
      </c>
      <c r="AA9" s="2">
        <v>300</v>
      </c>
    </row>
    <row r="10" spans="1:27" x14ac:dyDescent="0.3">
      <c r="A10" s="4" t="s">
        <v>864</v>
      </c>
      <c r="B10" s="2" t="str">
        <f>"041140A04200CO"</f>
        <v>041140A04200CO</v>
      </c>
      <c r="C10" s="2" t="s">
        <v>896</v>
      </c>
      <c r="D10" s="2" t="s">
        <v>29</v>
      </c>
      <c r="E10" s="2" t="s">
        <v>30</v>
      </c>
      <c r="F10" s="2">
        <v>37207</v>
      </c>
      <c r="G10" s="2" t="s">
        <v>64</v>
      </c>
      <c r="H10" t="s">
        <v>99</v>
      </c>
      <c r="I10" s="6">
        <v>41472</v>
      </c>
      <c r="J10" s="2" t="s">
        <v>897</v>
      </c>
      <c r="K10" s="2">
        <v>393</v>
      </c>
      <c r="L10" t="s">
        <v>35</v>
      </c>
      <c r="M10" t="s">
        <v>29</v>
      </c>
      <c r="N10" t="s">
        <v>30</v>
      </c>
      <c r="O10">
        <v>37219</v>
      </c>
      <c r="P10" t="s">
        <v>898</v>
      </c>
      <c r="Q10" s="2">
        <v>0.1</v>
      </c>
      <c r="R10" s="2">
        <v>263</v>
      </c>
      <c r="S10" s="2">
        <v>46</v>
      </c>
      <c r="T10" t="s">
        <v>899</v>
      </c>
      <c r="U10" s="6">
        <v>38141</v>
      </c>
      <c r="V10" s="2">
        <v>47037010903</v>
      </c>
      <c r="W10" s="2" t="s">
        <v>837</v>
      </c>
      <c r="X10" s="1">
        <v>45658</v>
      </c>
      <c r="Y10" s="2">
        <v>100</v>
      </c>
      <c r="Z10" s="2">
        <v>0</v>
      </c>
      <c r="AA10" s="2">
        <v>100</v>
      </c>
    </row>
    <row r="11" spans="1:27" x14ac:dyDescent="0.3">
      <c r="A11" s="4" t="s">
        <v>864</v>
      </c>
      <c r="B11" s="2" t="str">
        <f>"04211010000"</f>
        <v>04211010000</v>
      </c>
      <c r="C11" s="2" t="s">
        <v>900</v>
      </c>
      <c r="D11" s="2" t="s">
        <v>866</v>
      </c>
      <c r="E11" s="2" t="s">
        <v>30</v>
      </c>
      <c r="F11" s="2">
        <v>37115</v>
      </c>
      <c r="G11" s="2" t="s">
        <v>901</v>
      </c>
      <c r="H11" t="s">
        <v>902</v>
      </c>
      <c r="I11" s="6">
        <v>27255</v>
      </c>
      <c r="J11" s="2" t="s">
        <v>903</v>
      </c>
      <c r="K11" s="2">
        <v>35000</v>
      </c>
      <c r="L11" t="s">
        <v>35</v>
      </c>
      <c r="M11" t="s">
        <v>29</v>
      </c>
      <c r="N11" t="s">
        <v>30</v>
      </c>
      <c r="O11">
        <v>37219</v>
      </c>
      <c r="P11" t="s">
        <v>904</v>
      </c>
      <c r="Q11" s="2">
        <v>1</v>
      </c>
      <c r="R11" s="2">
        <v>236</v>
      </c>
      <c r="S11" s="2">
        <v>164</v>
      </c>
      <c r="T11" t="s">
        <v>905</v>
      </c>
      <c r="U11" s="6">
        <v>28996</v>
      </c>
      <c r="V11" s="2">
        <v>47037010801</v>
      </c>
      <c r="W11" s="2" t="s">
        <v>837</v>
      </c>
      <c r="X11" s="1">
        <v>45658</v>
      </c>
      <c r="Y11" s="2">
        <v>181100</v>
      </c>
      <c r="Z11" s="2">
        <v>0</v>
      </c>
      <c r="AA11" s="2">
        <v>181100</v>
      </c>
    </row>
    <row r="12" spans="1:27" x14ac:dyDescent="0.3">
      <c r="A12" s="4" t="s">
        <v>864</v>
      </c>
      <c r="B12" s="2" t="str">
        <f>"05015022600"</f>
        <v>05015022600</v>
      </c>
      <c r="C12" s="2" t="s">
        <v>906</v>
      </c>
      <c r="D12" s="2" t="s">
        <v>29</v>
      </c>
      <c r="E12" s="2" t="s">
        <v>30</v>
      </c>
      <c r="F12" s="2">
        <v>37207</v>
      </c>
      <c r="G12" s="2" t="s">
        <v>64</v>
      </c>
      <c r="H12" t="s">
        <v>171</v>
      </c>
      <c r="I12" s="6">
        <v>35018</v>
      </c>
      <c r="J12" s="2" t="s">
        <v>907</v>
      </c>
      <c r="K12" s="2" t="s">
        <v>34</v>
      </c>
      <c r="L12" t="s">
        <v>35</v>
      </c>
      <c r="M12" t="s">
        <v>29</v>
      </c>
      <c r="N12" t="s">
        <v>30</v>
      </c>
      <c r="O12">
        <v>37219</v>
      </c>
      <c r="P12" t="s">
        <v>908</v>
      </c>
      <c r="Q12" s="2">
        <v>0.13</v>
      </c>
      <c r="R12" s="2">
        <v>174</v>
      </c>
      <c r="S12" s="2">
        <v>65</v>
      </c>
      <c r="T12" t="s">
        <v>909</v>
      </c>
      <c r="U12" s="6">
        <v>19257</v>
      </c>
      <c r="V12" s="2">
        <v>47037010904</v>
      </c>
      <c r="W12" s="2" t="s">
        <v>68</v>
      </c>
      <c r="X12" s="1">
        <v>45658</v>
      </c>
      <c r="Y12" s="2">
        <v>2000</v>
      </c>
      <c r="Z12" s="2">
        <v>0</v>
      </c>
      <c r="AA12" s="2">
        <v>2000</v>
      </c>
    </row>
    <row r="13" spans="1:27" x14ac:dyDescent="0.3">
      <c r="A13" s="4" t="s">
        <v>864</v>
      </c>
      <c r="B13" s="2" t="str">
        <f>"05015006400"</f>
        <v>05015006400</v>
      </c>
      <c r="C13" s="2" t="s">
        <v>910</v>
      </c>
      <c r="D13" s="2" t="s">
        <v>29</v>
      </c>
      <c r="E13" s="2" t="s">
        <v>30</v>
      </c>
      <c r="F13" s="2">
        <v>37207</v>
      </c>
      <c r="G13" s="2" t="s">
        <v>64</v>
      </c>
      <c r="H13" t="s">
        <v>911</v>
      </c>
      <c r="I13" s="6">
        <v>26522</v>
      </c>
      <c r="J13" s="2" t="s">
        <v>912</v>
      </c>
      <c r="K13" s="2" t="s">
        <v>34</v>
      </c>
      <c r="L13" t="s">
        <v>35</v>
      </c>
      <c r="M13" t="s">
        <v>29</v>
      </c>
      <c r="N13" t="s">
        <v>30</v>
      </c>
      <c r="O13">
        <v>37219</v>
      </c>
      <c r="P13" t="s">
        <v>913</v>
      </c>
      <c r="Q13" s="2">
        <v>0.37</v>
      </c>
      <c r="R13" s="2">
        <v>55</v>
      </c>
      <c r="S13" s="2">
        <v>339</v>
      </c>
      <c r="T13" t="s">
        <v>912</v>
      </c>
      <c r="U13" s="6">
        <v>35797</v>
      </c>
      <c r="V13" s="2">
        <v>47037010904</v>
      </c>
      <c r="W13" s="2" t="s">
        <v>68</v>
      </c>
      <c r="X13" s="1">
        <v>45658</v>
      </c>
      <c r="Y13" s="2">
        <v>10000</v>
      </c>
      <c r="Z13" s="2">
        <v>0</v>
      </c>
      <c r="AA13" s="2">
        <v>10000</v>
      </c>
    </row>
    <row r="14" spans="1:27" x14ac:dyDescent="0.3">
      <c r="A14" s="4" t="s">
        <v>864</v>
      </c>
      <c r="B14" s="2" t="str">
        <f>"04203004400"</f>
        <v>04203004400</v>
      </c>
      <c r="C14" s="2" t="s">
        <v>914</v>
      </c>
      <c r="D14" s="2" t="s">
        <v>866</v>
      </c>
      <c r="E14" s="2" t="s">
        <v>30</v>
      </c>
      <c r="F14" s="2">
        <v>37115</v>
      </c>
      <c r="G14" s="2" t="s">
        <v>152</v>
      </c>
      <c r="H14" t="s">
        <v>176</v>
      </c>
      <c r="I14" s="6">
        <v>21591</v>
      </c>
      <c r="J14" s="2" t="s">
        <v>915</v>
      </c>
      <c r="K14" s="2" t="s">
        <v>34</v>
      </c>
      <c r="L14" t="s">
        <v>178</v>
      </c>
      <c r="M14" t="s">
        <v>29</v>
      </c>
      <c r="N14" t="s">
        <v>30</v>
      </c>
      <c r="O14">
        <v>37246</v>
      </c>
      <c r="P14" t="s">
        <v>916</v>
      </c>
      <c r="Q14" s="2">
        <v>1.28</v>
      </c>
      <c r="R14" s="2">
        <v>199</v>
      </c>
      <c r="S14" s="2">
        <v>258</v>
      </c>
      <c r="T14" t="s">
        <v>915</v>
      </c>
      <c r="U14" s="6">
        <v>21591</v>
      </c>
      <c r="V14" s="2">
        <v>47037010801</v>
      </c>
      <c r="W14" s="2" t="s">
        <v>837</v>
      </c>
      <c r="X14" s="1">
        <v>45658</v>
      </c>
      <c r="Y14" s="2">
        <v>103500</v>
      </c>
      <c r="Z14" s="2">
        <v>0</v>
      </c>
      <c r="AA14" s="2">
        <v>103500</v>
      </c>
    </row>
    <row r="15" spans="1:27" x14ac:dyDescent="0.3">
      <c r="A15" s="4" t="s">
        <v>864</v>
      </c>
      <c r="B15" s="2" t="str">
        <f>"04209004000"</f>
        <v>04209004000</v>
      </c>
      <c r="C15" s="2" t="s">
        <v>917</v>
      </c>
      <c r="D15" s="2" t="s">
        <v>866</v>
      </c>
      <c r="E15" s="2" t="s">
        <v>30</v>
      </c>
      <c r="F15" s="2">
        <v>37115</v>
      </c>
      <c r="G15" s="2" t="s">
        <v>152</v>
      </c>
      <c r="H15" t="s">
        <v>176</v>
      </c>
      <c r="I15" s="6">
        <v>20347</v>
      </c>
      <c r="J15" s="2" t="s">
        <v>918</v>
      </c>
      <c r="K15" s="2" t="s">
        <v>34</v>
      </c>
      <c r="L15" t="s">
        <v>178</v>
      </c>
      <c r="M15" t="s">
        <v>29</v>
      </c>
      <c r="N15" t="s">
        <v>30</v>
      </c>
      <c r="O15">
        <v>37246</v>
      </c>
      <c r="P15" t="s">
        <v>919</v>
      </c>
      <c r="Q15" s="2">
        <v>0.82</v>
      </c>
      <c r="R15" s="2">
        <v>101</v>
      </c>
      <c r="S15" s="2">
        <v>432</v>
      </c>
      <c r="T15" t="s">
        <v>918</v>
      </c>
      <c r="U15" s="6">
        <v>20347</v>
      </c>
      <c r="V15" s="2">
        <v>47037010901</v>
      </c>
      <c r="W15" s="2" t="s">
        <v>837</v>
      </c>
      <c r="X15" s="1">
        <v>45658</v>
      </c>
      <c r="Y15" s="2">
        <v>60000</v>
      </c>
      <c r="Z15" s="2">
        <v>0</v>
      </c>
      <c r="AA15" s="2">
        <v>60000</v>
      </c>
    </row>
    <row r="16" spans="1:27" x14ac:dyDescent="0.3">
      <c r="A16" s="4" t="s">
        <v>864</v>
      </c>
      <c r="B16" s="2" t="str">
        <f>"04112007400"</f>
        <v>04112007400</v>
      </c>
      <c r="C16" s="2" t="s">
        <v>920</v>
      </c>
      <c r="D16" s="2" t="s">
        <v>29</v>
      </c>
      <c r="E16" s="2" t="s">
        <v>30</v>
      </c>
      <c r="F16" s="2">
        <v>37207</v>
      </c>
      <c r="G16" s="2" t="s">
        <v>152</v>
      </c>
      <c r="H16" t="s">
        <v>176</v>
      </c>
      <c r="I16" s="6">
        <v>19977</v>
      </c>
      <c r="J16" s="2" t="s">
        <v>921</v>
      </c>
      <c r="K16" s="2" t="s">
        <v>34</v>
      </c>
      <c r="L16" t="s">
        <v>178</v>
      </c>
      <c r="M16" t="s">
        <v>29</v>
      </c>
      <c r="N16" t="s">
        <v>30</v>
      </c>
      <c r="O16">
        <v>37246</v>
      </c>
      <c r="P16" t="s">
        <v>922</v>
      </c>
      <c r="Q16" s="2">
        <v>0.62</v>
      </c>
      <c r="R16" s="2">
        <v>130</v>
      </c>
      <c r="S16" s="2">
        <v>270</v>
      </c>
      <c r="T16" t="s">
        <v>921</v>
      </c>
      <c r="U16" s="6">
        <v>19977</v>
      </c>
      <c r="V16" s="2">
        <v>47037010901</v>
      </c>
      <c r="W16" s="2" t="s">
        <v>38</v>
      </c>
      <c r="X16" s="1">
        <v>45658</v>
      </c>
      <c r="Y16" s="2">
        <v>85000</v>
      </c>
      <c r="Z16" s="2">
        <v>0</v>
      </c>
      <c r="AA16" s="2">
        <v>85000</v>
      </c>
    </row>
    <row r="17" spans="1:27" x14ac:dyDescent="0.3">
      <c r="A17" s="4" t="s">
        <v>864</v>
      </c>
      <c r="B17" s="2" t="str">
        <f>"05102002201"</f>
        <v>05102002201</v>
      </c>
      <c r="C17" s="2" t="s">
        <v>923</v>
      </c>
      <c r="D17" s="2" t="s">
        <v>866</v>
      </c>
      <c r="E17" s="2" t="s">
        <v>30</v>
      </c>
      <c r="F17" s="2">
        <v>37115</v>
      </c>
      <c r="G17" s="2" t="s">
        <v>152</v>
      </c>
      <c r="H17" t="s">
        <v>176</v>
      </c>
      <c r="I17" s="6">
        <v>20652</v>
      </c>
      <c r="J17" s="2" t="s">
        <v>924</v>
      </c>
      <c r="K17" s="2" t="s">
        <v>34</v>
      </c>
      <c r="L17" t="s">
        <v>178</v>
      </c>
      <c r="M17" t="s">
        <v>29</v>
      </c>
      <c r="N17" t="s">
        <v>30</v>
      </c>
      <c r="O17">
        <v>37246</v>
      </c>
      <c r="P17" t="s">
        <v>925</v>
      </c>
      <c r="Q17" s="2">
        <v>1.1399999999999999</v>
      </c>
      <c r="R17" s="2">
        <v>120</v>
      </c>
      <c r="S17" s="2">
        <v>421</v>
      </c>
      <c r="T17" t="s">
        <v>924</v>
      </c>
      <c r="U17" s="6">
        <v>20652</v>
      </c>
      <c r="V17" s="2">
        <v>47037010802</v>
      </c>
      <c r="W17" s="2" t="s">
        <v>837</v>
      </c>
      <c r="X17" s="1">
        <v>45658</v>
      </c>
      <c r="Y17" s="2">
        <v>175000</v>
      </c>
      <c r="Z17" s="2">
        <v>0</v>
      </c>
      <c r="AA17" s="2">
        <v>175000</v>
      </c>
    </row>
    <row r="18" spans="1:27" x14ac:dyDescent="0.3">
      <c r="A18" s="4" t="s">
        <v>864</v>
      </c>
      <c r="B18" s="2" t="str">
        <f>"05000002001"</f>
        <v>05000002001</v>
      </c>
      <c r="C18" s="2" t="s">
        <v>926</v>
      </c>
      <c r="D18" s="2" t="s">
        <v>29</v>
      </c>
      <c r="E18" s="2" t="s">
        <v>30</v>
      </c>
      <c r="F18" s="2">
        <v>37207</v>
      </c>
      <c r="G18" s="2" t="s">
        <v>152</v>
      </c>
      <c r="H18" t="s">
        <v>176</v>
      </c>
      <c r="I18" s="6">
        <v>22887</v>
      </c>
      <c r="J18" s="2" t="s">
        <v>927</v>
      </c>
      <c r="K18" s="2" t="s">
        <v>34</v>
      </c>
      <c r="L18" t="s">
        <v>178</v>
      </c>
      <c r="M18" t="s">
        <v>29</v>
      </c>
      <c r="N18" t="s">
        <v>30</v>
      </c>
      <c r="O18">
        <v>37246</v>
      </c>
      <c r="P18" t="s">
        <v>928</v>
      </c>
      <c r="Q18" s="2">
        <v>4.4000000000000004</v>
      </c>
      <c r="R18" s="2">
        <v>0</v>
      </c>
      <c r="S18" s="2">
        <v>0</v>
      </c>
      <c r="T18" t="s">
        <v>927</v>
      </c>
      <c r="U18" s="6">
        <v>22887</v>
      </c>
      <c r="V18" s="2">
        <v>47037010903</v>
      </c>
      <c r="W18" s="2" t="s">
        <v>68</v>
      </c>
      <c r="X18" s="1">
        <v>45658</v>
      </c>
      <c r="Y18" s="2">
        <v>574900</v>
      </c>
      <c r="Z18" s="2">
        <v>0</v>
      </c>
      <c r="AA18" s="2">
        <v>574900</v>
      </c>
    </row>
    <row r="19" spans="1:27" x14ac:dyDescent="0.3">
      <c r="A19" s="4" t="s">
        <v>864</v>
      </c>
      <c r="B19" s="2" t="str">
        <f>"06002014200"</f>
        <v>06002014200</v>
      </c>
      <c r="C19" s="2" t="s">
        <v>929</v>
      </c>
      <c r="D19" s="2" t="s">
        <v>29</v>
      </c>
      <c r="E19" s="2" t="s">
        <v>30</v>
      </c>
      <c r="F19" s="2">
        <v>37207</v>
      </c>
      <c r="G19" s="2" t="s">
        <v>152</v>
      </c>
      <c r="H19" t="s">
        <v>176</v>
      </c>
      <c r="I19" s="6">
        <v>22175</v>
      </c>
      <c r="J19" s="2" t="s">
        <v>930</v>
      </c>
      <c r="K19" s="2" t="s">
        <v>34</v>
      </c>
      <c r="L19" t="s">
        <v>178</v>
      </c>
      <c r="M19" t="s">
        <v>29</v>
      </c>
      <c r="N19" t="s">
        <v>30</v>
      </c>
      <c r="O19">
        <v>37246</v>
      </c>
      <c r="P19" t="s">
        <v>931</v>
      </c>
      <c r="Q19" s="2">
        <v>0.21</v>
      </c>
      <c r="R19" s="2">
        <v>89</v>
      </c>
      <c r="S19" s="2">
        <v>167</v>
      </c>
      <c r="T19" t="s">
        <v>930</v>
      </c>
      <c r="U19" s="6">
        <v>22175</v>
      </c>
      <c r="V19" s="2">
        <v>47037010904</v>
      </c>
      <c r="W19" s="2" t="s">
        <v>68</v>
      </c>
      <c r="X19" s="1">
        <v>45658</v>
      </c>
      <c r="Y19" s="2">
        <v>80000</v>
      </c>
      <c r="Z19" s="2">
        <v>0</v>
      </c>
      <c r="AA19" s="2">
        <v>80000</v>
      </c>
    </row>
    <row r="20" spans="1:27" x14ac:dyDescent="0.3">
      <c r="A20" s="4" t="s">
        <v>864</v>
      </c>
      <c r="B20" s="2" t="str">
        <f>"04201005300"</f>
        <v>04201005300</v>
      </c>
      <c r="C20" s="2" t="s">
        <v>932</v>
      </c>
      <c r="D20" s="2" t="s">
        <v>29</v>
      </c>
      <c r="E20" s="2" t="s">
        <v>30</v>
      </c>
      <c r="F20" s="2">
        <v>37207</v>
      </c>
      <c r="G20" s="2" t="s">
        <v>152</v>
      </c>
      <c r="H20" t="s">
        <v>176</v>
      </c>
      <c r="I20" s="6">
        <v>24219</v>
      </c>
      <c r="J20" s="2" t="s">
        <v>933</v>
      </c>
      <c r="K20" s="2" t="s">
        <v>34</v>
      </c>
      <c r="L20" t="s">
        <v>934</v>
      </c>
      <c r="M20" t="s">
        <v>29</v>
      </c>
      <c r="N20" t="s">
        <v>30</v>
      </c>
      <c r="O20">
        <v>37246</v>
      </c>
      <c r="P20" t="s">
        <v>935</v>
      </c>
      <c r="Q20" s="2">
        <v>0.2</v>
      </c>
      <c r="R20" s="2">
        <v>50</v>
      </c>
      <c r="S20" s="2">
        <v>173</v>
      </c>
      <c r="T20" t="s">
        <v>936</v>
      </c>
      <c r="U20" s="6">
        <v>33626</v>
      </c>
      <c r="V20" s="2">
        <v>47037010201</v>
      </c>
      <c r="W20" s="2" t="s">
        <v>38</v>
      </c>
      <c r="X20" s="1">
        <v>45658</v>
      </c>
      <c r="Y20" s="2">
        <v>61000</v>
      </c>
      <c r="Z20" s="2">
        <v>0</v>
      </c>
      <c r="AA20" s="2">
        <v>61000</v>
      </c>
    </row>
    <row r="21" spans="1:27" x14ac:dyDescent="0.3">
      <c r="A21" s="4" t="s">
        <v>864</v>
      </c>
      <c r="B21" s="2" t="str">
        <f>"04100008400"</f>
        <v>04100008400</v>
      </c>
      <c r="C21" s="2" t="s">
        <v>937</v>
      </c>
      <c r="D21" s="2" t="s">
        <v>29</v>
      </c>
      <c r="E21" s="2" t="s">
        <v>30</v>
      </c>
      <c r="F21" s="2">
        <v>37207</v>
      </c>
      <c r="G21" s="2" t="s">
        <v>152</v>
      </c>
      <c r="H21" t="s">
        <v>176</v>
      </c>
      <c r="I21" s="6">
        <v>23965</v>
      </c>
      <c r="J21" s="2" t="s">
        <v>938</v>
      </c>
      <c r="K21" s="2" t="s">
        <v>34</v>
      </c>
      <c r="L21" t="s">
        <v>934</v>
      </c>
      <c r="M21" t="s">
        <v>29</v>
      </c>
      <c r="N21" t="s">
        <v>30</v>
      </c>
      <c r="O21">
        <v>37246</v>
      </c>
      <c r="P21" t="s">
        <v>939</v>
      </c>
      <c r="Q21" s="2">
        <v>1</v>
      </c>
      <c r="R21" s="2">
        <v>0</v>
      </c>
      <c r="S21" s="2">
        <v>0</v>
      </c>
      <c r="T21" t="s">
        <v>938</v>
      </c>
      <c r="U21" s="6">
        <v>23965</v>
      </c>
      <c r="V21" s="2">
        <v>47037010903</v>
      </c>
      <c r="W21" s="2" t="s">
        <v>38</v>
      </c>
      <c r="X21" s="1">
        <v>45658</v>
      </c>
      <c r="Y21" s="2">
        <v>54600</v>
      </c>
      <c r="Z21" s="2">
        <v>0</v>
      </c>
      <c r="AA21" s="2">
        <v>54600</v>
      </c>
    </row>
    <row r="22" spans="1:27" x14ac:dyDescent="0.3">
      <c r="A22" s="4" t="s">
        <v>864</v>
      </c>
      <c r="B22" s="2" t="str">
        <f>"04200000700"</f>
        <v>04200000700</v>
      </c>
      <c r="C22" s="2" t="s">
        <v>940</v>
      </c>
      <c r="D22" s="2" t="s">
        <v>29</v>
      </c>
      <c r="E22" s="2" t="s">
        <v>30</v>
      </c>
      <c r="F22" s="2">
        <v>37207</v>
      </c>
      <c r="G22" s="2" t="s">
        <v>200</v>
      </c>
      <c r="H22" t="s">
        <v>941</v>
      </c>
      <c r="I22" s="6">
        <v>23671</v>
      </c>
      <c r="J22" s="2" t="s">
        <v>942</v>
      </c>
      <c r="K22" s="2" t="s">
        <v>34</v>
      </c>
      <c r="L22" t="s">
        <v>35</v>
      </c>
      <c r="M22" t="s">
        <v>29</v>
      </c>
      <c r="N22" t="s">
        <v>30</v>
      </c>
      <c r="O22">
        <v>37219</v>
      </c>
      <c r="P22" t="s">
        <v>943</v>
      </c>
      <c r="Q22" s="2">
        <v>221.44</v>
      </c>
      <c r="R22" s="2">
        <v>0</v>
      </c>
      <c r="S22" s="2">
        <v>0</v>
      </c>
      <c r="T22" t="s">
        <v>198</v>
      </c>
      <c r="U22" s="6">
        <v>27760</v>
      </c>
      <c r="V22" s="2">
        <v>47037010201</v>
      </c>
      <c r="W22" s="2" t="s">
        <v>38</v>
      </c>
      <c r="X22" s="1">
        <v>45658</v>
      </c>
      <c r="Y22" s="2">
        <v>3543000</v>
      </c>
      <c r="Z22" s="2">
        <v>0</v>
      </c>
      <c r="AA22" s="2">
        <v>3543000</v>
      </c>
    </row>
    <row r="23" spans="1:27" x14ac:dyDescent="0.3">
      <c r="A23" s="4" t="s">
        <v>864</v>
      </c>
      <c r="B23" s="2" t="str">
        <f>"05100000500"</f>
        <v>05100000500</v>
      </c>
      <c r="C23" s="2" t="s">
        <v>865</v>
      </c>
      <c r="D23" s="2" t="s">
        <v>866</v>
      </c>
      <c r="E23" s="2" t="s">
        <v>30</v>
      </c>
      <c r="F23" s="2">
        <v>37115</v>
      </c>
      <c r="G23" s="2" t="s">
        <v>64</v>
      </c>
      <c r="H23" t="s">
        <v>944</v>
      </c>
      <c r="I23" s="6">
        <v>37202</v>
      </c>
      <c r="J23" s="2" t="s">
        <v>945</v>
      </c>
      <c r="K23" s="2">
        <v>0</v>
      </c>
      <c r="L23" t="s">
        <v>35</v>
      </c>
      <c r="M23" t="s">
        <v>29</v>
      </c>
      <c r="N23" t="s">
        <v>30</v>
      </c>
      <c r="O23">
        <v>37219</v>
      </c>
      <c r="P23" t="s">
        <v>946</v>
      </c>
      <c r="Q23" s="2">
        <v>3.67</v>
      </c>
      <c r="R23" s="2">
        <v>0</v>
      </c>
      <c r="S23" s="2">
        <v>0</v>
      </c>
      <c r="T23" t="s">
        <v>945</v>
      </c>
      <c r="U23" s="6">
        <v>37202</v>
      </c>
      <c r="V23" s="2">
        <v>47037010802</v>
      </c>
      <c r="W23" s="2" t="s">
        <v>837</v>
      </c>
      <c r="X23" s="1">
        <v>45658</v>
      </c>
      <c r="Y23" s="2">
        <v>367000</v>
      </c>
      <c r="Z23" s="2">
        <v>0</v>
      </c>
      <c r="AA23" s="2">
        <v>367000</v>
      </c>
    </row>
    <row r="24" spans="1:27" x14ac:dyDescent="0.3">
      <c r="A24" s="4" t="s">
        <v>864</v>
      </c>
      <c r="B24" s="2" t="str">
        <f>"05100018200"</f>
        <v>05100018200</v>
      </c>
      <c r="C24" s="2" t="s">
        <v>865</v>
      </c>
      <c r="D24" s="2" t="s">
        <v>866</v>
      </c>
      <c r="E24" s="2" t="s">
        <v>30</v>
      </c>
      <c r="F24" s="2">
        <v>37115</v>
      </c>
      <c r="G24" s="2" t="s">
        <v>64</v>
      </c>
      <c r="H24" t="s">
        <v>944</v>
      </c>
      <c r="I24" s="6">
        <v>36715</v>
      </c>
      <c r="J24" s="2" t="s">
        <v>947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948</v>
      </c>
      <c r="Q24" s="2">
        <v>3</v>
      </c>
      <c r="R24" s="2">
        <v>0</v>
      </c>
      <c r="S24" s="2">
        <v>0</v>
      </c>
      <c r="T24" t="s">
        <v>949</v>
      </c>
      <c r="U24" s="6">
        <v>27733</v>
      </c>
      <c r="V24" s="2">
        <v>47037010802</v>
      </c>
      <c r="W24" s="2" t="s">
        <v>837</v>
      </c>
      <c r="X24" s="1">
        <v>45658</v>
      </c>
      <c r="Y24" s="2">
        <v>300000</v>
      </c>
      <c r="Z24" s="2">
        <v>0</v>
      </c>
      <c r="AA24" s="2">
        <v>300000</v>
      </c>
    </row>
    <row r="25" spans="1:27" x14ac:dyDescent="0.3">
      <c r="A25" s="4" t="s">
        <v>864</v>
      </c>
      <c r="B25" s="2" t="str">
        <f>"06001004300"</f>
        <v>06001004300</v>
      </c>
      <c r="C25" s="2" t="s">
        <v>950</v>
      </c>
      <c r="D25" s="2" t="s">
        <v>29</v>
      </c>
      <c r="E25" s="2" t="s">
        <v>30</v>
      </c>
      <c r="F25" s="2">
        <v>37207</v>
      </c>
      <c r="G25" s="2" t="s">
        <v>41</v>
      </c>
      <c r="H25" t="s">
        <v>211</v>
      </c>
      <c r="I25" s="6">
        <v>28796</v>
      </c>
      <c r="J25" s="2" t="s">
        <v>951</v>
      </c>
      <c r="K25" s="2">
        <v>243</v>
      </c>
      <c r="L25" t="s">
        <v>35</v>
      </c>
      <c r="M25" t="s">
        <v>29</v>
      </c>
      <c r="N25" t="s">
        <v>30</v>
      </c>
      <c r="O25">
        <v>37219</v>
      </c>
      <c r="P25" t="s">
        <v>952</v>
      </c>
      <c r="Q25" s="2">
        <v>0.03</v>
      </c>
      <c r="R25" s="2">
        <v>31</v>
      </c>
      <c r="S25" s="2">
        <v>42</v>
      </c>
      <c r="T25" t="s">
        <v>953</v>
      </c>
      <c r="U25" s="6">
        <v>20257</v>
      </c>
      <c r="V25" s="2">
        <v>47037010904</v>
      </c>
      <c r="W25" s="2" t="s">
        <v>68</v>
      </c>
      <c r="X25" s="1">
        <v>45658</v>
      </c>
      <c r="Y25" s="2">
        <v>4200</v>
      </c>
      <c r="Z25" s="2">
        <v>0</v>
      </c>
      <c r="AA25" s="2">
        <v>4200</v>
      </c>
    </row>
    <row r="26" spans="1:27" x14ac:dyDescent="0.3">
      <c r="A26" s="4" t="s">
        <v>864</v>
      </c>
      <c r="B26" s="2" t="str">
        <f>"06001001500"</f>
        <v>06001001500</v>
      </c>
      <c r="C26" s="2" t="s">
        <v>954</v>
      </c>
      <c r="D26" s="2" t="s">
        <v>29</v>
      </c>
      <c r="E26" s="2" t="s">
        <v>30</v>
      </c>
      <c r="F26" s="2">
        <v>37207</v>
      </c>
      <c r="G26" s="2" t="s">
        <v>41</v>
      </c>
      <c r="H26" t="s">
        <v>211</v>
      </c>
      <c r="I26" s="6">
        <v>31841</v>
      </c>
      <c r="J26" s="2" t="s">
        <v>955</v>
      </c>
      <c r="K26" s="2">
        <v>508</v>
      </c>
      <c r="L26" t="s">
        <v>35</v>
      </c>
      <c r="M26" t="s">
        <v>29</v>
      </c>
      <c r="N26" t="s">
        <v>30</v>
      </c>
      <c r="O26">
        <v>37219</v>
      </c>
      <c r="P26" t="s">
        <v>956</v>
      </c>
      <c r="Q26" s="2">
        <v>0.11</v>
      </c>
      <c r="R26" s="2">
        <v>22</v>
      </c>
      <c r="S26" s="2">
        <v>64</v>
      </c>
      <c r="T26" t="s">
        <v>957</v>
      </c>
      <c r="U26" s="6">
        <v>20893</v>
      </c>
      <c r="V26" s="2">
        <v>47037010904</v>
      </c>
      <c r="W26" s="2" t="s">
        <v>68</v>
      </c>
      <c r="X26" s="1">
        <v>45658</v>
      </c>
      <c r="Y26" s="2">
        <v>21600</v>
      </c>
      <c r="Z26" s="2">
        <v>0</v>
      </c>
      <c r="AA26" s="2">
        <v>21600</v>
      </c>
    </row>
    <row r="27" spans="1:27" x14ac:dyDescent="0.3">
      <c r="A27" s="4" t="s">
        <v>864</v>
      </c>
      <c r="B27" s="2" t="str">
        <f>"06002028100"</f>
        <v>06002028100</v>
      </c>
      <c r="C27" s="2" t="s">
        <v>954</v>
      </c>
      <c r="D27" s="2" t="s">
        <v>29</v>
      </c>
      <c r="E27" s="2" t="s">
        <v>30</v>
      </c>
      <c r="F27" s="2">
        <v>37207</v>
      </c>
      <c r="G27" s="2" t="s">
        <v>64</v>
      </c>
      <c r="H27" t="s">
        <v>211</v>
      </c>
      <c r="I27" s="6">
        <v>36937</v>
      </c>
      <c r="J27" s="2" t="s">
        <v>958</v>
      </c>
      <c r="K27" s="2">
        <v>749</v>
      </c>
      <c r="L27" t="s">
        <v>35</v>
      </c>
      <c r="M27" t="s">
        <v>29</v>
      </c>
      <c r="N27" t="s">
        <v>30</v>
      </c>
      <c r="O27">
        <v>37219</v>
      </c>
      <c r="P27" t="s">
        <v>959</v>
      </c>
      <c r="Q27" s="2">
        <v>0.13</v>
      </c>
      <c r="R27" s="2">
        <v>173</v>
      </c>
      <c r="S27" s="2">
        <v>21</v>
      </c>
      <c r="T27" t="s">
        <v>960</v>
      </c>
      <c r="U27" s="6">
        <v>21929</v>
      </c>
      <c r="V27" s="2">
        <v>47037010904</v>
      </c>
      <c r="W27" s="2" t="s">
        <v>68</v>
      </c>
      <c r="X27" s="1">
        <v>45658</v>
      </c>
      <c r="Y27" s="2">
        <v>500</v>
      </c>
      <c r="Z27" s="2">
        <v>0</v>
      </c>
      <c r="AA27" s="2">
        <v>500</v>
      </c>
    </row>
    <row r="28" spans="1:27" x14ac:dyDescent="0.3">
      <c r="A28" s="4" t="s">
        <v>864</v>
      </c>
      <c r="B28" s="2" t="str">
        <f>"06003014100"</f>
        <v>06003014100</v>
      </c>
      <c r="C28" s="2" t="s">
        <v>961</v>
      </c>
      <c r="D28" s="2" t="s">
        <v>29</v>
      </c>
      <c r="E28" s="2" t="s">
        <v>30</v>
      </c>
      <c r="F28" s="2">
        <v>37207</v>
      </c>
      <c r="G28" s="2" t="s">
        <v>200</v>
      </c>
      <c r="H28" t="s">
        <v>962</v>
      </c>
      <c r="I28" s="6">
        <v>26681</v>
      </c>
      <c r="J28" s="2" t="s">
        <v>963</v>
      </c>
      <c r="K28" s="2" t="s">
        <v>34</v>
      </c>
      <c r="L28" t="s">
        <v>35</v>
      </c>
      <c r="M28" t="s">
        <v>29</v>
      </c>
      <c r="N28" t="s">
        <v>30</v>
      </c>
      <c r="O28">
        <v>37219</v>
      </c>
      <c r="P28" t="s">
        <v>964</v>
      </c>
      <c r="Q28" s="2">
        <v>10.29</v>
      </c>
      <c r="R28" s="2">
        <v>0</v>
      </c>
      <c r="S28" s="2">
        <v>0</v>
      </c>
      <c r="T28" t="s">
        <v>278</v>
      </c>
      <c r="U28" s="6">
        <v>36581</v>
      </c>
      <c r="V28" s="2">
        <v>47037010904</v>
      </c>
      <c r="W28" s="2" t="s">
        <v>68</v>
      </c>
      <c r="X28" s="1">
        <v>45658</v>
      </c>
      <c r="Y28" s="2">
        <v>642800</v>
      </c>
      <c r="Z28" s="2">
        <v>0</v>
      </c>
      <c r="AA28" s="2">
        <v>642800</v>
      </c>
    </row>
    <row r="29" spans="1:27" x14ac:dyDescent="0.3">
      <c r="A29" s="4" t="s">
        <v>864</v>
      </c>
      <c r="B29" s="2" t="str">
        <f>"05015022601"</f>
        <v>05015022601</v>
      </c>
      <c r="C29" s="2" t="s">
        <v>965</v>
      </c>
      <c r="D29" s="2" t="s">
        <v>29</v>
      </c>
      <c r="E29" s="2" t="s">
        <v>30</v>
      </c>
      <c r="F29" s="2">
        <v>37207</v>
      </c>
      <c r="G29" s="2" t="s">
        <v>64</v>
      </c>
      <c r="H29" t="s">
        <v>966</v>
      </c>
      <c r="I29" s="6">
        <v>27732</v>
      </c>
      <c r="J29" s="2" t="s">
        <v>967</v>
      </c>
      <c r="K29" s="2">
        <v>0</v>
      </c>
      <c r="L29" t="s">
        <v>35</v>
      </c>
      <c r="M29" t="s">
        <v>29</v>
      </c>
      <c r="N29" t="s">
        <v>30</v>
      </c>
      <c r="O29">
        <v>37219</v>
      </c>
      <c r="P29" t="s">
        <v>968</v>
      </c>
      <c r="Q29" s="2">
        <v>0.01</v>
      </c>
      <c r="R29" s="2">
        <v>25</v>
      </c>
      <c r="S29" s="2">
        <v>10</v>
      </c>
      <c r="T29" t="s">
        <v>969</v>
      </c>
      <c r="U29" s="6">
        <v>22859</v>
      </c>
      <c r="V29" s="2">
        <v>47037010904</v>
      </c>
      <c r="W29" s="2" t="s">
        <v>68</v>
      </c>
      <c r="X29" s="1">
        <v>45658</v>
      </c>
      <c r="Y29" s="2">
        <v>1000</v>
      </c>
      <c r="Z29" s="2">
        <v>0</v>
      </c>
      <c r="AA29" s="2">
        <v>1000</v>
      </c>
    </row>
    <row r="30" spans="1:27" x14ac:dyDescent="0.3">
      <c r="A30" s="4" t="s">
        <v>864</v>
      </c>
      <c r="B30" s="2" t="str">
        <f>"04108005300"</f>
        <v>04108005300</v>
      </c>
      <c r="C30" s="2" t="s">
        <v>970</v>
      </c>
      <c r="D30" s="2" t="s">
        <v>29</v>
      </c>
      <c r="E30" s="2" t="s">
        <v>30</v>
      </c>
      <c r="F30" s="2">
        <v>37207</v>
      </c>
      <c r="G30" s="2" t="s">
        <v>253</v>
      </c>
      <c r="H30" t="s">
        <v>971</v>
      </c>
      <c r="I30" s="6">
        <v>20025</v>
      </c>
      <c r="J30" s="2" t="s">
        <v>972</v>
      </c>
      <c r="K30" s="2" t="s">
        <v>34</v>
      </c>
      <c r="L30" t="s">
        <v>35</v>
      </c>
      <c r="M30" t="s">
        <v>29</v>
      </c>
      <c r="N30" t="s">
        <v>30</v>
      </c>
      <c r="O30">
        <v>37219</v>
      </c>
      <c r="P30" t="s">
        <v>973</v>
      </c>
      <c r="Q30" s="2">
        <v>13.65</v>
      </c>
      <c r="R30" s="2">
        <v>0</v>
      </c>
      <c r="S30" s="2">
        <v>0</v>
      </c>
      <c r="T30" t="s">
        <v>972</v>
      </c>
      <c r="U30" s="6">
        <v>20025</v>
      </c>
      <c r="V30" s="2">
        <v>47037010901</v>
      </c>
      <c r="W30" s="2" t="s">
        <v>38</v>
      </c>
      <c r="X30" s="1">
        <v>45658</v>
      </c>
      <c r="Y30" s="2">
        <v>229300</v>
      </c>
      <c r="Z30" s="2">
        <v>0</v>
      </c>
      <c r="AA30" s="2">
        <v>229300</v>
      </c>
    </row>
    <row r="31" spans="1:27" x14ac:dyDescent="0.3">
      <c r="A31" s="4" t="s">
        <v>864</v>
      </c>
      <c r="B31" s="2" t="str">
        <f>"06000000400"</f>
        <v>06000000400</v>
      </c>
      <c r="C31" s="2" t="s">
        <v>974</v>
      </c>
      <c r="D31" s="2" t="s">
        <v>29</v>
      </c>
      <c r="E31" s="2" t="s">
        <v>30</v>
      </c>
      <c r="F31" s="2">
        <v>37207</v>
      </c>
      <c r="G31" s="2" t="s">
        <v>253</v>
      </c>
      <c r="H31" t="s">
        <v>975</v>
      </c>
      <c r="I31" s="6">
        <v>18869</v>
      </c>
      <c r="J31" s="2" t="s">
        <v>976</v>
      </c>
      <c r="K31" s="2" t="s">
        <v>34</v>
      </c>
      <c r="L31" t="s">
        <v>35</v>
      </c>
      <c r="M31" t="s">
        <v>29</v>
      </c>
      <c r="N31" t="s">
        <v>30</v>
      </c>
      <c r="O31">
        <v>37219</v>
      </c>
      <c r="P31" t="s">
        <v>977</v>
      </c>
      <c r="Q31" s="2">
        <v>10.44</v>
      </c>
      <c r="R31" s="2">
        <v>0</v>
      </c>
      <c r="S31" s="2">
        <v>0</v>
      </c>
      <c r="T31" t="s">
        <v>978</v>
      </c>
      <c r="U31" s="6">
        <v>35240</v>
      </c>
      <c r="V31" s="2">
        <v>47037010904</v>
      </c>
      <c r="W31" s="2" t="s">
        <v>68</v>
      </c>
      <c r="X31" s="1">
        <v>45658</v>
      </c>
      <c r="Y31" s="2">
        <v>259400</v>
      </c>
      <c r="Z31" s="2">
        <v>0</v>
      </c>
      <c r="AA31" s="2">
        <v>259400</v>
      </c>
    </row>
    <row r="32" spans="1:27" x14ac:dyDescent="0.3">
      <c r="A32" s="4" t="s">
        <v>864</v>
      </c>
      <c r="B32" s="2" t="str">
        <f>"05102000500"</f>
        <v>05102000500</v>
      </c>
      <c r="C32" s="2" t="s">
        <v>979</v>
      </c>
      <c r="D32" s="2" t="s">
        <v>866</v>
      </c>
      <c r="E32" s="2" t="s">
        <v>30</v>
      </c>
      <c r="F32" s="2">
        <v>37115</v>
      </c>
      <c r="G32" s="2" t="s">
        <v>253</v>
      </c>
      <c r="H32" t="s">
        <v>980</v>
      </c>
      <c r="I32" s="6">
        <v>20625</v>
      </c>
      <c r="J32" s="2" t="s">
        <v>981</v>
      </c>
      <c r="K32" s="2" t="s">
        <v>34</v>
      </c>
      <c r="L32" t="s">
        <v>35</v>
      </c>
      <c r="M32" t="s">
        <v>29</v>
      </c>
      <c r="N32" t="s">
        <v>30</v>
      </c>
      <c r="O32">
        <v>37219</v>
      </c>
      <c r="P32" t="s">
        <v>982</v>
      </c>
      <c r="Q32" s="2">
        <v>14.04</v>
      </c>
      <c r="R32" s="2">
        <v>0</v>
      </c>
      <c r="S32" s="2">
        <v>0</v>
      </c>
      <c r="T32" t="s">
        <v>983</v>
      </c>
      <c r="U32" s="6">
        <v>36966</v>
      </c>
      <c r="V32" s="2">
        <v>47037010901</v>
      </c>
      <c r="W32" s="2" t="s">
        <v>837</v>
      </c>
      <c r="X32" s="1">
        <v>45658</v>
      </c>
      <c r="Y32" s="2">
        <v>422100</v>
      </c>
      <c r="Z32" s="2">
        <v>0</v>
      </c>
      <c r="AA32" s="2">
        <v>422100</v>
      </c>
    </row>
    <row r="33" spans="1:27" x14ac:dyDescent="0.3">
      <c r="A33" s="4" t="s">
        <v>864</v>
      </c>
      <c r="B33" s="2" t="str">
        <f>"04212006400"</f>
        <v>04212006400</v>
      </c>
      <c r="C33" s="2" t="s">
        <v>984</v>
      </c>
      <c r="D33" s="2" t="s">
        <v>866</v>
      </c>
      <c r="E33" s="2" t="s">
        <v>30</v>
      </c>
      <c r="F33" s="2">
        <v>37115</v>
      </c>
      <c r="G33" s="2" t="s">
        <v>253</v>
      </c>
      <c r="H33" t="s">
        <v>985</v>
      </c>
      <c r="I33" s="6">
        <v>20860</v>
      </c>
      <c r="J33" s="2" t="s">
        <v>986</v>
      </c>
      <c r="K33" s="2" t="s">
        <v>34</v>
      </c>
      <c r="L33" t="s">
        <v>35</v>
      </c>
      <c r="M33" t="s">
        <v>29</v>
      </c>
      <c r="N33" t="s">
        <v>30</v>
      </c>
      <c r="O33">
        <v>37219</v>
      </c>
      <c r="P33" t="s">
        <v>987</v>
      </c>
      <c r="Q33" s="2">
        <v>25.21</v>
      </c>
      <c r="R33" s="2">
        <v>0</v>
      </c>
      <c r="S33" s="2">
        <v>0</v>
      </c>
      <c r="T33" t="s">
        <v>988</v>
      </c>
      <c r="U33" s="6">
        <v>27453</v>
      </c>
      <c r="V33" s="2">
        <v>47037010801</v>
      </c>
      <c r="W33" s="2" t="s">
        <v>837</v>
      </c>
      <c r="X33" s="1">
        <v>45658</v>
      </c>
      <c r="Y33" s="2">
        <v>630300</v>
      </c>
      <c r="Z33" s="2">
        <v>0</v>
      </c>
      <c r="AA33" s="2">
        <v>630300</v>
      </c>
    </row>
    <row r="34" spans="1:27" x14ac:dyDescent="0.3">
      <c r="A34" s="4" t="s">
        <v>864</v>
      </c>
      <c r="B34" s="2" t="str">
        <f>"03300007800"</f>
        <v>03300007800</v>
      </c>
      <c r="C34" s="2" t="s">
        <v>989</v>
      </c>
      <c r="D34" s="2" t="s">
        <v>990</v>
      </c>
      <c r="E34" s="2" t="s">
        <v>30</v>
      </c>
      <c r="F34" s="2">
        <v>37072</v>
      </c>
      <c r="G34" s="2" t="s">
        <v>253</v>
      </c>
      <c r="H34" t="s">
        <v>991</v>
      </c>
      <c r="I34" s="6">
        <v>25104</v>
      </c>
      <c r="J34" s="2" t="s">
        <v>992</v>
      </c>
      <c r="K34" s="2" t="s">
        <v>34</v>
      </c>
      <c r="L34" t="s">
        <v>35</v>
      </c>
      <c r="M34" t="s">
        <v>29</v>
      </c>
      <c r="N34" t="s">
        <v>30</v>
      </c>
      <c r="O34">
        <v>37219</v>
      </c>
      <c r="P34" t="s">
        <v>993</v>
      </c>
      <c r="Q34" s="2">
        <v>10</v>
      </c>
      <c r="R34" s="2">
        <v>0</v>
      </c>
      <c r="S34" s="2">
        <v>0</v>
      </c>
      <c r="T34" t="s">
        <v>994</v>
      </c>
      <c r="U34" s="6">
        <v>22305</v>
      </c>
      <c r="V34" s="2">
        <v>47037010201</v>
      </c>
      <c r="W34" s="2" t="s">
        <v>38</v>
      </c>
      <c r="X34" s="1">
        <v>45658</v>
      </c>
      <c r="Y34" s="2">
        <v>276000</v>
      </c>
      <c r="Z34" s="2">
        <v>0</v>
      </c>
      <c r="AA34" s="2">
        <v>276000</v>
      </c>
    </row>
    <row r="35" spans="1:27" x14ac:dyDescent="0.3">
      <c r="A35" s="4" t="s">
        <v>864</v>
      </c>
      <c r="B35" s="2" t="str">
        <f>"03200005100"</f>
        <v>03200005100</v>
      </c>
      <c r="C35" s="2" t="s">
        <v>995</v>
      </c>
      <c r="D35" s="2" t="s">
        <v>29</v>
      </c>
      <c r="E35" s="2" t="s">
        <v>30</v>
      </c>
      <c r="F35" s="2">
        <v>37207</v>
      </c>
      <c r="G35" s="2" t="s">
        <v>253</v>
      </c>
      <c r="H35" t="s">
        <v>996</v>
      </c>
      <c r="I35" s="6">
        <v>28234</v>
      </c>
      <c r="J35" s="2" t="s">
        <v>997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998</v>
      </c>
      <c r="Q35" s="2">
        <v>48.61</v>
      </c>
      <c r="R35" s="2">
        <v>0</v>
      </c>
      <c r="S35" s="2">
        <v>0</v>
      </c>
      <c r="T35" t="s">
        <v>999</v>
      </c>
      <c r="U35" s="6">
        <v>23743</v>
      </c>
      <c r="V35" s="2">
        <v>47037010201</v>
      </c>
      <c r="W35" s="2" t="s">
        <v>38</v>
      </c>
      <c r="X35" s="1">
        <v>45658</v>
      </c>
      <c r="Y35" s="2">
        <v>687000</v>
      </c>
      <c r="Z35" s="2">
        <v>0</v>
      </c>
      <c r="AA35" s="2">
        <v>687000</v>
      </c>
    </row>
    <row r="36" spans="1:27" x14ac:dyDescent="0.3">
      <c r="A36" s="4" t="s">
        <v>864</v>
      </c>
      <c r="B36" s="2" t="str">
        <f>"04000002100"</f>
        <v>04000002100</v>
      </c>
      <c r="C36" s="2" t="s">
        <v>28</v>
      </c>
      <c r="D36" s="2" t="s">
        <v>103</v>
      </c>
      <c r="E36" s="2" t="s">
        <v>30</v>
      </c>
      <c r="F36" s="2">
        <v>37189</v>
      </c>
      <c r="G36" s="2" t="s">
        <v>31</v>
      </c>
      <c r="H36" t="s">
        <v>1000</v>
      </c>
      <c r="I36" s="6">
        <v>27565</v>
      </c>
      <c r="J36" s="2" t="s">
        <v>229</v>
      </c>
      <c r="K36" s="2" t="s">
        <v>34</v>
      </c>
      <c r="L36" t="s">
        <v>35</v>
      </c>
      <c r="M36" t="s">
        <v>29</v>
      </c>
      <c r="N36" t="s">
        <v>30</v>
      </c>
      <c r="O36">
        <v>37219</v>
      </c>
      <c r="P36" t="s">
        <v>1001</v>
      </c>
      <c r="Q36" s="2">
        <v>2.14</v>
      </c>
      <c r="R36" s="2">
        <v>0</v>
      </c>
      <c r="S36" s="2">
        <v>0</v>
      </c>
      <c r="T36" t="s">
        <v>1002</v>
      </c>
      <c r="U36" s="6">
        <v>37644</v>
      </c>
      <c r="V36" s="2">
        <v>47037010201</v>
      </c>
      <c r="W36" s="2" t="s">
        <v>38</v>
      </c>
      <c r="X36" s="1">
        <v>45658</v>
      </c>
      <c r="Y36" s="2">
        <v>23500</v>
      </c>
      <c r="Z36" s="2">
        <v>0</v>
      </c>
      <c r="AA36" s="2">
        <v>23500</v>
      </c>
    </row>
    <row r="37" spans="1:27" x14ac:dyDescent="0.3">
      <c r="A37" s="4" t="s">
        <v>864</v>
      </c>
      <c r="B37" s="2" t="str">
        <f>"03100003600"</f>
        <v>03100003600</v>
      </c>
      <c r="C37" s="2" t="s">
        <v>1003</v>
      </c>
      <c r="D37" s="2" t="s">
        <v>103</v>
      </c>
      <c r="E37" s="2" t="s">
        <v>30</v>
      </c>
      <c r="F37" s="2">
        <v>37189</v>
      </c>
      <c r="G37" s="2" t="s">
        <v>31</v>
      </c>
      <c r="H37" t="s">
        <v>280</v>
      </c>
      <c r="I37" s="6">
        <v>42822</v>
      </c>
      <c r="J37" s="2" t="s">
        <v>1004</v>
      </c>
      <c r="K37" s="2">
        <v>900</v>
      </c>
      <c r="L37" t="s">
        <v>35</v>
      </c>
      <c r="M37" t="s">
        <v>29</v>
      </c>
      <c r="N37" t="s">
        <v>30</v>
      </c>
      <c r="O37">
        <v>37219</v>
      </c>
      <c r="P37" t="s">
        <v>1005</v>
      </c>
      <c r="Q37" s="2">
        <v>0.11</v>
      </c>
      <c r="R37" s="2">
        <v>81</v>
      </c>
      <c r="S37" s="2">
        <v>225</v>
      </c>
      <c r="T37" t="s">
        <v>1006</v>
      </c>
      <c r="U37" s="6">
        <v>20097</v>
      </c>
      <c r="V37" s="2">
        <v>47037010201</v>
      </c>
      <c r="W37" s="2" t="s">
        <v>38</v>
      </c>
      <c r="X37" s="1">
        <v>45658</v>
      </c>
      <c r="Y37" s="2">
        <v>1300</v>
      </c>
      <c r="Z37" s="2">
        <v>0</v>
      </c>
      <c r="AA37" s="2">
        <v>1300</v>
      </c>
    </row>
    <row r="38" spans="1:27" x14ac:dyDescent="0.3">
      <c r="A38" s="4" t="s">
        <v>864</v>
      </c>
      <c r="B38" s="2" t="str">
        <f>"03100005700"</f>
        <v>03100005700</v>
      </c>
      <c r="C38" s="2" t="s">
        <v>1007</v>
      </c>
      <c r="D38" s="2" t="s">
        <v>103</v>
      </c>
      <c r="E38" s="2" t="s">
        <v>30</v>
      </c>
      <c r="F38" s="2">
        <v>37189</v>
      </c>
      <c r="G38" s="2" t="s">
        <v>31</v>
      </c>
      <c r="H38" t="s">
        <v>280</v>
      </c>
      <c r="I38" s="6">
        <v>40920</v>
      </c>
      <c r="J38" s="2" t="s">
        <v>1008</v>
      </c>
      <c r="K38" s="2">
        <v>0</v>
      </c>
      <c r="L38" t="s">
        <v>35</v>
      </c>
      <c r="M38" t="s">
        <v>29</v>
      </c>
      <c r="N38" t="s">
        <v>30</v>
      </c>
      <c r="O38">
        <v>37219</v>
      </c>
      <c r="P38" t="s">
        <v>1009</v>
      </c>
      <c r="Q38" s="2">
        <v>2.42</v>
      </c>
      <c r="R38" s="2">
        <v>0</v>
      </c>
      <c r="S38" s="2">
        <v>0</v>
      </c>
      <c r="T38" t="s">
        <v>1010</v>
      </c>
      <c r="U38" s="6">
        <v>27118</v>
      </c>
      <c r="V38" s="2">
        <v>47037010201</v>
      </c>
      <c r="W38" s="2" t="s">
        <v>38</v>
      </c>
      <c r="X38" s="1">
        <v>45658</v>
      </c>
      <c r="Y38" s="2">
        <v>117600</v>
      </c>
      <c r="Z38" s="2">
        <v>0</v>
      </c>
      <c r="AA38" s="2">
        <v>117600</v>
      </c>
    </row>
    <row r="39" spans="1:27" x14ac:dyDescent="0.3">
      <c r="A39" s="4" t="s">
        <v>864</v>
      </c>
      <c r="B39" s="2" t="str">
        <f>"04216003100"</f>
        <v>04216003100</v>
      </c>
      <c r="C39" s="2" t="s">
        <v>1011</v>
      </c>
      <c r="D39" s="2" t="s">
        <v>866</v>
      </c>
      <c r="E39" s="2" t="s">
        <v>30</v>
      </c>
      <c r="F39" s="2">
        <v>37115</v>
      </c>
      <c r="G39" s="2" t="s">
        <v>64</v>
      </c>
      <c r="H39" t="s">
        <v>280</v>
      </c>
      <c r="I39" s="6">
        <v>43564</v>
      </c>
      <c r="J39" s="2" t="s">
        <v>1012</v>
      </c>
      <c r="K39" s="2" t="s">
        <v>34</v>
      </c>
      <c r="L39" t="s">
        <v>315</v>
      </c>
      <c r="M39" t="s">
        <v>29</v>
      </c>
      <c r="N39" t="s">
        <v>30</v>
      </c>
      <c r="O39">
        <v>37208</v>
      </c>
      <c r="P39" t="s">
        <v>1013</v>
      </c>
      <c r="Q39" s="2">
        <v>0.32</v>
      </c>
      <c r="R39" s="2">
        <v>100</v>
      </c>
      <c r="S39" s="2">
        <v>140</v>
      </c>
      <c r="T39" t="s">
        <v>1014</v>
      </c>
      <c r="U39" s="6">
        <v>26732</v>
      </c>
      <c r="V39" s="2">
        <v>47037010802</v>
      </c>
      <c r="W39" s="2" t="s">
        <v>837</v>
      </c>
      <c r="X39" s="1">
        <v>45658</v>
      </c>
      <c r="Y39" s="2">
        <v>97500</v>
      </c>
      <c r="Z39" s="2">
        <v>0</v>
      </c>
      <c r="AA39" s="2">
        <v>97500</v>
      </c>
    </row>
    <row r="40" spans="1:27" x14ac:dyDescent="0.3">
      <c r="A40" s="4" t="s">
        <v>864</v>
      </c>
      <c r="B40" s="2" t="str">
        <f>"04115003900"</f>
        <v>04115003900</v>
      </c>
      <c r="C40" s="2" t="s">
        <v>1015</v>
      </c>
      <c r="D40" s="2" t="s">
        <v>29</v>
      </c>
      <c r="E40" s="2" t="s">
        <v>30</v>
      </c>
      <c r="F40" s="2">
        <v>37207</v>
      </c>
      <c r="G40" s="2" t="s">
        <v>64</v>
      </c>
      <c r="H40" t="s">
        <v>280</v>
      </c>
      <c r="I40" s="6">
        <v>41192</v>
      </c>
      <c r="J40" s="2" t="s">
        <v>1016</v>
      </c>
      <c r="K40" s="2">
        <v>0</v>
      </c>
      <c r="L40" t="s">
        <v>35</v>
      </c>
      <c r="M40" t="s">
        <v>29</v>
      </c>
      <c r="N40" t="s">
        <v>30</v>
      </c>
      <c r="O40">
        <v>37219</v>
      </c>
      <c r="P40" t="s">
        <v>1017</v>
      </c>
      <c r="Q40" s="2">
        <v>0.76</v>
      </c>
      <c r="R40" s="2">
        <v>86</v>
      </c>
      <c r="S40" s="2">
        <v>384</v>
      </c>
      <c r="T40" t="s">
        <v>1018</v>
      </c>
      <c r="U40" s="6">
        <v>23489</v>
      </c>
      <c r="V40" s="2">
        <v>47037010901</v>
      </c>
      <c r="W40" s="2" t="s">
        <v>38</v>
      </c>
      <c r="X40" s="1">
        <v>45658</v>
      </c>
      <c r="Y40" s="2">
        <v>110000</v>
      </c>
      <c r="Z40" s="2">
        <v>0</v>
      </c>
      <c r="AA40" s="2">
        <v>110000</v>
      </c>
    </row>
    <row r="41" spans="1:27" x14ac:dyDescent="0.3">
      <c r="A41" s="4" t="s">
        <v>864</v>
      </c>
      <c r="B41" s="2" t="str">
        <f>"04115004000"</f>
        <v>04115004000</v>
      </c>
      <c r="C41" s="2" t="s">
        <v>1019</v>
      </c>
      <c r="D41" s="2" t="s">
        <v>29</v>
      </c>
      <c r="E41" s="2" t="s">
        <v>30</v>
      </c>
      <c r="F41" s="2">
        <v>37207</v>
      </c>
      <c r="G41" s="2" t="s">
        <v>64</v>
      </c>
      <c r="H41" t="s">
        <v>280</v>
      </c>
      <c r="I41" s="6">
        <v>41052</v>
      </c>
      <c r="J41" s="2" t="s">
        <v>1020</v>
      </c>
      <c r="K41" s="2">
        <v>0</v>
      </c>
      <c r="L41" t="s">
        <v>35</v>
      </c>
      <c r="M41" t="s">
        <v>29</v>
      </c>
      <c r="N41" t="s">
        <v>30</v>
      </c>
      <c r="O41">
        <v>37219</v>
      </c>
      <c r="P41" t="s">
        <v>1021</v>
      </c>
      <c r="Q41" s="2">
        <v>0.72</v>
      </c>
      <c r="R41" s="2">
        <v>89</v>
      </c>
      <c r="S41" s="2">
        <v>384</v>
      </c>
      <c r="T41" t="s">
        <v>1022</v>
      </c>
      <c r="U41" s="6">
        <v>22717</v>
      </c>
      <c r="V41" s="2">
        <v>47037010901</v>
      </c>
      <c r="W41" s="2" t="s">
        <v>38</v>
      </c>
      <c r="X41" s="1">
        <v>45658</v>
      </c>
      <c r="Y41" s="2">
        <v>110000</v>
      </c>
      <c r="Z41" s="2">
        <v>0</v>
      </c>
      <c r="AA41" s="2">
        <v>110000</v>
      </c>
    </row>
    <row r="42" spans="1:27" x14ac:dyDescent="0.3">
      <c r="A42" s="4" t="s">
        <v>864</v>
      </c>
      <c r="B42" s="2" t="str">
        <f>"04115003800"</f>
        <v>04115003800</v>
      </c>
      <c r="C42" s="2" t="s">
        <v>1023</v>
      </c>
      <c r="D42" s="2" t="s">
        <v>29</v>
      </c>
      <c r="E42" s="2" t="s">
        <v>30</v>
      </c>
      <c r="F42" s="2">
        <v>37207</v>
      </c>
      <c r="G42" s="2" t="s">
        <v>64</v>
      </c>
      <c r="H42" t="s">
        <v>280</v>
      </c>
      <c r="I42" s="6">
        <v>41030</v>
      </c>
      <c r="J42" s="2" t="s">
        <v>1024</v>
      </c>
      <c r="K42" s="2">
        <v>0</v>
      </c>
      <c r="L42" t="s">
        <v>35</v>
      </c>
      <c r="M42" t="s">
        <v>29</v>
      </c>
      <c r="N42" t="s">
        <v>30</v>
      </c>
      <c r="O42">
        <v>37219</v>
      </c>
      <c r="P42" t="s">
        <v>1025</v>
      </c>
      <c r="Q42" s="2">
        <v>0.83</v>
      </c>
      <c r="R42" s="2">
        <v>138</v>
      </c>
      <c r="S42" s="2">
        <v>321</v>
      </c>
      <c r="T42" t="s">
        <v>1026</v>
      </c>
      <c r="U42" s="6">
        <v>27016</v>
      </c>
      <c r="V42" s="2">
        <v>47037010901</v>
      </c>
      <c r="W42" s="2" t="s">
        <v>38</v>
      </c>
      <c r="X42" s="1">
        <v>45658</v>
      </c>
      <c r="Y42" s="2">
        <v>110000</v>
      </c>
      <c r="Z42" s="2">
        <v>0</v>
      </c>
      <c r="AA42" s="2">
        <v>110000</v>
      </c>
    </row>
    <row r="43" spans="1:27" x14ac:dyDescent="0.3">
      <c r="A43" s="4" t="s">
        <v>864</v>
      </c>
      <c r="B43" s="2" t="str">
        <f>"04115005700"</f>
        <v>04115005700</v>
      </c>
      <c r="C43" s="2" t="s">
        <v>1027</v>
      </c>
      <c r="D43" s="2" t="s">
        <v>29</v>
      </c>
      <c r="E43" s="2" t="s">
        <v>30</v>
      </c>
      <c r="F43" s="2">
        <v>37207</v>
      </c>
      <c r="G43" s="2" t="s">
        <v>64</v>
      </c>
      <c r="H43" t="s">
        <v>280</v>
      </c>
      <c r="I43" s="6">
        <v>41115</v>
      </c>
      <c r="J43" s="2" t="s">
        <v>1028</v>
      </c>
      <c r="K43" s="2">
        <v>0</v>
      </c>
      <c r="L43" t="s">
        <v>35</v>
      </c>
      <c r="M43" t="s">
        <v>29</v>
      </c>
      <c r="N43" t="s">
        <v>30</v>
      </c>
      <c r="O43">
        <v>37219</v>
      </c>
      <c r="P43" t="s">
        <v>1029</v>
      </c>
      <c r="Q43" s="2">
        <v>0.76</v>
      </c>
      <c r="R43" s="2">
        <v>103</v>
      </c>
      <c r="S43" s="2">
        <v>315</v>
      </c>
      <c r="T43" t="s">
        <v>1030</v>
      </c>
      <c r="U43" s="6">
        <v>25301</v>
      </c>
      <c r="V43" s="2">
        <v>47037010903</v>
      </c>
      <c r="W43" s="2" t="s">
        <v>837</v>
      </c>
      <c r="X43" s="1">
        <v>45658</v>
      </c>
      <c r="Y43" s="2">
        <v>85000</v>
      </c>
      <c r="Z43" s="2">
        <v>0</v>
      </c>
      <c r="AA43" s="2">
        <v>85000</v>
      </c>
    </row>
    <row r="44" spans="1:27" x14ac:dyDescent="0.3">
      <c r="A44" s="4" t="s">
        <v>864</v>
      </c>
      <c r="B44" s="2" t="str">
        <f>"04115005800"</f>
        <v>04115005800</v>
      </c>
      <c r="C44" s="2" t="s">
        <v>1031</v>
      </c>
      <c r="D44" s="2" t="s">
        <v>29</v>
      </c>
      <c r="E44" s="2" t="s">
        <v>30</v>
      </c>
      <c r="F44" s="2">
        <v>37207</v>
      </c>
      <c r="G44" s="2" t="s">
        <v>64</v>
      </c>
      <c r="H44" t="s">
        <v>280</v>
      </c>
      <c r="I44" s="6">
        <v>41001</v>
      </c>
      <c r="J44" s="2" t="s">
        <v>1032</v>
      </c>
      <c r="K44" s="2">
        <v>0</v>
      </c>
      <c r="L44" t="s">
        <v>35</v>
      </c>
      <c r="M44" t="s">
        <v>29</v>
      </c>
      <c r="N44" t="s">
        <v>30</v>
      </c>
      <c r="O44">
        <v>37219</v>
      </c>
      <c r="P44" t="s">
        <v>1033</v>
      </c>
      <c r="Q44" s="2">
        <v>0.8</v>
      </c>
      <c r="R44" s="2">
        <v>101</v>
      </c>
      <c r="S44" s="2">
        <v>321</v>
      </c>
      <c r="T44" t="s">
        <v>1034</v>
      </c>
      <c r="U44" s="6">
        <v>27268</v>
      </c>
      <c r="V44" s="2">
        <v>47037010903</v>
      </c>
      <c r="W44" s="2" t="s">
        <v>837</v>
      </c>
      <c r="X44" s="1">
        <v>45658</v>
      </c>
      <c r="Y44" s="2">
        <v>85000</v>
      </c>
      <c r="Z44" s="2">
        <v>0</v>
      </c>
      <c r="AA44" s="2">
        <v>85000</v>
      </c>
    </row>
    <row r="45" spans="1:27" x14ac:dyDescent="0.3">
      <c r="A45" s="4" t="s">
        <v>864</v>
      </c>
      <c r="B45" s="2" t="str">
        <f>"05104003100"</f>
        <v>05104003100</v>
      </c>
      <c r="C45" s="2" t="s">
        <v>1035</v>
      </c>
      <c r="D45" s="2" t="s">
        <v>866</v>
      </c>
      <c r="E45" s="2" t="s">
        <v>30</v>
      </c>
      <c r="F45" s="2">
        <v>37115</v>
      </c>
      <c r="G45" s="2" t="s">
        <v>64</v>
      </c>
      <c r="H45" t="s">
        <v>280</v>
      </c>
      <c r="I45" s="6">
        <v>42528</v>
      </c>
      <c r="J45" s="2" t="s">
        <v>1036</v>
      </c>
      <c r="K45" s="2">
        <v>0</v>
      </c>
      <c r="L45" t="s">
        <v>35</v>
      </c>
      <c r="M45" t="s">
        <v>29</v>
      </c>
      <c r="N45" t="s">
        <v>30</v>
      </c>
      <c r="O45">
        <v>37219</v>
      </c>
      <c r="P45" t="s">
        <v>1037</v>
      </c>
      <c r="Q45" s="2">
        <v>0.27</v>
      </c>
      <c r="R45" s="2">
        <v>60</v>
      </c>
      <c r="S45" s="2">
        <v>214</v>
      </c>
      <c r="T45" t="s">
        <v>1038</v>
      </c>
      <c r="U45" s="6">
        <v>26098</v>
      </c>
      <c r="V45" s="2">
        <v>47037010802</v>
      </c>
      <c r="W45" s="2" t="s">
        <v>837</v>
      </c>
      <c r="X45" s="1">
        <v>45658</v>
      </c>
      <c r="Y45" s="2">
        <v>97500</v>
      </c>
      <c r="Z45" s="2">
        <v>0</v>
      </c>
      <c r="AA45" s="2">
        <v>97500</v>
      </c>
    </row>
    <row r="46" spans="1:27" x14ac:dyDescent="0.3">
      <c r="A46" s="4" t="s">
        <v>864</v>
      </c>
      <c r="B46" s="2" t="str">
        <f>"05104002900"</f>
        <v>05104002900</v>
      </c>
      <c r="C46" s="2" t="s">
        <v>1039</v>
      </c>
      <c r="D46" s="2" t="s">
        <v>866</v>
      </c>
      <c r="E46" s="2" t="s">
        <v>30</v>
      </c>
      <c r="F46" s="2">
        <v>37115</v>
      </c>
      <c r="G46" s="2" t="s">
        <v>64</v>
      </c>
      <c r="H46" t="s">
        <v>280</v>
      </c>
      <c r="I46" s="6">
        <v>42552</v>
      </c>
      <c r="J46" s="2" t="s">
        <v>1040</v>
      </c>
      <c r="K46" s="2">
        <v>0</v>
      </c>
      <c r="L46" t="s">
        <v>1041</v>
      </c>
      <c r="M46" t="s">
        <v>29</v>
      </c>
      <c r="N46" t="s">
        <v>30</v>
      </c>
      <c r="O46">
        <v>37201</v>
      </c>
      <c r="P46" t="s">
        <v>1042</v>
      </c>
      <c r="Q46" s="2">
        <v>0.3</v>
      </c>
      <c r="R46" s="2">
        <v>60</v>
      </c>
      <c r="S46" s="2">
        <v>214</v>
      </c>
      <c r="T46" t="s">
        <v>1043</v>
      </c>
      <c r="U46" s="6">
        <v>24226</v>
      </c>
      <c r="V46" s="2">
        <v>47037010802</v>
      </c>
      <c r="W46" s="2" t="s">
        <v>837</v>
      </c>
      <c r="X46" s="1">
        <v>45658</v>
      </c>
      <c r="Y46" s="2">
        <v>97500</v>
      </c>
      <c r="Z46" s="2">
        <v>0</v>
      </c>
      <c r="AA46" s="2">
        <v>97500</v>
      </c>
    </row>
    <row r="47" spans="1:27" x14ac:dyDescent="0.3">
      <c r="A47" s="4" t="s">
        <v>864</v>
      </c>
      <c r="B47" s="2" t="str">
        <f>"05104002800"</f>
        <v>05104002800</v>
      </c>
      <c r="C47" s="2" t="s">
        <v>1044</v>
      </c>
      <c r="D47" s="2" t="s">
        <v>866</v>
      </c>
      <c r="E47" s="2" t="s">
        <v>30</v>
      </c>
      <c r="F47" s="2">
        <v>37115</v>
      </c>
      <c r="G47" s="2" t="s">
        <v>64</v>
      </c>
      <c r="H47" t="s">
        <v>280</v>
      </c>
      <c r="I47" s="6">
        <v>42524</v>
      </c>
      <c r="J47" s="2" t="s">
        <v>1045</v>
      </c>
      <c r="K47" s="2">
        <v>0</v>
      </c>
      <c r="L47" t="s">
        <v>35</v>
      </c>
      <c r="M47" t="s">
        <v>29</v>
      </c>
      <c r="N47" t="s">
        <v>30</v>
      </c>
      <c r="O47">
        <v>37219</v>
      </c>
      <c r="P47" t="s">
        <v>1046</v>
      </c>
      <c r="Q47" s="2">
        <v>0.35</v>
      </c>
      <c r="R47" s="2">
        <v>62</v>
      </c>
      <c r="S47" s="2">
        <v>213</v>
      </c>
      <c r="T47" t="s">
        <v>1047</v>
      </c>
      <c r="U47" s="6">
        <v>26539</v>
      </c>
      <c r="V47" s="2">
        <v>47037010802</v>
      </c>
      <c r="W47" s="2" t="s">
        <v>837</v>
      </c>
      <c r="X47" s="1">
        <v>45658</v>
      </c>
      <c r="Y47" s="2">
        <v>97500</v>
      </c>
      <c r="Z47" s="2">
        <v>0</v>
      </c>
      <c r="AA47" s="2">
        <v>97500</v>
      </c>
    </row>
    <row r="48" spans="1:27" x14ac:dyDescent="0.3">
      <c r="A48" s="4" t="s">
        <v>864</v>
      </c>
      <c r="B48" s="2" t="str">
        <f>"05104004900"</f>
        <v>05104004900</v>
      </c>
      <c r="C48" s="2" t="s">
        <v>1048</v>
      </c>
      <c r="D48" s="2" t="s">
        <v>866</v>
      </c>
      <c r="E48" s="2" t="s">
        <v>30</v>
      </c>
      <c r="F48" s="2">
        <v>37115</v>
      </c>
      <c r="G48" s="2" t="s">
        <v>64</v>
      </c>
      <c r="H48" t="s">
        <v>280</v>
      </c>
      <c r="I48" s="6">
        <v>42530</v>
      </c>
      <c r="J48" s="2" t="s">
        <v>1049</v>
      </c>
      <c r="K48" s="2">
        <v>0</v>
      </c>
      <c r="L48" t="s">
        <v>35</v>
      </c>
      <c r="M48" t="s">
        <v>29</v>
      </c>
      <c r="N48" t="s">
        <v>30</v>
      </c>
      <c r="O48">
        <v>37219</v>
      </c>
      <c r="P48" t="s">
        <v>1050</v>
      </c>
      <c r="Q48" s="2">
        <v>0.45</v>
      </c>
      <c r="R48" s="2">
        <v>60</v>
      </c>
      <c r="S48" s="2">
        <v>340</v>
      </c>
      <c r="T48" t="s">
        <v>1051</v>
      </c>
      <c r="U48" s="6">
        <v>25710</v>
      </c>
      <c r="V48" s="2">
        <v>47037010802</v>
      </c>
      <c r="W48" s="2" t="s">
        <v>837</v>
      </c>
      <c r="X48" s="1">
        <v>45658</v>
      </c>
      <c r="Y48" s="2">
        <v>97500</v>
      </c>
      <c r="Z48" s="2">
        <v>0</v>
      </c>
      <c r="AA48" s="2">
        <v>97500</v>
      </c>
    </row>
    <row r="49" spans="1:27" x14ac:dyDescent="0.3">
      <c r="A49" s="4" t="s">
        <v>864</v>
      </c>
      <c r="B49" s="2" t="str">
        <f>"05104004800"</f>
        <v>05104004800</v>
      </c>
      <c r="C49" s="2" t="s">
        <v>1052</v>
      </c>
      <c r="D49" s="2" t="s">
        <v>866</v>
      </c>
      <c r="E49" s="2" t="s">
        <v>30</v>
      </c>
      <c r="F49" s="2">
        <v>37115</v>
      </c>
      <c r="G49" s="2" t="s">
        <v>64</v>
      </c>
      <c r="H49" t="s">
        <v>280</v>
      </c>
      <c r="I49" s="6">
        <v>42552</v>
      </c>
      <c r="J49" s="2" t="s">
        <v>1053</v>
      </c>
      <c r="K49" s="2">
        <v>0</v>
      </c>
      <c r="L49" t="s">
        <v>1041</v>
      </c>
      <c r="M49" t="s">
        <v>29</v>
      </c>
      <c r="N49" t="s">
        <v>30</v>
      </c>
      <c r="O49">
        <v>37201</v>
      </c>
      <c r="P49" t="s">
        <v>1054</v>
      </c>
      <c r="Q49" s="2">
        <v>0.43</v>
      </c>
      <c r="R49" s="2">
        <v>60</v>
      </c>
      <c r="S49" s="2">
        <v>327</v>
      </c>
      <c r="T49" t="s">
        <v>1055</v>
      </c>
      <c r="U49" s="6">
        <v>21627</v>
      </c>
      <c r="V49" s="2">
        <v>47037010802</v>
      </c>
      <c r="W49" s="2" t="s">
        <v>837</v>
      </c>
      <c r="X49" s="1">
        <v>45658</v>
      </c>
      <c r="Y49" s="2">
        <v>97500</v>
      </c>
      <c r="Z49" s="2">
        <v>0</v>
      </c>
      <c r="AA49" s="2">
        <v>97500</v>
      </c>
    </row>
    <row r="50" spans="1:27" x14ac:dyDescent="0.3">
      <c r="A50" s="4" t="s">
        <v>864</v>
      </c>
      <c r="B50" s="2" t="str">
        <f>"05104005000"</f>
        <v>05104005000</v>
      </c>
      <c r="C50" s="2" t="s">
        <v>1056</v>
      </c>
      <c r="D50" s="2" t="s">
        <v>866</v>
      </c>
      <c r="E50" s="2" t="s">
        <v>30</v>
      </c>
      <c r="F50" s="2">
        <v>37115</v>
      </c>
      <c r="G50" s="2" t="s">
        <v>64</v>
      </c>
      <c r="H50" t="s">
        <v>280</v>
      </c>
      <c r="I50" s="6">
        <v>42558</v>
      </c>
      <c r="J50" s="2" t="s">
        <v>1057</v>
      </c>
      <c r="K50" s="2">
        <v>0</v>
      </c>
      <c r="L50" t="s">
        <v>1041</v>
      </c>
      <c r="M50" t="s">
        <v>29</v>
      </c>
      <c r="N50" t="s">
        <v>30</v>
      </c>
      <c r="O50">
        <v>37201</v>
      </c>
      <c r="P50" t="s">
        <v>1058</v>
      </c>
      <c r="Q50" s="2">
        <v>0.45</v>
      </c>
      <c r="R50" s="2">
        <v>60</v>
      </c>
      <c r="S50" s="2">
        <v>352</v>
      </c>
      <c r="T50" t="s">
        <v>1059</v>
      </c>
      <c r="U50" s="6">
        <v>26617</v>
      </c>
      <c r="V50" s="2">
        <v>47037010802</v>
      </c>
      <c r="W50" s="2" t="s">
        <v>837</v>
      </c>
      <c r="X50" s="1">
        <v>45658</v>
      </c>
      <c r="Y50" s="2">
        <v>97500</v>
      </c>
      <c r="Z50" s="2">
        <v>0</v>
      </c>
      <c r="AA50" s="2">
        <v>97500</v>
      </c>
    </row>
    <row r="51" spans="1:27" x14ac:dyDescent="0.3">
      <c r="A51" s="4" t="s">
        <v>864</v>
      </c>
      <c r="B51" s="2" t="str">
        <f>"05000002200"</f>
        <v>05000002200</v>
      </c>
      <c r="C51" s="2" t="s">
        <v>1060</v>
      </c>
      <c r="D51" s="2" t="s">
        <v>29</v>
      </c>
      <c r="E51" s="2" t="s">
        <v>30</v>
      </c>
      <c r="F51" s="2">
        <v>37207</v>
      </c>
      <c r="G51" s="2" t="s">
        <v>64</v>
      </c>
      <c r="H51" t="s">
        <v>280</v>
      </c>
      <c r="I51" s="6">
        <v>42074</v>
      </c>
      <c r="J51" s="2" t="s">
        <v>1061</v>
      </c>
      <c r="K51" s="2">
        <v>0</v>
      </c>
      <c r="L51" t="s">
        <v>35</v>
      </c>
      <c r="M51" t="s">
        <v>29</v>
      </c>
      <c r="N51" t="s">
        <v>30</v>
      </c>
      <c r="O51">
        <v>37219</v>
      </c>
      <c r="P51" t="s">
        <v>1062</v>
      </c>
      <c r="Q51" s="2">
        <v>7.85</v>
      </c>
      <c r="R51" s="2">
        <v>0</v>
      </c>
      <c r="S51" s="2">
        <v>0</v>
      </c>
      <c r="T51" t="s">
        <v>1063</v>
      </c>
      <c r="U51" s="6">
        <v>19977</v>
      </c>
      <c r="V51" s="2">
        <v>47037010904</v>
      </c>
      <c r="W51" s="2" t="s">
        <v>68</v>
      </c>
      <c r="X51" s="1">
        <v>45658</v>
      </c>
      <c r="Y51" s="2">
        <v>189500</v>
      </c>
      <c r="Z51" s="2">
        <v>0</v>
      </c>
      <c r="AA51" s="2">
        <v>189500</v>
      </c>
    </row>
    <row r="52" spans="1:27" x14ac:dyDescent="0.3">
      <c r="A52" s="4" t="s">
        <v>864</v>
      </c>
      <c r="B52" s="2" t="str">
        <f>"03100004900"</f>
        <v>03100004900</v>
      </c>
      <c r="C52" s="2" t="s">
        <v>1064</v>
      </c>
      <c r="D52" s="2" t="s">
        <v>103</v>
      </c>
      <c r="E52" s="2" t="s">
        <v>30</v>
      </c>
      <c r="F52" s="2">
        <v>37189</v>
      </c>
      <c r="G52" s="2" t="s">
        <v>31</v>
      </c>
      <c r="H52" t="s">
        <v>280</v>
      </c>
      <c r="I52" s="6">
        <v>40890</v>
      </c>
      <c r="J52" s="2" t="s">
        <v>1065</v>
      </c>
      <c r="K52" s="2">
        <v>0</v>
      </c>
      <c r="L52" t="s">
        <v>35</v>
      </c>
      <c r="M52" t="s">
        <v>29</v>
      </c>
      <c r="N52" t="s">
        <v>30</v>
      </c>
      <c r="O52">
        <v>37219</v>
      </c>
      <c r="P52" t="s">
        <v>1066</v>
      </c>
      <c r="Q52" s="2">
        <v>3.58</v>
      </c>
      <c r="R52" s="2">
        <v>0</v>
      </c>
      <c r="S52" s="2">
        <v>0</v>
      </c>
      <c r="T52" t="s">
        <v>1067</v>
      </c>
      <c r="U52" s="6">
        <v>26186</v>
      </c>
      <c r="V52" s="2">
        <v>47037010201</v>
      </c>
      <c r="W52" s="2" t="s">
        <v>38</v>
      </c>
      <c r="X52" s="1">
        <v>45658</v>
      </c>
      <c r="Y52" s="2">
        <v>5400</v>
      </c>
      <c r="Z52" s="2">
        <v>0</v>
      </c>
      <c r="AA52" s="2">
        <v>5400</v>
      </c>
    </row>
    <row r="53" spans="1:27" x14ac:dyDescent="0.3">
      <c r="A53" s="4" t="s">
        <v>864</v>
      </c>
      <c r="B53" s="2" t="str">
        <f>"05104017600"</f>
        <v>05104017600</v>
      </c>
      <c r="C53" s="2" t="s">
        <v>1068</v>
      </c>
      <c r="D53" s="2" t="s">
        <v>866</v>
      </c>
      <c r="E53" s="2" t="s">
        <v>30</v>
      </c>
      <c r="F53" s="2">
        <v>37115</v>
      </c>
      <c r="G53" s="2" t="s">
        <v>64</v>
      </c>
      <c r="H53" t="s">
        <v>280</v>
      </c>
      <c r="I53" s="6">
        <v>42578</v>
      </c>
      <c r="J53" s="2" t="s">
        <v>1069</v>
      </c>
      <c r="K53" s="2" t="s">
        <v>34</v>
      </c>
      <c r="L53" t="s">
        <v>343</v>
      </c>
      <c r="M53" t="s">
        <v>29</v>
      </c>
      <c r="N53" t="s">
        <v>30</v>
      </c>
      <c r="O53">
        <v>37201</v>
      </c>
      <c r="P53" t="s">
        <v>1070</v>
      </c>
      <c r="Q53" s="2">
        <v>0.71</v>
      </c>
      <c r="R53" s="2">
        <v>72</v>
      </c>
      <c r="S53" s="2">
        <v>381</v>
      </c>
      <c r="T53" t="s">
        <v>1071</v>
      </c>
      <c r="U53" s="6">
        <v>29259</v>
      </c>
      <c r="V53" s="2">
        <v>47037010802</v>
      </c>
      <c r="W53" s="2" t="s">
        <v>837</v>
      </c>
      <c r="X53" s="1">
        <v>45658</v>
      </c>
      <c r="Y53" s="2">
        <v>102400</v>
      </c>
      <c r="Z53" s="2">
        <v>0</v>
      </c>
      <c r="AA53" s="2">
        <v>102400</v>
      </c>
    </row>
    <row r="54" spans="1:27" x14ac:dyDescent="0.3">
      <c r="A54" s="4" t="s">
        <v>864</v>
      </c>
      <c r="B54" s="2" t="str">
        <f>"05108000100"</f>
        <v>05108000100</v>
      </c>
      <c r="C54" s="2" t="s">
        <v>1072</v>
      </c>
      <c r="D54" s="2" t="s">
        <v>866</v>
      </c>
      <c r="E54" s="2" t="s">
        <v>30</v>
      </c>
      <c r="F54" s="2">
        <v>37115</v>
      </c>
      <c r="G54" s="2" t="s">
        <v>64</v>
      </c>
      <c r="H54" t="s">
        <v>280</v>
      </c>
      <c r="I54" s="6">
        <v>42543</v>
      </c>
      <c r="J54" s="2" t="s">
        <v>1073</v>
      </c>
      <c r="K54" s="2">
        <v>0</v>
      </c>
      <c r="L54" t="s">
        <v>1041</v>
      </c>
      <c r="M54" t="s">
        <v>29</v>
      </c>
      <c r="N54" t="s">
        <v>30</v>
      </c>
      <c r="O54">
        <v>37201</v>
      </c>
      <c r="P54" t="s">
        <v>1074</v>
      </c>
      <c r="Q54" s="2">
        <v>1</v>
      </c>
      <c r="R54" s="2">
        <v>159</v>
      </c>
      <c r="S54" s="2">
        <v>256</v>
      </c>
      <c r="T54" t="s">
        <v>1071</v>
      </c>
      <c r="U54" s="6">
        <v>29259</v>
      </c>
      <c r="V54" s="2">
        <v>47037010802</v>
      </c>
      <c r="W54" s="2" t="s">
        <v>837</v>
      </c>
      <c r="X54" s="1">
        <v>45658</v>
      </c>
      <c r="Y54" s="2">
        <v>108800</v>
      </c>
      <c r="Z54" s="2">
        <v>0</v>
      </c>
      <c r="AA54" s="2">
        <v>108800</v>
      </c>
    </row>
    <row r="55" spans="1:27" x14ac:dyDescent="0.3">
      <c r="A55" s="4" t="s">
        <v>864</v>
      </c>
      <c r="B55" s="2" t="str">
        <f>"03100003700"</f>
        <v>03100003700</v>
      </c>
      <c r="C55" s="2" t="s">
        <v>1075</v>
      </c>
      <c r="D55" s="2" t="s">
        <v>103</v>
      </c>
      <c r="E55" s="2" t="s">
        <v>30</v>
      </c>
      <c r="F55" s="2">
        <v>37189</v>
      </c>
      <c r="G55" s="2" t="s">
        <v>31</v>
      </c>
      <c r="H55" t="s">
        <v>280</v>
      </c>
      <c r="I55" s="6">
        <v>40955</v>
      </c>
      <c r="J55" s="2" t="s">
        <v>1076</v>
      </c>
      <c r="K55" s="2">
        <v>0</v>
      </c>
      <c r="L55" t="s">
        <v>35</v>
      </c>
      <c r="M55" t="s">
        <v>29</v>
      </c>
      <c r="N55" t="s">
        <v>30</v>
      </c>
      <c r="O55">
        <v>37219</v>
      </c>
      <c r="P55" t="s">
        <v>1077</v>
      </c>
      <c r="Q55" s="2">
        <v>6.85</v>
      </c>
      <c r="R55" s="2">
        <v>0</v>
      </c>
      <c r="S55" s="2">
        <v>0</v>
      </c>
      <c r="T55" t="s">
        <v>1078</v>
      </c>
      <c r="U55" s="6">
        <v>20579</v>
      </c>
      <c r="V55" s="2">
        <v>47037010201</v>
      </c>
      <c r="W55" s="2" t="s">
        <v>38</v>
      </c>
      <c r="X55" s="1">
        <v>45658</v>
      </c>
      <c r="Y55" s="2">
        <v>170800</v>
      </c>
      <c r="Z55" s="2">
        <v>0</v>
      </c>
      <c r="AA55" s="2">
        <v>170800</v>
      </c>
    </row>
    <row r="56" spans="1:27" x14ac:dyDescent="0.3">
      <c r="A56" s="4" t="s">
        <v>864</v>
      </c>
      <c r="B56" s="2" t="str">
        <f>"03100007700"</f>
        <v>03100007700</v>
      </c>
      <c r="C56" s="2" t="s">
        <v>1079</v>
      </c>
      <c r="D56" s="2" t="s">
        <v>103</v>
      </c>
      <c r="E56" s="2" t="s">
        <v>30</v>
      </c>
      <c r="F56" s="2">
        <v>37189</v>
      </c>
      <c r="G56" s="2" t="s">
        <v>31</v>
      </c>
      <c r="H56" t="s">
        <v>280</v>
      </c>
      <c r="I56" s="6">
        <v>40897</v>
      </c>
      <c r="J56" s="2" t="s">
        <v>1080</v>
      </c>
      <c r="K56" s="2">
        <v>0</v>
      </c>
      <c r="L56" t="s">
        <v>35</v>
      </c>
      <c r="M56" t="s">
        <v>29</v>
      </c>
      <c r="N56" t="s">
        <v>30</v>
      </c>
      <c r="O56">
        <v>37219</v>
      </c>
      <c r="P56" t="s">
        <v>1081</v>
      </c>
      <c r="Q56" s="2">
        <v>2.0499999999999998</v>
      </c>
      <c r="R56" s="2">
        <v>0</v>
      </c>
      <c r="S56" s="2">
        <v>0</v>
      </c>
      <c r="T56" t="s">
        <v>1082</v>
      </c>
      <c r="U56" s="6">
        <v>26788</v>
      </c>
      <c r="V56" s="2">
        <v>47037010201</v>
      </c>
      <c r="W56" s="2" t="s">
        <v>38</v>
      </c>
      <c r="X56" s="1">
        <v>45658</v>
      </c>
      <c r="Y56" s="2">
        <v>3100</v>
      </c>
      <c r="Z56" s="2">
        <v>0</v>
      </c>
      <c r="AA56" s="2">
        <v>3100</v>
      </c>
    </row>
    <row r="57" spans="1:27" x14ac:dyDescent="0.3">
      <c r="A57" s="4" t="s">
        <v>864</v>
      </c>
      <c r="B57" s="2" t="str">
        <f>"05104003000"</f>
        <v>05104003000</v>
      </c>
      <c r="C57" s="2" t="s">
        <v>1083</v>
      </c>
      <c r="D57" s="2" t="s">
        <v>866</v>
      </c>
      <c r="E57" s="2" t="s">
        <v>30</v>
      </c>
      <c r="F57" s="2">
        <v>37115</v>
      </c>
      <c r="G57" s="2" t="s">
        <v>64</v>
      </c>
      <c r="H57" t="s">
        <v>1084</v>
      </c>
      <c r="I57" s="6">
        <v>42548</v>
      </c>
      <c r="J57" s="2" t="s">
        <v>1085</v>
      </c>
      <c r="K57" s="2">
        <v>0</v>
      </c>
      <c r="L57" t="s">
        <v>35</v>
      </c>
      <c r="M57" t="s">
        <v>29</v>
      </c>
      <c r="N57" t="s">
        <v>30</v>
      </c>
      <c r="O57">
        <v>37219</v>
      </c>
      <c r="P57" t="s">
        <v>1086</v>
      </c>
      <c r="Q57" s="2">
        <v>0.27</v>
      </c>
      <c r="R57" s="2">
        <v>60</v>
      </c>
      <c r="S57" s="2">
        <v>214</v>
      </c>
      <c r="T57" t="s">
        <v>1087</v>
      </c>
      <c r="U57" s="6">
        <v>26605</v>
      </c>
      <c r="V57" s="2">
        <v>47037010802</v>
      </c>
      <c r="W57" s="2" t="s">
        <v>837</v>
      </c>
      <c r="X57" s="1">
        <v>45658</v>
      </c>
      <c r="Y57" s="2">
        <v>97500</v>
      </c>
      <c r="Z57" s="2">
        <v>0</v>
      </c>
      <c r="AA57" s="2">
        <v>97500</v>
      </c>
    </row>
    <row r="58" spans="1:27" x14ac:dyDescent="0.3">
      <c r="A58" s="4" t="s">
        <v>864</v>
      </c>
      <c r="B58" s="2" t="str">
        <f>"05104004700"</f>
        <v>05104004700</v>
      </c>
      <c r="C58" s="2" t="s">
        <v>1088</v>
      </c>
      <c r="D58" s="2" t="s">
        <v>866</v>
      </c>
      <c r="E58" s="2" t="s">
        <v>30</v>
      </c>
      <c r="F58" s="2">
        <v>37115</v>
      </c>
      <c r="G58" s="2" t="s">
        <v>77</v>
      </c>
      <c r="H58" t="s">
        <v>1084</v>
      </c>
      <c r="I58" s="6">
        <v>42528</v>
      </c>
      <c r="J58" s="2" t="s">
        <v>1089</v>
      </c>
      <c r="K58" s="2">
        <v>0</v>
      </c>
      <c r="L58" t="s">
        <v>35</v>
      </c>
      <c r="M58" t="s">
        <v>29</v>
      </c>
      <c r="N58" t="s">
        <v>30</v>
      </c>
      <c r="O58">
        <v>37219</v>
      </c>
      <c r="P58" t="s">
        <v>1090</v>
      </c>
      <c r="Q58" s="2">
        <v>0.43</v>
      </c>
      <c r="R58" s="2">
        <v>60</v>
      </c>
      <c r="S58" s="2">
        <v>314</v>
      </c>
      <c r="T58" t="s">
        <v>1091</v>
      </c>
      <c r="U58" s="6">
        <v>24245</v>
      </c>
      <c r="V58" s="2">
        <v>47037010802</v>
      </c>
      <c r="W58" s="2" t="s">
        <v>837</v>
      </c>
      <c r="X58" s="1">
        <v>45658</v>
      </c>
      <c r="Y58" s="2">
        <v>102000</v>
      </c>
      <c r="Z58" s="2">
        <v>4500</v>
      </c>
      <c r="AA58" s="2">
        <v>97500</v>
      </c>
    </row>
    <row r="59" spans="1:27" x14ac:dyDescent="0.3">
      <c r="A59" s="4" t="s">
        <v>864</v>
      </c>
      <c r="B59" s="2" t="str">
        <f>"05000001400"</f>
        <v>05000001400</v>
      </c>
      <c r="C59" s="2" t="s">
        <v>1092</v>
      </c>
      <c r="D59" s="2" t="s">
        <v>29</v>
      </c>
      <c r="E59" s="2" t="s">
        <v>30</v>
      </c>
      <c r="F59" s="2">
        <v>37207</v>
      </c>
      <c r="G59" s="2" t="s">
        <v>64</v>
      </c>
      <c r="H59" t="s">
        <v>1084</v>
      </c>
      <c r="I59" s="6">
        <v>44922</v>
      </c>
      <c r="J59" s="2" t="s">
        <v>1093</v>
      </c>
      <c r="K59" s="2">
        <v>323000</v>
      </c>
      <c r="L59" t="s">
        <v>1041</v>
      </c>
      <c r="M59" t="s">
        <v>29</v>
      </c>
      <c r="N59" t="s">
        <v>30</v>
      </c>
      <c r="O59">
        <v>37201</v>
      </c>
      <c r="P59" t="s">
        <v>1094</v>
      </c>
      <c r="Q59" s="2">
        <v>1</v>
      </c>
      <c r="R59" s="2">
        <v>229</v>
      </c>
      <c r="S59" s="2">
        <v>180</v>
      </c>
      <c r="T59" t="s">
        <v>1095</v>
      </c>
      <c r="U59" s="6">
        <v>24777</v>
      </c>
      <c r="V59" s="2">
        <v>47037010903</v>
      </c>
      <c r="W59" s="2" t="s">
        <v>38</v>
      </c>
      <c r="X59" s="1">
        <v>45658</v>
      </c>
      <c r="Y59" s="2">
        <v>55000</v>
      </c>
      <c r="Z59" s="2">
        <v>0</v>
      </c>
      <c r="AA59" s="2">
        <v>55000</v>
      </c>
    </row>
    <row r="60" spans="1:27" x14ac:dyDescent="0.3">
      <c r="A60" s="4" t="s">
        <v>864</v>
      </c>
      <c r="B60" s="2" t="str">
        <f>"03100004800"</f>
        <v>03100004800</v>
      </c>
      <c r="C60" s="2" t="s">
        <v>1096</v>
      </c>
      <c r="D60" s="2" t="s">
        <v>103</v>
      </c>
      <c r="E60" s="2" t="s">
        <v>30</v>
      </c>
      <c r="F60" s="2">
        <v>37189</v>
      </c>
      <c r="G60" s="2" t="s">
        <v>31</v>
      </c>
      <c r="H60" t="s">
        <v>379</v>
      </c>
      <c r="I60" s="6">
        <v>44641</v>
      </c>
      <c r="J60" s="2" t="s">
        <v>1097</v>
      </c>
      <c r="K60" s="2" t="s">
        <v>34</v>
      </c>
      <c r="L60" t="s">
        <v>315</v>
      </c>
      <c r="M60" t="s">
        <v>29</v>
      </c>
      <c r="N60" t="s">
        <v>30</v>
      </c>
      <c r="O60">
        <v>37208</v>
      </c>
      <c r="P60" t="s">
        <v>1009</v>
      </c>
      <c r="Q60" s="2">
        <v>0.72</v>
      </c>
      <c r="R60" s="2">
        <v>110</v>
      </c>
      <c r="S60" s="2">
        <v>250</v>
      </c>
      <c r="T60" t="s">
        <v>1098</v>
      </c>
      <c r="U60" s="6">
        <v>25202</v>
      </c>
      <c r="V60" s="2">
        <v>47037010201</v>
      </c>
      <c r="W60" s="2" t="s">
        <v>38</v>
      </c>
      <c r="X60" s="1">
        <v>45658</v>
      </c>
      <c r="Y60" s="2">
        <v>55000</v>
      </c>
      <c r="Z60" s="2">
        <v>0</v>
      </c>
      <c r="AA60" s="2">
        <v>55000</v>
      </c>
    </row>
    <row r="61" spans="1:27" x14ac:dyDescent="0.3">
      <c r="A61" s="4" t="s">
        <v>864</v>
      </c>
      <c r="B61" s="2" t="str">
        <f>"05000010200"</f>
        <v>05000010200</v>
      </c>
      <c r="C61" s="2" t="s">
        <v>517</v>
      </c>
      <c r="D61" s="2" t="s">
        <v>29</v>
      </c>
      <c r="E61" s="2" t="s">
        <v>30</v>
      </c>
      <c r="F61" s="2">
        <v>37207</v>
      </c>
      <c r="G61" s="2" t="s">
        <v>64</v>
      </c>
      <c r="H61" t="s">
        <v>379</v>
      </c>
      <c r="I61" s="6">
        <v>42867</v>
      </c>
      <c r="J61" s="2" t="s">
        <v>1099</v>
      </c>
      <c r="K61" s="2">
        <v>0</v>
      </c>
      <c r="L61" t="s">
        <v>343</v>
      </c>
      <c r="M61" t="s">
        <v>29</v>
      </c>
      <c r="N61" t="s">
        <v>30</v>
      </c>
      <c r="O61">
        <v>37201</v>
      </c>
      <c r="P61" t="s">
        <v>1100</v>
      </c>
      <c r="Q61" s="2">
        <v>0.51</v>
      </c>
      <c r="R61" s="2">
        <v>90</v>
      </c>
      <c r="S61" s="2">
        <v>265</v>
      </c>
      <c r="T61" t="s">
        <v>1101</v>
      </c>
      <c r="U61" s="6">
        <v>27526</v>
      </c>
      <c r="V61" s="2">
        <v>47037010903</v>
      </c>
      <c r="W61" s="2" t="s">
        <v>38</v>
      </c>
      <c r="X61" s="1">
        <v>45658</v>
      </c>
      <c r="Y61" s="2">
        <v>37500</v>
      </c>
      <c r="Z61" s="2">
        <v>0</v>
      </c>
      <c r="AA61" s="2">
        <v>37500</v>
      </c>
    </row>
    <row r="62" spans="1:27" x14ac:dyDescent="0.3">
      <c r="A62" s="4" t="s">
        <v>864</v>
      </c>
      <c r="B62" s="2" t="str">
        <f>"05000001500"</f>
        <v>05000001500</v>
      </c>
      <c r="C62" s="2" t="s">
        <v>1102</v>
      </c>
      <c r="D62" s="2" t="s">
        <v>29</v>
      </c>
      <c r="E62" s="2" t="s">
        <v>30</v>
      </c>
      <c r="F62" s="2">
        <v>37207</v>
      </c>
      <c r="G62" s="2" t="s">
        <v>194</v>
      </c>
      <c r="H62" t="s">
        <v>379</v>
      </c>
      <c r="I62" s="6">
        <v>45145</v>
      </c>
      <c r="J62" s="2" t="s">
        <v>1103</v>
      </c>
      <c r="K62" s="2" t="s">
        <v>34</v>
      </c>
      <c r="L62" t="s">
        <v>1104</v>
      </c>
      <c r="M62" t="s">
        <v>29</v>
      </c>
      <c r="N62" t="s">
        <v>30</v>
      </c>
      <c r="O62">
        <v>37203</v>
      </c>
      <c r="P62" t="s">
        <v>1094</v>
      </c>
      <c r="Q62" s="2">
        <v>0.8</v>
      </c>
      <c r="R62" s="2">
        <v>337</v>
      </c>
      <c r="S62" s="2">
        <v>170</v>
      </c>
      <c r="T62" t="s">
        <v>1105</v>
      </c>
      <c r="U62" s="6">
        <v>34276</v>
      </c>
      <c r="V62" s="2">
        <v>47037010903</v>
      </c>
      <c r="W62" s="2" t="s">
        <v>38</v>
      </c>
      <c r="X62" s="1">
        <v>45658</v>
      </c>
      <c r="Y62" s="2">
        <v>90000</v>
      </c>
      <c r="Z62" s="2">
        <v>0</v>
      </c>
      <c r="AA62" s="2">
        <v>90000</v>
      </c>
    </row>
    <row r="63" spans="1:27" x14ac:dyDescent="0.3">
      <c r="A63" s="4" t="s">
        <v>864</v>
      </c>
      <c r="B63" s="2" t="str">
        <f>"05000001300"</f>
        <v>05000001300</v>
      </c>
      <c r="C63" s="2" t="s">
        <v>1106</v>
      </c>
      <c r="D63" s="2" t="s">
        <v>29</v>
      </c>
      <c r="E63" s="2" t="s">
        <v>30</v>
      </c>
      <c r="F63" s="2">
        <v>37207</v>
      </c>
      <c r="G63" s="2" t="s">
        <v>64</v>
      </c>
      <c r="H63" t="s">
        <v>379</v>
      </c>
      <c r="I63" s="6">
        <v>44532</v>
      </c>
      <c r="J63" s="2" t="s">
        <v>1107</v>
      </c>
      <c r="K63" s="2" t="s">
        <v>34</v>
      </c>
      <c r="L63" t="s">
        <v>315</v>
      </c>
      <c r="M63" t="s">
        <v>29</v>
      </c>
      <c r="N63" t="s">
        <v>30</v>
      </c>
      <c r="O63">
        <v>37208</v>
      </c>
      <c r="P63" t="s">
        <v>1094</v>
      </c>
      <c r="Q63" s="2">
        <v>0.48</v>
      </c>
      <c r="R63" s="2">
        <v>87</v>
      </c>
      <c r="S63" s="2">
        <v>268</v>
      </c>
      <c r="T63" t="s">
        <v>1108</v>
      </c>
      <c r="U63" s="6">
        <v>25426</v>
      </c>
      <c r="V63" s="2">
        <v>47037010903</v>
      </c>
      <c r="W63" s="2" t="s">
        <v>38</v>
      </c>
      <c r="X63" s="1">
        <v>45658</v>
      </c>
      <c r="Y63" s="2">
        <v>75000</v>
      </c>
      <c r="Z63" s="2">
        <v>0</v>
      </c>
      <c r="AA63" s="2">
        <v>75000</v>
      </c>
    </row>
    <row r="64" spans="1:27" x14ac:dyDescent="0.3">
      <c r="A64" s="4" t="s">
        <v>864</v>
      </c>
      <c r="B64" s="2" t="str">
        <f>"05000001200"</f>
        <v>05000001200</v>
      </c>
      <c r="C64" s="2" t="s">
        <v>1109</v>
      </c>
      <c r="D64" s="2" t="s">
        <v>29</v>
      </c>
      <c r="E64" s="2" t="s">
        <v>30</v>
      </c>
      <c r="F64" s="2">
        <v>37207</v>
      </c>
      <c r="G64" s="2" t="s">
        <v>64</v>
      </c>
      <c r="H64" t="s">
        <v>379</v>
      </c>
      <c r="I64" s="6">
        <v>42867</v>
      </c>
      <c r="J64" s="2" t="s">
        <v>1099</v>
      </c>
      <c r="K64" s="2" t="s">
        <v>34</v>
      </c>
      <c r="L64" t="s">
        <v>343</v>
      </c>
      <c r="M64" t="s">
        <v>29</v>
      </c>
      <c r="N64" t="s">
        <v>30</v>
      </c>
      <c r="O64">
        <v>37201</v>
      </c>
      <c r="P64" t="s">
        <v>1094</v>
      </c>
      <c r="Q64" s="2">
        <v>1.1000000000000001</v>
      </c>
      <c r="R64" s="2">
        <v>0</v>
      </c>
      <c r="S64" s="2">
        <v>0</v>
      </c>
      <c r="T64" t="s">
        <v>1110</v>
      </c>
      <c r="U64" s="6">
        <v>22160</v>
      </c>
      <c r="V64" s="2">
        <v>47037010903</v>
      </c>
      <c r="W64" s="2" t="s">
        <v>38</v>
      </c>
      <c r="X64" s="1">
        <v>45658</v>
      </c>
      <c r="Y64" s="2">
        <v>60500</v>
      </c>
      <c r="Z64" s="2">
        <v>0</v>
      </c>
      <c r="AA64" s="2">
        <v>60500</v>
      </c>
    </row>
    <row r="65" spans="1:27" x14ac:dyDescent="0.3">
      <c r="A65" s="4" t="s">
        <v>864</v>
      </c>
      <c r="B65" s="2" t="str">
        <f>"05108000200"</f>
        <v>05108000200</v>
      </c>
      <c r="C65" s="2" t="s">
        <v>1111</v>
      </c>
      <c r="D65" s="2" t="s">
        <v>866</v>
      </c>
      <c r="E65" s="2" t="s">
        <v>30</v>
      </c>
      <c r="F65" s="2">
        <v>37115</v>
      </c>
      <c r="G65" s="2" t="s">
        <v>64</v>
      </c>
      <c r="H65" t="s">
        <v>379</v>
      </c>
      <c r="I65" s="6">
        <v>42591</v>
      </c>
      <c r="J65" s="2" t="s">
        <v>1112</v>
      </c>
      <c r="K65" s="2">
        <v>0</v>
      </c>
      <c r="L65" t="s">
        <v>343</v>
      </c>
      <c r="M65" t="s">
        <v>29</v>
      </c>
      <c r="N65" t="s">
        <v>30</v>
      </c>
      <c r="O65">
        <v>37201</v>
      </c>
      <c r="P65" t="s">
        <v>1113</v>
      </c>
      <c r="Q65" s="2">
        <v>0.71</v>
      </c>
      <c r="R65" s="2">
        <v>100</v>
      </c>
      <c r="S65" s="2">
        <v>266</v>
      </c>
      <c r="T65" t="s">
        <v>1114</v>
      </c>
      <c r="U65" s="6">
        <v>19315</v>
      </c>
      <c r="V65" s="2">
        <v>47037010802</v>
      </c>
      <c r="W65" s="2" t="s">
        <v>837</v>
      </c>
      <c r="X65" s="1">
        <v>45658</v>
      </c>
      <c r="Y65" s="2">
        <v>102400</v>
      </c>
      <c r="Z65" s="2">
        <v>0</v>
      </c>
      <c r="AA65" s="2">
        <v>102400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BC46-30D8-466B-B788-32B781CE5AD6}">
  <sheetPr>
    <tabColor rgb="FF002060"/>
  </sheetPr>
  <dimension ref="A1:AA10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4" t="s">
        <v>1115</v>
      </c>
      <c r="B2" s="2" t="str">
        <f>"17200026800"</f>
        <v>17200026800</v>
      </c>
      <c r="C2" s="2" t="s">
        <v>1116</v>
      </c>
      <c r="D2" t="s">
        <v>1117</v>
      </c>
      <c r="E2" s="2" t="s">
        <v>30</v>
      </c>
      <c r="F2" s="2">
        <v>37027</v>
      </c>
      <c r="G2" s="2" t="s">
        <v>41</v>
      </c>
      <c r="H2" t="s">
        <v>32</v>
      </c>
      <c r="I2" s="6">
        <v>43678</v>
      </c>
      <c r="J2" s="2" t="s">
        <v>1118</v>
      </c>
      <c r="K2" s="2" t="s">
        <v>34</v>
      </c>
      <c r="L2" t="s">
        <v>1119</v>
      </c>
      <c r="M2" t="s">
        <v>29</v>
      </c>
      <c r="N2" t="s">
        <v>30</v>
      </c>
      <c r="O2">
        <v>37201</v>
      </c>
      <c r="P2" t="s">
        <v>1120</v>
      </c>
      <c r="Q2" s="2">
        <v>7.63</v>
      </c>
      <c r="R2" s="2">
        <v>474</v>
      </c>
      <c r="S2" s="2">
        <v>724</v>
      </c>
      <c r="T2" t="s">
        <v>1121</v>
      </c>
      <c r="U2" s="6">
        <v>43385</v>
      </c>
      <c r="V2" s="2">
        <v>47037018804</v>
      </c>
      <c r="W2" s="2" t="s">
        <v>68</v>
      </c>
      <c r="X2" s="1">
        <v>45658</v>
      </c>
      <c r="Y2" s="2">
        <v>1526000</v>
      </c>
      <c r="Z2" s="2">
        <v>0</v>
      </c>
      <c r="AA2" s="2">
        <v>1526000</v>
      </c>
    </row>
    <row r="3" spans="1:27" x14ac:dyDescent="0.3">
      <c r="A3" s="4" t="s">
        <v>1115</v>
      </c>
      <c r="B3" s="2" t="str">
        <f>"161100A00100CO"</f>
        <v>161100A00100CO</v>
      </c>
      <c r="C3" s="2" t="s">
        <v>1122</v>
      </c>
      <c r="D3" t="s">
        <v>29</v>
      </c>
      <c r="E3" s="2" t="s">
        <v>30</v>
      </c>
      <c r="F3" s="2">
        <v>37211</v>
      </c>
      <c r="G3" s="2" t="s">
        <v>64</v>
      </c>
      <c r="H3" t="s">
        <v>99</v>
      </c>
      <c r="I3" s="6">
        <v>41626</v>
      </c>
      <c r="J3" s="2" t="s">
        <v>1123</v>
      </c>
      <c r="K3" s="2">
        <v>558</v>
      </c>
      <c r="L3" t="s">
        <v>35</v>
      </c>
      <c r="M3" t="s">
        <v>29</v>
      </c>
      <c r="N3" t="s">
        <v>30</v>
      </c>
      <c r="O3">
        <v>37219</v>
      </c>
      <c r="P3" t="s">
        <v>1124</v>
      </c>
      <c r="Q3" s="2">
        <v>0.08</v>
      </c>
      <c r="R3" s="2">
        <v>20</v>
      </c>
      <c r="S3" s="2">
        <v>154</v>
      </c>
      <c r="T3" t="s">
        <v>1125</v>
      </c>
      <c r="U3" s="6">
        <v>30582</v>
      </c>
      <c r="V3" s="2">
        <v>47037019106</v>
      </c>
      <c r="W3" s="2" t="s">
        <v>68</v>
      </c>
      <c r="X3" s="1">
        <v>45658</v>
      </c>
      <c r="Y3" s="2">
        <v>100</v>
      </c>
      <c r="Z3" s="2">
        <v>0</v>
      </c>
      <c r="AA3" s="2">
        <v>100</v>
      </c>
    </row>
    <row r="4" spans="1:27" x14ac:dyDescent="0.3">
      <c r="A4" s="4" t="s">
        <v>1115</v>
      </c>
      <c r="B4" s="2" t="str">
        <f>"17200020100"</f>
        <v>17200020100</v>
      </c>
      <c r="C4" s="2" t="s">
        <v>1126</v>
      </c>
      <c r="D4" t="s">
        <v>1117</v>
      </c>
      <c r="E4" s="2" t="s">
        <v>30</v>
      </c>
      <c r="F4" s="2">
        <v>37027</v>
      </c>
      <c r="G4" s="2" t="s">
        <v>64</v>
      </c>
      <c r="H4" t="s">
        <v>99</v>
      </c>
      <c r="I4" s="6">
        <v>43865</v>
      </c>
      <c r="J4" s="2" t="s">
        <v>1127</v>
      </c>
      <c r="K4" s="2">
        <v>460</v>
      </c>
      <c r="L4" t="s">
        <v>893</v>
      </c>
      <c r="M4" t="s">
        <v>29</v>
      </c>
      <c r="N4" t="s">
        <v>30</v>
      </c>
      <c r="O4">
        <v>37219</v>
      </c>
      <c r="P4" t="s">
        <v>1128</v>
      </c>
      <c r="Q4" s="2">
        <v>0.23</v>
      </c>
      <c r="R4" s="2">
        <v>0</v>
      </c>
      <c r="S4" s="2">
        <v>178</v>
      </c>
      <c r="T4" t="s">
        <v>1129</v>
      </c>
      <c r="U4" s="6">
        <v>33126</v>
      </c>
      <c r="V4" s="2">
        <v>47037018804</v>
      </c>
      <c r="W4" s="2" t="s">
        <v>68</v>
      </c>
      <c r="X4" s="1">
        <v>45658</v>
      </c>
      <c r="Y4" s="2">
        <v>15300</v>
      </c>
      <c r="Z4" s="2">
        <v>0</v>
      </c>
      <c r="AA4" s="2">
        <v>15300</v>
      </c>
    </row>
    <row r="5" spans="1:27" x14ac:dyDescent="0.3">
      <c r="A5" s="4" t="s">
        <v>1115</v>
      </c>
      <c r="B5" s="2" t="str">
        <f>"16100026600"</f>
        <v>16100026600</v>
      </c>
      <c r="C5" s="2" t="s">
        <v>1130</v>
      </c>
      <c r="D5" t="s">
        <v>29</v>
      </c>
      <c r="E5" s="2" t="s">
        <v>30</v>
      </c>
      <c r="F5" s="2">
        <v>37211</v>
      </c>
      <c r="G5" s="2" t="s">
        <v>147</v>
      </c>
      <c r="H5" t="s">
        <v>1131</v>
      </c>
      <c r="I5" s="6">
        <v>33660</v>
      </c>
      <c r="J5" s="2" t="s">
        <v>1132</v>
      </c>
      <c r="K5" s="2">
        <v>200000</v>
      </c>
      <c r="L5" t="s">
        <v>35</v>
      </c>
      <c r="M5" t="s">
        <v>29</v>
      </c>
      <c r="N5" t="s">
        <v>30</v>
      </c>
      <c r="O5">
        <v>37219</v>
      </c>
      <c r="P5" t="s">
        <v>1133</v>
      </c>
      <c r="Q5" s="2">
        <v>1.25</v>
      </c>
      <c r="R5" s="2">
        <v>203</v>
      </c>
      <c r="S5" s="2">
        <v>210</v>
      </c>
      <c r="T5" t="s">
        <v>1134</v>
      </c>
      <c r="U5" s="6">
        <v>33434</v>
      </c>
      <c r="V5" s="2">
        <v>47037019106</v>
      </c>
      <c r="W5" s="2" t="s">
        <v>68</v>
      </c>
      <c r="X5" s="1">
        <v>45658</v>
      </c>
      <c r="Y5" s="2">
        <v>1633500</v>
      </c>
      <c r="Z5" s="2">
        <v>0</v>
      </c>
      <c r="AA5" s="2">
        <v>1633500</v>
      </c>
    </row>
    <row r="6" spans="1:27" x14ac:dyDescent="0.3">
      <c r="A6" s="4" t="s">
        <v>1115</v>
      </c>
      <c r="B6" s="2" t="str">
        <f>"17200009400"</f>
        <v>17200009400</v>
      </c>
      <c r="C6" s="2" t="s">
        <v>1135</v>
      </c>
      <c r="D6" t="s">
        <v>29</v>
      </c>
      <c r="E6" s="2" t="s">
        <v>30</v>
      </c>
      <c r="F6" s="2">
        <v>37211</v>
      </c>
      <c r="G6" s="2" t="s">
        <v>253</v>
      </c>
      <c r="H6" t="s">
        <v>1136</v>
      </c>
      <c r="I6" s="6">
        <v>37314</v>
      </c>
      <c r="J6" s="2" t="s">
        <v>1137</v>
      </c>
      <c r="K6" s="2">
        <v>1100000</v>
      </c>
      <c r="L6" t="s">
        <v>35</v>
      </c>
      <c r="M6" t="s">
        <v>29</v>
      </c>
      <c r="N6" t="s">
        <v>30</v>
      </c>
      <c r="O6">
        <v>37219</v>
      </c>
      <c r="P6" t="s">
        <v>1138</v>
      </c>
      <c r="Q6" s="2">
        <v>27.74</v>
      </c>
      <c r="R6" s="2">
        <v>920</v>
      </c>
      <c r="S6" s="2">
        <v>0</v>
      </c>
      <c r="T6" t="s">
        <v>1139</v>
      </c>
      <c r="U6" s="6">
        <v>42948</v>
      </c>
      <c r="V6" s="2">
        <v>47037019115</v>
      </c>
      <c r="W6" s="2" t="s">
        <v>38</v>
      </c>
      <c r="X6" s="1">
        <v>45658</v>
      </c>
      <c r="Y6" s="2">
        <v>1101700</v>
      </c>
      <c r="Z6" s="2">
        <v>0</v>
      </c>
      <c r="AA6" s="2">
        <v>1101700</v>
      </c>
    </row>
    <row r="7" spans="1:27" x14ac:dyDescent="0.3">
      <c r="A7" s="4" t="s">
        <v>1115</v>
      </c>
      <c r="B7" s="2" t="str">
        <f>"172080B10500CO"</f>
        <v>172080B10500CO</v>
      </c>
      <c r="C7" s="2" t="s">
        <v>1140</v>
      </c>
      <c r="D7" t="s">
        <v>29</v>
      </c>
      <c r="E7" s="2" t="s">
        <v>30</v>
      </c>
      <c r="F7" s="2">
        <v>37211</v>
      </c>
      <c r="G7" s="2" t="s">
        <v>64</v>
      </c>
      <c r="H7" t="s">
        <v>280</v>
      </c>
      <c r="I7" s="6">
        <v>34372</v>
      </c>
      <c r="J7" s="2" t="s">
        <v>1141</v>
      </c>
      <c r="K7" s="2" t="s">
        <v>34</v>
      </c>
      <c r="L7" t="s">
        <v>35</v>
      </c>
      <c r="M7" t="s">
        <v>29</v>
      </c>
      <c r="N7" t="s">
        <v>30</v>
      </c>
      <c r="O7">
        <v>37219</v>
      </c>
      <c r="P7" t="s">
        <v>1142</v>
      </c>
      <c r="Q7" s="2">
        <v>0.03</v>
      </c>
      <c r="R7" s="2">
        <v>45</v>
      </c>
      <c r="S7" s="2">
        <v>34</v>
      </c>
      <c r="T7" t="s">
        <v>1143</v>
      </c>
      <c r="U7" s="6">
        <v>32321</v>
      </c>
      <c r="V7" s="2">
        <v>47037019116</v>
      </c>
      <c r="W7" s="2" t="s">
        <v>68</v>
      </c>
      <c r="X7" s="1">
        <v>45658</v>
      </c>
      <c r="Y7" s="2">
        <v>500</v>
      </c>
      <c r="Z7" s="2">
        <v>0</v>
      </c>
      <c r="AA7" s="2">
        <v>500</v>
      </c>
    </row>
    <row r="8" spans="1:27" x14ac:dyDescent="0.3">
      <c r="A8" s="4" t="s">
        <v>1115</v>
      </c>
      <c r="B8" s="2" t="str">
        <f>"17200025800"</f>
        <v>17200025800</v>
      </c>
      <c r="C8" s="2" t="s">
        <v>1144</v>
      </c>
      <c r="D8" t="s">
        <v>29</v>
      </c>
      <c r="E8" s="2" t="s">
        <v>30</v>
      </c>
      <c r="F8" s="2">
        <v>37211</v>
      </c>
      <c r="G8" s="2" t="s">
        <v>64</v>
      </c>
      <c r="H8" t="s">
        <v>280</v>
      </c>
      <c r="I8" s="6">
        <v>37327</v>
      </c>
      <c r="J8" s="2" t="s">
        <v>1145</v>
      </c>
      <c r="K8" s="2">
        <v>363000</v>
      </c>
      <c r="L8" t="s">
        <v>35</v>
      </c>
      <c r="M8" t="s">
        <v>29</v>
      </c>
      <c r="N8" t="s">
        <v>30</v>
      </c>
      <c r="O8">
        <v>37219</v>
      </c>
      <c r="P8" t="s">
        <v>1146</v>
      </c>
      <c r="Q8" s="2">
        <v>6.93</v>
      </c>
      <c r="R8" s="2">
        <v>0</v>
      </c>
      <c r="S8" s="2">
        <v>0</v>
      </c>
      <c r="T8" t="s">
        <v>1147</v>
      </c>
      <c r="U8" s="6">
        <v>37327</v>
      </c>
      <c r="V8" s="2">
        <v>47037019116</v>
      </c>
      <c r="W8" s="2" t="s">
        <v>68</v>
      </c>
      <c r="X8" s="1">
        <v>45658</v>
      </c>
      <c r="Y8" s="2">
        <v>221800</v>
      </c>
      <c r="Z8" s="2">
        <v>0</v>
      </c>
      <c r="AA8" s="2">
        <v>221800</v>
      </c>
    </row>
    <row r="9" spans="1:27" x14ac:dyDescent="0.3">
      <c r="A9" s="4" t="s">
        <v>1115</v>
      </c>
      <c r="B9" s="2" t="str">
        <f>"18100000600"</f>
        <v>18100000600</v>
      </c>
      <c r="C9" s="2" t="s">
        <v>1148</v>
      </c>
      <c r="D9" t="s">
        <v>1117</v>
      </c>
      <c r="E9" s="2" t="s">
        <v>30</v>
      </c>
      <c r="F9" s="2">
        <v>37027</v>
      </c>
      <c r="G9" s="2" t="s">
        <v>31</v>
      </c>
      <c r="H9" t="s">
        <v>379</v>
      </c>
      <c r="I9" s="6">
        <v>43794</v>
      </c>
      <c r="J9" s="2" t="s">
        <v>1149</v>
      </c>
      <c r="K9" s="2" t="s">
        <v>34</v>
      </c>
      <c r="L9" t="s">
        <v>315</v>
      </c>
      <c r="M9" t="s">
        <v>29</v>
      </c>
      <c r="N9" t="s">
        <v>30</v>
      </c>
      <c r="O9">
        <v>37208</v>
      </c>
      <c r="P9" t="s">
        <v>1150</v>
      </c>
      <c r="Q9" s="2">
        <v>1.93</v>
      </c>
      <c r="R9" s="2">
        <v>210</v>
      </c>
      <c r="S9" s="2">
        <v>446</v>
      </c>
      <c r="T9" t="s">
        <v>1151</v>
      </c>
      <c r="U9" s="6">
        <v>45065</v>
      </c>
      <c r="V9" s="2">
        <v>47037019115</v>
      </c>
      <c r="W9" s="2" t="s">
        <v>38</v>
      </c>
      <c r="X9" s="1">
        <v>45658</v>
      </c>
      <c r="Y9" s="2">
        <v>290100</v>
      </c>
      <c r="Z9" s="2">
        <v>0</v>
      </c>
      <c r="AA9" s="2">
        <v>290100</v>
      </c>
    </row>
    <row r="10" spans="1:27" x14ac:dyDescent="0.3">
      <c r="A10" s="4" t="s">
        <v>1115</v>
      </c>
      <c r="B10" s="2" t="str">
        <f>"18100010200"</f>
        <v>18100010200</v>
      </c>
      <c r="C10" s="2" t="s">
        <v>1152</v>
      </c>
      <c r="D10" t="s">
        <v>1117</v>
      </c>
      <c r="E10" s="2" t="s">
        <v>30</v>
      </c>
      <c r="F10" s="2">
        <v>37027</v>
      </c>
      <c r="G10" s="2" t="s">
        <v>1153</v>
      </c>
      <c r="H10" t="s">
        <v>379</v>
      </c>
      <c r="I10" s="6">
        <v>43691</v>
      </c>
      <c r="J10" s="2" t="s">
        <v>1154</v>
      </c>
      <c r="K10" s="2" t="s">
        <v>34</v>
      </c>
      <c r="L10" t="s">
        <v>315</v>
      </c>
      <c r="M10" t="s">
        <v>29</v>
      </c>
      <c r="N10" t="s">
        <v>30</v>
      </c>
      <c r="O10">
        <v>37208</v>
      </c>
      <c r="P10" t="s">
        <v>1155</v>
      </c>
      <c r="Q10" s="2">
        <v>3.23</v>
      </c>
      <c r="R10" s="2">
        <v>117</v>
      </c>
      <c r="S10" s="2">
        <v>0</v>
      </c>
      <c r="T10" t="s">
        <v>1156</v>
      </c>
      <c r="U10" s="6">
        <v>45065</v>
      </c>
      <c r="V10" s="2">
        <v>47037019115</v>
      </c>
      <c r="W10" s="2" t="s">
        <v>38</v>
      </c>
      <c r="X10" s="1">
        <v>45658</v>
      </c>
      <c r="Y10" s="2">
        <v>319800</v>
      </c>
      <c r="Z10" s="2">
        <v>0</v>
      </c>
      <c r="AA10" s="2">
        <v>319800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54C3-7A3C-4315-912B-6E61C2DA8266}">
  <sheetPr>
    <tabColor rgb="FF002060"/>
  </sheetPr>
  <dimension ref="A1:AA82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4" t="s">
        <v>1157</v>
      </c>
      <c r="B2" s="2" t="str">
        <f>"08204023000"</f>
        <v>08204023000</v>
      </c>
      <c r="C2" s="2" t="s">
        <v>1158</v>
      </c>
      <c r="D2" t="s">
        <v>29</v>
      </c>
      <c r="E2" s="2" t="s">
        <v>30</v>
      </c>
      <c r="F2" s="2">
        <v>37206</v>
      </c>
      <c r="G2" s="2" t="s">
        <v>64</v>
      </c>
      <c r="H2" t="s">
        <v>32</v>
      </c>
      <c r="I2" s="6">
        <v>42299</v>
      </c>
      <c r="J2" s="2" t="s">
        <v>1159</v>
      </c>
      <c r="K2" s="2" t="s">
        <v>34</v>
      </c>
      <c r="L2" t="s">
        <v>893</v>
      </c>
      <c r="M2" t="s">
        <v>29</v>
      </c>
      <c r="N2" t="s">
        <v>30</v>
      </c>
      <c r="O2">
        <v>37219</v>
      </c>
      <c r="P2" t="s">
        <v>1160</v>
      </c>
      <c r="Q2" s="2">
        <v>0.14000000000000001</v>
      </c>
      <c r="R2" s="2">
        <v>50</v>
      </c>
      <c r="S2" s="2">
        <v>133</v>
      </c>
      <c r="T2" t="s">
        <v>1161</v>
      </c>
      <c r="U2" s="6">
        <v>27039</v>
      </c>
      <c r="V2" s="2">
        <v>47037011700</v>
      </c>
      <c r="W2" s="2" t="s">
        <v>68</v>
      </c>
      <c r="X2" s="1">
        <v>45658</v>
      </c>
      <c r="Y2" s="2">
        <v>135000</v>
      </c>
      <c r="Z2" s="2">
        <v>0</v>
      </c>
      <c r="AA2" s="2">
        <v>135000</v>
      </c>
    </row>
    <row r="3" spans="1:27" x14ac:dyDescent="0.3">
      <c r="A3" s="4" t="s">
        <v>1157</v>
      </c>
      <c r="B3" s="2" t="str">
        <f>"08204027600"</f>
        <v>08204027600</v>
      </c>
      <c r="C3" s="2" t="s">
        <v>1162</v>
      </c>
      <c r="D3" t="s">
        <v>29</v>
      </c>
      <c r="E3" s="2" t="s">
        <v>30</v>
      </c>
      <c r="F3" s="2">
        <v>37206</v>
      </c>
      <c r="G3" s="2" t="s">
        <v>64</v>
      </c>
      <c r="H3" t="s">
        <v>32</v>
      </c>
      <c r="I3" s="6">
        <v>41722</v>
      </c>
      <c r="J3" s="2" t="s">
        <v>1163</v>
      </c>
      <c r="K3" s="2" t="s">
        <v>34</v>
      </c>
      <c r="L3" t="s">
        <v>35</v>
      </c>
      <c r="M3" t="s">
        <v>29</v>
      </c>
      <c r="N3" t="s">
        <v>30</v>
      </c>
      <c r="O3">
        <v>37219</v>
      </c>
      <c r="P3" t="s">
        <v>1164</v>
      </c>
      <c r="Q3" s="2">
        <v>0.02</v>
      </c>
      <c r="R3" s="2">
        <v>49</v>
      </c>
      <c r="S3" s="2">
        <v>56</v>
      </c>
      <c r="T3" t="s">
        <v>1165</v>
      </c>
      <c r="U3" s="6">
        <v>17429</v>
      </c>
      <c r="V3" s="2">
        <v>47037011700</v>
      </c>
      <c r="W3" s="2" t="s">
        <v>68</v>
      </c>
      <c r="X3" s="1">
        <v>45658</v>
      </c>
      <c r="Y3" s="2">
        <v>4000</v>
      </c>
      <c r="Z3" s="2">
        <v>0</v>
      </c>
      <c r="AA3" s="2">
        <v>4000</v>
      </c>
    </row>
    <row r="4" spans="1:27" x14ac:dyDescent="0.3">
      <c r="A4" s="4" t="s">
        <v>1157</v>
      </c>
      <c r="B4" s="2" t="str">
        <f>"08204036000"</f>
        <v>08204036000</v>
      </c>
      <c r="C4" s="2" t="s">
        <v>1166</v>
      </c>
      <c r="D4" t="s">
        <v>29</v>
      </c>
      <c r="E4" s="2" t="s">
        <v>30</v>
      </c>
      <c r="F4" s="2">
        <v>37206</v>
      </c>
      <c r="G4" s="2" t="s">
        <v>64</v>
      </c>
      <c r="H4" t="s">
        <v>99</v>
      </c>
      <c r="I4" s="6">
        <v>27991</v>
      </c>
      <c r="J4" s="2" t="s">
        <v>1167</v>
      </c>
      <c r="K4" s="2">
        <v>313</v>
      </c>
      <c r="L4" t="s">
        <v>35</v>
      </c>
      <c r="M4" t="s">
        <v>29</v>
      </c>
      <c r="N4" t="s">
        <v>30</v>
      </c>
      <c r="O4">
        <v>37219</v>
      </c>
      <c r="P4" t="s">
        <v>1168</v>
      </c>
      <c r="Q4" s="2">
        <v>0.01</v>
      </c>
      <c r="R4" s="2">
        <v>47</v>
      </c>
      <c r="S4" s="2">
        <v>43</v>
      </c>
      <c r="T4" t="s">
        <v>1169</v>
      </c>
      <c r="U4" s="6">
        <v>8105</v>
      </c>
      <c r="V4" s="2">
        <v>47037011700</v>
      </c>
      <c r="W4" s="2" t="s">
        <v>68</v>
      </c>
      <c r="X4" s="1">
        <v>45658</v>
      </c>
      <c r="Y4" s="2">
        <v>2800</v>
      </c>
      <c r="Z4" s="2">
        <v>0</v>
      </c>
      <c r="AA4" s="2">
        <v>2800</v>
      </c>
    </row>
    <row r="5" spans="1:27" x14ac:dyDescent="0.3">
      <c r="A5" s="4" t="s">
        <v>1157</v>
      </c>
      <c r="B5" s="2" t="str">
        <f>"06016012000"</f>
        <v>06016012000</v>
      </c>
      <c r="C5" s="2" t="s">
        <v>1170</v>
      </c>
      <c r="D5" t="s">
        <v>29</v>
      </c>
      <c r="E5" s="2" t="s">
        <v>30</v>
      </c>
      <c r="F5" s="2">
        <v>37207</v>
      </c>
      <c r="G5" s="2" t="s">
        <v>64</v>
      </c>
      <c r="H5" t="s">
        <v>99</v>
      </c>
      <c r="I5" s="6">
        <v>29050</v>
      </c>
      <c r="J5" s="2" t="s">
        <v>1171</v>
      </c>
      <c r="K5" s="2">
        <v>135</v>
      </c>
      <c r="L5" t="s">
        <v>35</v>
      </c>
      <c r="M5" t="s">
        <v>29</v>
      </c>
      <c r="N5" t="s">
        <v>30</v>
      </c>
      <c r="O5">
        <v>37219</v>
      </c>
      <c r="P5" t="s">
        <v>1172</v>
      </c>
      <c r="Q5" s="2">
        <v>0.01</v>
      </c>
      <c r="R5" s="2">
        <v>2</v>
      </c>
      <c r="S5" s="2">
        <v>217</v>
      </c>
      <c r="T5" t="s">
        <v>278</v>
      </c>
      <c r="U5" s="6">
        <v>35797</v>
      </c>
      <c r="V5" s="2">
        <v>47037011001</v>
      </c>
      <c r="W5" s="2" t="s">
        <v>68</v>
      </c>
      <c r="X5" s="1">
        <v>45658</v>
      </c>
      <c r="Y5" s="2">
        <v>100</v>
      </c>
      <c r="Z5" s="2">
        <v>0</v>
      </c>
      <c r="AA5" s="2">
        <v>100</v>
      </c>
    </row>
    <row r="6" spans="1:27" x14ac:dyDescent="0.3">
      <c r="A6" s="4" t="s">
        <v>1157</v>
      </c>
      <c r="B6" s="2" t="str">
        <f>"07213043700"</f>
        <v>07213043700</v>
      </c>
      <c r="C6" s="2" t="s">
        <v>1173</v>
      </c>
      <c r="D6" t="s">
        <v>29</v>
      </c>
      <c r="E6" s="2" t="s">
        <v>30</v>
      </c>
      <c r="F6" s="2">
        <v>37207</v>
      </c>
      <c r="G6" s="2" t="s">
        <v>64</v>
      </c>
      <c r="H6" t="s">
        <v>99</v>
      </c>
      <c r="I6" s="6">
        <v>28068</v>
      </c>
      <c r="J6" s="2" t="s">
        <v>1174</v>
      </c>
      <c r="K6" s="2">
        <v>220</v>
      </c>
      <c r="L6" t="s">
        <v>35</v>
      </c>
      <c r="M6" t="s">
        <v>29</v>
      </c>
      <c r="N6" t="s">
        <v>30</v>
      </c>
      <c r="O6">
        <v>37219</v>
      </c>
      <c r="P6" t="s">
        <v>1175</v>
      </c>
      <c r="Q6" s="2">
        <v>0.05</v>
      </c>
      <c r="R6" s="2">
        <v>55</v>
      </c>
      <c r="S6" s="2">
        <v>31</v>
      </c>
      <c r="T6" t="s">
        <v>1176</v>
      </c>
      <c r="U6" s="6">
        <v>18067</v>
      </c>
      <c r="V6" s="2">
        <v>47037011300</v>
      </c>
      <c r="W6" s="2" t="s">
        <v>68</v>
      </c>
      <c r="X6" s="1">
        <v>45658</v>
      </c>
      <c r="Y6" s="2">
        <v>300</v>
      </c>
      <c r="Z6" s="2">
        <v>0</v>
      </c>
      <c r="AA6" s="2">
        <v>300</v>
      </c>
    </row>
    <row r="7" spans="1:27" x14ac:dyDescent="0.3">
      <c r="A7" s="4" t="s">
        <v>1157</v>
      </c>
      <c r="B7" s="2" t="str">
        <f>"07116040200"</f>
        <v>07116040200</v>
      </c>
      <c r="C7" s="2" t="s">
        <v>1177</v>
      </c>
      <c r="D7" t="s">
        <v>29</v>
      </c>
      <c r="E7" s="2" t="s">
        <v>30</v>
      </c>
      <c r="F7" s="2">
        <v>37207</v>
      </c>
      <c r="G7" s="2" t="s">
        <v>64</v>
      </c>
      <c r="H7" t="s">
        <v>99</v>
      </c>
      <c r="I7" s="6">
        <v>28068</v>
      </c>
      <c r="J7" s="2" t="s">
        <v>1178</v>
      </c>
      <c r="K7" s="2">
        <v>212</v>
      </c>
      <c r="L7" t="s">
        <v>35</v>
      </c>
      <c r="M7" t="s">
        <v>29</v>
      </c>
      <c r="N7" t="s">
        <v>30</v>
      </c>
      <c r="O7">
        <v>37219</v>
      </c>
      <c r="P7" t="s">
        <v>1179</v>
      </c>
      <c r="Q7" s="2">
        <v>0.01</v>
      </c>
      <c r="R7" s="2">
        <v>22</v>
      </c>
      <c r="S7" s="2">
        <v>67</v>
      </c>
      <c r="T7" t="s">
        <v>1180</v>
      </c>
      <c r="U7" s="6">
        <v>22185</v>
      </c>
      <c r="V7" s="2">
        <v>47037011300</v>
      </c>
      <c r="W7" s="2" t="s">
        <v>68</v>
      </c>
      <c r="X7" s="1">
        <v>45658</v>
      </c>
      <c r="Y7" s="2">
        <v>200</v>
      </c>
      <c r="Z7" s="2">
        <v>0</v>
      </c>
      <c r="AA7" s="2">
        <v>200</v>
      </c>
    </row>
    <row r="8" spans="1:27" x14ac:dyDescent="0.3">
      <c r="A8" s="4" t="s">
        <v>1157</v>
      </c>
      <c r="B8" s="2" t="str">
        <f>"07213000100"</f>
        <v>07213000100</v>
      </c>
      <c r="C8" s="2" t="s">
        <v>1181</v>
      </c>
      <c r="D8" t="s">
        <v>29</v>
      </c>
      <c r="E8" s="2" t="s">
        <v>30</v>
      </c>
      <c r="F8" s="2">
        <v>37207</v>
      </c>
      <c r="G8" s="2" t="s">
        <v>64</v>
      </c>
      <c r="H8" t="s">
        <v>99</v>
      </c>
      <c r="I8" s="6">
        <v>28068</v>
      </c>
      <c r="J8" s="2" t="s">
        <v>1182</v>
      </c>
      <c r="K8" s="2">
        <v>205</v>
      </c>
      <c r="L8" t="s">
        <v>35</v>
      </c>
      <c r="M8" t="s">
        <v>29</v>
      </c>
      <c r="N8" t="s">
        <v>30</v>
      </c>
      <c r="O8">
        <v>37219</v>
      </c>
      <c r="P8" t="s">
        <v>1183</v>
      </c>
      <c r="Q8" s="2">
        <v>0.02</v>
      </c>
      <c r="R8" s="2">
        <v>45</v>
      </c>
      <c r="S8" s="2">
        <v>22</v>
      </c>
      <c r="T8" t="s">
        <v>1184</v>
      </c>
      <c r="U8" s="6">
        <v>21289</v>
      </c>
      <c r="V8" s="2">
        <v>47037011300</v>
      </c>
      <c r="W8" s="2" t="s">
        <v>68</v>
      </c>
      <c r="X8" s="1">
        <v>45658</v>
      </c>
      <c r="Y8" s="2">
        <v>300</v>
      </c>
      <c r="Z8" s="2">
        <v>0</v>
      </c>
      <c r="AA8" s="2">
        <v>300</v>
      </c>
    </row>
    <row r="9" spans="1:27" x14ac:dyDescent="0.3">
      <c r="A9" s="4" t="s">
        <v>1157</v>
      </c>
      <c r="B9" s="2" t="str">
        <f>"07213043400"</f>
        <v>07213043400</v>
      </c>
      <c r="C9" s="2" t="s">
        <v>1185</v>
      </c>
      <c r="D9" t="s">
        <v>29</v>
      </c>
      <c r="E9" s="2" t="s">
        <v>30</v>
      </c>
      <c r="F9" s="2">
        <v>37207</v>
      </c>
      <c r="G9" s="2" t="s">
        <v>64</v>
      </c>
      <c r="H9" t="s">
        <v>99</v>
      </c>
      <c r="I9" s="6">
        <v>28733</v>
      </c>
      <c r="J9" s="2" t="s">
        <v>1186</v>
      </c>
      <c r="K9" s="2">
        <v>213</v>
      </c>
      <c r="L9" t="s">
        <v>35</v>
      </c>
      <c r="M9" t="s">
        <v>29</v>
      </c>
      <c r="N9" t="s">
        <v>30</v>
      </c>
      <c r="O9">
        <v>37219</v>
      </c>
      <c r="P9" t="s">
        <v>1187</v>
      </c>
      <c r="Q9" s="2">
        <v>0.11</v>
      </c>
      <c r="R9" s="2">
        <v>108</v>
      </c>
      <c r="S9" s="2">
        <v>57</v>
      </c>
      <c r="T9" t="s">
        <v>1188</v>
      </c>
      <c r="U9" s="6">
        <v>17836</v>
      </c>
      <c r="V9" s="2">
        <v>47037011300</v>
      </c>
      <c r="W9" s="2" t="s">
        <v>68</v>
      </c>
      <c r="X9" s="1">
        <v>45658</v>
      </c>
      <c r="Y9" s="2">
        <v>300</v>
      </c>
      <c r="Z9" s="2">
        <v>0</v>
      </c>
      <c r="AA9" s="2">
        <v>300</v>
      </c>
    </row>
    <row r="10" spans="1:27" x14ac:dyDescent="0.3">
      <c r="A10" s="4" t="s">
        <v>1157</v>
      </c>
      <c r="B10" s="2" t="str">
        <f>"07213043600"</f>
        <v>07213043600</v>
      </c>
      <c r="C10" s="2" t="s">
        <v>1189</v>
      </c>
      <c r="D10" t="s">
        <v>29</v>
      </c>
      <c r="E10" s="2" t="s">
        <v>30</v>
      </c>
      <c r="F10" s="2">
        <v>37207</v>
      </c>
      <c r="G10" s="2" t="s">
        <v>64</v>
      </c>
      <c r="H10" t="s">
        <v>99</v>
      </c>
      <c r="I10" s="6">
        <v>28145</v>
      </c>
      <c r="J10" s="2" t="s">
        <v>1190</v>
      </c>
      <c r="K10" s="2">
        <v>328</v>
      </c>
      <c r="L10" t="s">
        <v>35</v>
      </c>
      <c r="M10" t="s">
        <v>29</v>
      </c>
      <c r="N10" t="s">
        <v>30</v>
      </c>
      <c r="O10">
        <v>37219</v>
      </c>
      <c r="P10" t="s">
        <v>1191</v>
      </c>
      <c r="Q10" s="2">
        <v>0.08</v>
      </c>
      <c r="R10" s="2">
        <v>55</v>
      </c>
      <c r="S10" s="2">
        <v>81</v>
      </c>
      <c r="T10" t="s">
        <v>1192</v>
      </c>
      <c r="U10" s="6">
        <v>17840</v>
      </c>
      <c r="V10" s="2">
        <v>47037011300</v>
      </c>
      <c r="W10" s="2" t="s">
        <v>68</v>
      </c>
      <c r="X10" s="1">
        <v>45658</v>
      </c>
      <c r="Y10" s="2">
        <v>300</v>
      </c>
      <c r="Z10" s="2">
        <v>0</v>
      </c>
      <c r="AA10" s="2">
        <v>300</v>
      </c>
    </row>
    <row r="11" spans="1:27" x14ac:dyDescent="0.3">
      <c r="A11" s="4" t="s">
        <v>1157</v>
      </c>
      <c r="B11" s="2" t="str">
        <f>"07213043500"</f>
        <v>07213043500</v>
      </c>
      <c r="C11" s="2" t="s">
        <v>1189</v>
      </c>
      <c r="D11" t="s">
        <v>29</v>
      </c>
      <c r="E11" s="2" t="s">
        <v>30</v>
      </c>
      <c r="F11" s="2">
        <v>37207</v>
      </c>
      <c r="G11" s="2" t="s">
        <v>64</v>
      </c>
      <c r="H11" t="s">
        <v>99</v>
      </c>
      <c r="I11" s="6">
        <v>28460</v>
      </c>
      <c r="J11" s="2" t="s">
        <v>1193</v>
      </c>
      <c r="K11" s="2">
        <v>308</v>
      </c>
      <c r="L11" t="s">
        <v>35</v>
      </c>
      <c r="M11" t="s">
        <v>29</v>
      </c>
      <c r="N11" t="s">
        <v>30</v>
      </c>
      <c r="O11">
        <v>37219</v>
      </c>
      <c r="P11" t="s">
        <v>1194</v>
      </c>
      <c r="Q11" s="2">
        <v>0.03</v>
      </c>
      <c r="R11" s="2">
        <v>0</v>
      </c>
      <c r="S11" s="2">
        <v>58</v>
      </c>
      <c r="T11" t="s">
        <v>1195</v>
      </c>
      <c r="U11" s="6">
        <v>21361</v>
      </c>
      <c r="V11" s="2">
        <v>47037011300</v>
      </c>
      <c r="W11" s="2" t="s">
        <v>68</v>
      </c>
      <c r="X11" s="1">
        <v>45658</v>
      </c>
      <c r="Y11" s="2">
        <v>300</v>
      </c>
      <c r="Z11" s="2">
        <v>0</v>
      </c>
      <c r="AA11" s="2">
        <v>300</v>
      </c>
    </row>
    <row r="12" spans="1:27" x14ac:dyDescent="0.3">
      <c r="A12" s="4" t="s">
        <v>1157</v>
      </c>
      <c r="B12" s="2" t="str">
        <f>"07213043800"</f>
        <v>07213043800</v>
      </c>
      <c r="C12" s="2" t="s">
        <v>1189</v>
      </c>
      <c r="D12" t="s">
        <v>29</v>
      </c>
      <c r="E12" s="2" t="s">
        <v>30</v>
      </c>
      <c r="F12" s="2">
        <v>37207</v>
      </c>
      <c r="G12" s="2" t="s">
        <v>64</v>
      </c>
      <c r="H12" t="s">
        <v>99</v>
      </c>
      <c r="I12" s="6">
        <v>28446</v>
      </c>
      <c r="J12" s="2" t="s">
        <v>1196</v>
      </c>
      <c r="K12" s="2">
        <v>197</v>
      </c>
      <c r="L12" t="s">
        <v>35</v>
      </c>
      <c r="M12" t="s">
        <v>29</v>
      </c>
      <c r="N12" t="s">
        <v>30</v>
      </c>
      <c r="O12">
        <v>37219</v>
      </c>
      <c r="P12" t="s">
        <v>1197</v>
      </c>
      <c r="Q12" s="2">
        <v>0.01</v>
      </c>
      <c r="R12" s="2">
        <v>26</v>
      </c>
      <c r="S12" s="2">
        <v>22</v>
      </c>
      <c r="T12" t="s">
        <v>1198</v>
      </c>
      <c r="U12" s="6">
        <v>18116</v>
      </c>
      <c r="V12" s="2">
        <v>47037011300</v>
      </c>
      <c r="W12" s="2" t="s">
        <v>68</v>
      </c>
      <c r="X12" s="1">
        <v>45658</v>
      </c>
      <c r="Y12" s="2">
        <v>300</v>
      </c>
      <c r="Z12" s="2">
        <v>0</v>
      </c>
      <c r="AA12" s="2">
        <v>300</v>
      </c>
    </row>
    <row r="13" spans="1:27" x14ac:dyDescent="0.3">
      <c r="A13" s="4" t="s">
        <v>1157</v>
      </c>
      <c r="B13" s="2" t="str">
        <f>"08204035800"</f>
        <v>08204035800</v>
      </c>
      <c r="C13" s="2" t="s">
        <v>1199</v>
      </c>
      <c r="D13" t="s">
        <v>29</v>
      </c>
      <c r="E13" s="2" t="s">
        <v>30</v>
      </c>
      <c r="F13" s="2">
        <v>37206</v>
      </c>
      <c r="G13" s="2" t="s">
        <v>64</v>
      </c>
      <c r="H13" t="s">
        <v>99</v>
      </c>
      <c r="I13" s="6">
        <v>27984</v>
      </c>
      <c r="J13" s="2" t="s">
        <v>1200</v>
      </c>
      <c r="K13" s="2">
        <v>292</v>
      </c>
      <c r="L13" t="s">
        <v>35</v>
      </c>
      <c r="M13" t="s">
        <v>29</v>
      </c>
      <c r="N13" t="s">
        <v>30</v>
      </c>
      <c r="O13">
        <v>37219</v>
      </c>
      <c r="P13" t="s">
        <v>1201</v>
      </c>
      <c r="Q13" s="2">
        <v>0.12</v>
      </c>
      <c r="R13" s="2">
        <v>38</v>
      </c>
      <c r="S13" s="2">
        <v>158</v>
      </c>
      <c r="T13" t="s">
        <v>1202</v>
      </c>
      <c r="U13" s="6">
        <v>23984</v>
      </c>
      <c r="V13" s="2">
        <v>47037011700</v>
      </c>
      <c r="W13" s="2" t="s">
        <v>68</v>
      </c>
      <c r="X13" s="1">
        <v>45658</v>
      </c>
      <c r="Y13" s="2">
        <v>13800</v>
      </c>
      <c r="Z13" s="2">
        <v>0</v>
      </c>
      <c r="AA13" s="2">
        <v>13800</v>
      </c>
    </row>
    <row r="14" spans="1:27" x14ac:dyDescent="0.3">
      <c r="A14" s="4" t="s">
        <v>1157</v>
      </c>
      <c r="B14" s="2" t="str">
        <f>"08204037100"</f>
        <v>08204037100</v>
      </c>
      <c r="C14" s="2" t="s">
        <v>1203</v>
      </c>
      <c r="D14" t="s">
        <v>29</v>
      </c>
      <c r="E14" s="2" t="s">
        <v>30</v>
      </c>
      <c r="F14" s="2">
        <v>37206</v>
      </c>
      <c r="G14" s="2" t="s">
        <v>64</v>
      </c>
      <c r="H14" t="s">
        <v>99</v>
      </c>
      <c r="I14" s="6">
        <v>32926</v>
      </c>
      <c r="J14" s="2" t="s">
        <v>1204</v>
      </c>
      <c r="K14" s="2">
        <v>244</v>
      </c>
      <c r="L14" t="s">
        <v>35</v>
      </c>
      <c r="M14" t="s">
        <v>29</v>
      </c>
      <c r="N14" t="s">
        <v>30</v>
      </c>
      <c r="O14">
        <v>37219</v>
      </c>
      <c r="P14" t="s">
        <v>1205</v>
      </c>
      <c r="Q14" s="2">
        <v>0.11</v>
      </c>
      <c r="R14" s="2">
        <v>32</v>
      </c>
      <c r="S14" s="2">
        <v>150</v>
      </c>
      <c r="T14" t="s">
        <v>1206</v>
      </c>
      <c r="U14" s="6">
        <v>25658</v>
      </c>
      <c r="V14" s="2">
        <v>47037011700</v>
      </c>
      <c r="W14" s="2" t="s">
        <v>68</v>
      </c>
      <c r="X14" s="1">
        <v>45658</v>
      </c>
      <c r="Y14" s="2">
        <v>248000</v>
      </c>
      <c r="Z14" s="2">
        <v>0</v>
      </c>
      <c r="AA14" s="2">
        <v>248000</v>
      </c>
    </row>
    <row r="15" spans="1:27" x14ac:dyDescent="0.3">
      <c r="A15" s="4" t="s">
        <v>1157</v>
      </c>
      <c r="B15" s="2" t="str">
        <f>"08212019300"</f>
        <v>08212019300</v>
      </c>
      <c r="C15" s="2" t="s">
        <v>1207</v>
      </c>
      <c r="D15" t="s">
        <v>29</v>
      </c>
      <c r="E15" s="2" t="s">
        <v>30</v>
      </c>
      <c r="F15" s="2">
        <v>37206</v>
      </c>
      <c r="G15" s="2" t="s">
        <v>64</v>
      </c>
      <c r="H15" t="s">
        <v>99</v>
      </c>
      <c r="I15" s="6">
        <v>43665</v>
      </c>
      <c r="J15" s="2" t="s">
        <v>1208</v>
      </c>
      <c r="K15" s="2">
        <v>455</v>
      </c>
      <c r="L15" t="s">
        <v>893</v>
      </c>
      <c r="M15" t="s">
        <v>29</v>
      </c>
      <c r="N15" t="s">
        <v>30</v>
      </c>
      <c r="O15">
        <v>37219</v>
      </c>
      <c r="P15" t="s">
        <v>1209</v>
      </c>
      <c r="Q15" s="2">
        <v>0.01</v>
      </c>
      <c r="R15" s="2">
        <v>48</v>
      </c>
      <c r="S15" s="2">
        <v>25</v>
      </c>
      <c r="T15" t="s">
        <v>1210</v>
      </c>
      <c r="U15" s="6">
        <v>27016</v>
      </c>
      <c r="V15" s="2">
        <v>47037011900</v>
      </c>
      <c r="W15" s="2" t="s">
        <v>68</v>
      </c>
      <c r="X15" s="1">
        <v>45658</v>
      </c>
      <c r="Y15" s="2">
        <v>3700</v>
      </c>
      <c r="Z15" s="2">
        <v>0</v>
      </c>
      <c r="AA15" s="2">
        <v>3700</v>
      </c>
    </row>
    <row r="16" spans="1:27" x14ac:dyDescent="0.3">
      <c r="A16" s="4" t="s">
        <v>1157</v>
      </c>
      <c r="B16" s="2" t="str">
        <f>"07213028200"</f>
        <v>07213028200</v>
      </c>
      <c r="C16" s="2" t="s">
        <v>1211</v>
      </c>
      <c r="D16" t="s">
        <v>29</v>
      </c>
      <c r="E16" s="2" t="s">
        <v>30</v>
      </c>
      <c r="F16" s="2">
        <v>37206</v>
      </c>
      <c r="G16" s="2" t="s">
        <v>64</v>
      </c>
      <c r="H16" t="s">
        <v>99</v>
      </c>
      <c r="I16" s="6">
        <v>29062</v>
      </c>
      <c r="J16" s="2" t="s">
        <v>1212</v>
      </c>
      <c r="K16" s="2">
        <v>255</v>
      </c>
      <c r="L16" t="s">
        <v>35</v>
      </c>
      <c r="M16" t="s">
        <v>29</v>
      </c>
      <c r="N16" t="s">
        <v>30</v>
      </c>
      <c r="O16">
        <v>37219</v>
      </c>
      <c r="P16" t="s">
        <v>1213</v>
      </c>
      <c r="Q16" s="2">
        <v>0.1</v>
      </c>
      <c r="R16" s="2">
        <v>20</v>
      </c>
      <c r="S16" s="2">
        <v>130</v>
      </c>
      <c r="T16" t="s">
        <v>1214</v>
      </c>
      <c r="U16" s="6">
        <v>17787</v>
      </c>
      <c r="V16" s="2">
        <v>47037011700</v>
      </c>
      <c r="W16" s="2" t="s">
        <v>68</v>
      </c>
      <c r="X16" s="1">
        <v>45658</v>
      </c>
      <c r="Y16" s="2">
        <v>12800</v>
      </c>
      <c r="Z16" s="2">
        <v>0</v>
      </c>
      <c r="AA16" s="2">
        <v>12800</v>
      </c>
    </row>
    <row r="17" spans="1:27" x14ac:dyDescent="0.3">
      <c r="A17" s="4" t="s">
        <v>1157</v>
      </c>
      <c r="B17" s="2" t="str">
        <f>"07213034500"</f>
        <v>07213034500</v>
      </c>
      <c r="C17" s="2" t="s">
        <v>1215</v>
      </c>
      <c r="D17" t="s">
        <v>29</v>
      </c>
      <c r="E17" s="2" t="s">
        <v>30</v>
      </c>
      <c r="F17" s="2">
        <v>37206</v>
      </c>
      <c r="G17" s="2" t="s">
        <v>64</v>
      </c>
      <c r="H17" t="s">
        <v>99</v>
      </c>
      <c r="I17" s="6">
        <v>40198</v>
      </c>
      <c r="J17" s="2" t="s">
        <v>1216</v>
      </c>
      <c r="K17" s="2">
        <v>541</v>
      </c>
      <c r="L17" t="s">
        <v>35</v>
      </c>
      <c r="M17" t="s">
        <v>29</v>
      </c>
      <c r="N17" t="s">
        <v>30</v>
      </c>
      <c r="O17">
        <v>37219</v>
      </c>
      <c r="P17" t="s">
        <v>1217</v>
      </c>
      <c r="Q17" s="2">
        <v>0.03</v>
      </c>
      <c r="R17" s="2">
        <v>66</v>
      </c>
      <c r="S17" s="2">
        <v>47</v>
      </c>
      <c r="T17" t="s">
        <v>1218</v>
      </c>
      <c r="U17" s="6">
        <v>16931</v>
      </c>
      <c r="V17" s="2">
        <v>47037011700</v>
      </c>
      <c r="W17" s="2" t="s">
        <v>68</v>
      </c>
      <c r="X17" s="1">
        <v>45658</v>
      </c>
      <c r="Y17" s="2">
        <v>2800</v>
      </c>
      <c r="Z17" s="2">
        <v>0</v>
      </c>
      <c r="AA17" s="2">
        <v>2800</v>
      </c>
    </row>
    <row r="18" spans="1:27" x14ac:dyDescent="0.3">
      <c r="A18" s="4" t="s">
        <v>1157</v>
      </c>
      <c r="B18" s="2" t="str">
        <f>"08204025000"</f>
        <v>08204025000</v>
      </c>
      <c r="C18" s="2" t="s">
        <v>1219</v>
      </c>
      <c r="D18" t="s">
        <v>29</v>
      </c>
      <c r="E18" s="2" t="s">
        <v>30</v>
      </c>
      <c r="F18" s="2">
        <v>37206</v>
      </c>
      <c r="G18" s="2" t="s">
        <v>64</v>
      </c>
      <c r="H18" t="s">
        <v>99</v>
      </c>
      <c r="I18" s="6">
        <v>29566</v>
      </c>
      <c r="J18" s="2" t="s">
        <v>1220</v>
      </c>
      <c r="K18" s="2" t="s">
        <v>34</v>
      </c>
      <c r="L18" t="s">
        <v>35</v>
      </c>
      <c r="M18" t="s">
        <v>29</v>
      </c>
      <c r="N18" t="s">
        <v>30</v>
      </c>
      <c r="O18">
        <v>37219</v>
      </c>
      <c r="P18" t="s">
        <v>1221</v>
      </c>
      <c r="Q18" s="2">
        <v>0.01</v>
      </c>
      <c r="R18" s="2">
        <v>49</v>
      </c>
      <c r="S18" s="2">
        <v>46</v>
      </c>
      <c r="T18" t="s">
        <v>1222</v>
      </c>
      <c r="U18" s="6">
        <v>23728</v>
      </c>
      <c r="V18" s="2">
        <v>47037011700</v>
      </c>
      <c r="W18" s="2" t="s">
        <v>68</v>
      </c>
      <c r="X18" s="1">
        <v>45658</v>
      </c>
      <c r="Y18" s="2">
        <v>1400</v>
      </c>
      <c r="Z18" s="2">
        <v>0</v>
      </c>
      <c r="AA18" s="2">
        <v>1400</v>
      </c>
    </row>
    <row r="19" spans="1:27" x14ac:dyDescent="0.3">
      <c r="A19" s="4" t="s">
        <v>1157</v>
      </c>
      <c r="B19" s="2" t="str">
        <f>"05100002200"</f>
        <v>05100002200</v>
      </c>
      <c r="C19" s="2" t="s">
        <v>1223</v>
      </c>
      <c r="D19" t="s">
        <v>866</v>
      </c>
      <c r="E19" s="2" t="s">
        <v>30</v>
      </c>
      <c r="F19" s="2">
        <v>37115</v>
      </c>
      <c r="G19" s="2" t="s">
        <v>152</v>
      </c>
      <c r="H19" t="s">
        <v>1224</v>
      </c>
      <c r="I19" s="6">
        <v>23439</v>
      </c>
      <c r="J19" s="2" t="s">
        <v>1225</v>
      </c>
      <c r="K19" s="2">
        <v>0</v>
      </c>
      <c r="L19" t="s">
        <v>35</v>
      </c>
      <c r="M19" t="s">
        <v>29</v>
      </c>
      <c r="N19" t="s">
        <v>30</v>
      </c>
      <c r="O19">
        <v>37219</v>
      </c>
      <c r="P19" t="s">
        <v>1226</v>
      </c>
      <c r="Q19" s="2">
        <v>29.79</v>
      </c>
      <c r="R19" s="2">
        <v>0</v>
      </c>
      <c r="S19" s="2">
        <v>0</v>
      </c>
      <c r="T19" t="s">
        <v>1227</v>
      </c>
      <c r="U19" s="6">
        <v>43411</v>
      </c>
      <c r="V19" s="2">
        <v>47037010903</v>
      </c>
      <c r="W19" s="2" t="s">
        <v>837</v>
      </c>
      <c r="X19" s="1">
        <v>45658</v>
      </c>
      <c r="Y19" s="2">
        <v>863900</v>
      </c>
      <c r="Z19" s="2">
        <v>0</v>
      </c>
      <c r="AA19" s="2">
        <v>863900</v>
      </c>
    </row>
    <row r="20" spans="1:27" x14ac:dyDescent="0.3">
      <c r="A20" s="4" t="s">
        <v>1157</v>
      </c>
      <c r="B20" s="2" t="str">
        <f>"08203022600"</f>
        <v>08203022600</v>
      </c>
      <c r="C20" s="2" t="s">
        <v>1228</v>
      </c>
      <c r="D20" t="s">
        <v>29</v>
      </c>
      <c r="E20" s="2" t="s">
        <v>30</v>
      </c>
      <c r="F20" s="2">
        <v>37207</v>
      </c>
      <c r="G20" s="2" t="s">
        <v>147</v>
      </c>
      <c r="H20" t="s">
        <v>1229</v>
      </c>
      <c r="I20" s="6">
        <v>22587</v>
      </c>
      <c r="J20" s="2" t="s">
        <v>1230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1231</v>
      </c>
      <c r="Q20" s="2">
        <v>0.8</v>
      </c>
      <c r="R20" s="2">
        <v>169</v>
      </c>
      <c r="S20" s="2">
        <v>174</v>
      </c>
      <c r="T20" t="s">
        <v>1230</v>
      </c>
      <c r="U20" s="6">
        <v>22587</v>
      </c>
      <c r="V20" s="2">
        <v>47037012600</v>
      </c>
      <c r="W20" s="2" t="s">
        <v>68</v>
      </c>
      <c r="X20" s="1">
        <v>45658</v>
      </c>
      <c r="Y20" s="2">
        <v>1872000</v>
      </c>
      <c r="Z20" s="2">
        <v>0</v>
      </c>
      <c r="AA20" s="2">
        <v>1872000</v>
      </c>
    </row>
    <row r="21" spans="1:27" x14ac:dyDescent="0.3">
      <c r="A21" s="4" t="s">
        <v>1157</v>
      </c>
      <c r="B21" s="2" t="str">
        <f>"06008007100"</f>
        <v>06008007100</v>
      </c>
      <c r="C21" s="2" t="s">
        <v>1232</v>
      </c>
      <c r="D21" t="s">
        <v>29</v>
      </c>
      <c r="E21" s="2" t="s">
        <v>30</v>
      </c>
      <c r="F21" s="2">
        <v>37207</v>
      </c>
      <c r="G21" s="2" t="s">
        <v>147</v>
      </c>
      <c r="H21" t="s">
        <v>1233</v>
      </c>
      <c r="I21" s="6">
        <v>28297</v>
      </c>
      <c r="J21" s="2" t="s">
        <v>1234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1235</v>
      </c>
      <c r="Q21" s="2">
        <v>1.59</v>
      </c>
      <c r="R21" s="2">
        <v>0</v>
      </c>
      <c r="S21" s="2">
        <v>0</v>
      </c>
      <c r="T21" t="s">
        <v>1236</v>
      </c>
      <c r="U21" s="6">
        <v>28894</v>
      </c>
      <c r="V21" s="2">
        <v>47037011001</v>
      </c>
      <c r="W21" s="2" t="s">
        <v>68</v>
      </c>
      <c r="X21" s="1">
        <v>45658</v>
      </c>
      <c r="Y21" s="2">
        <v>556900</v>
      </c>
      <c r="Z21" s="2">
        <v>0</v>
      </c>
      <c r="AA21" s="2">
        <v>556900</v>
      </c>
    </row>
    <row r="22" spans="1:27" x14ac:dyDescent="0.3">
      <c r="A22" s="4" t="s">
        <v>1157</v>
      </c>
      <c r="B22" s="2" t="str">
        <f>"07205007300"</f>
        <v>07205007300</v>
      </c>
      <c r="C22" s="2" t="s">
        <v>1237</v>
      </c>
      <c r="D22" t="s">
        <v>29</v>
      </c>
      <c r="E22" s="2" t="s">
        <v>30</v>
      </c>
      <c r="F22" s="2">
        <v>37216</v>
      </c>
      <c r="G22" s="2" t="s">
        <v>166</v>
      </c>
      <c r="H22" t="s">
        <v>1238</v>
      </c>
      <c r="I22" s="6">
        <v>24854</v>
      </c>
      <c r="J22" s="2" t="s">
        <v>1239</v>
      </c>
      <c r="K22" s="2" t="s">
        <v>34</v>
      </c>
      <c r="L22" t="s">
        <v>35</v>
      </c>
      <c r="M22" t="s">
        <v>29</v>
      </c>
      <c r="N22" t="s">
        <v>30</v>
      </c>
      <c r="O22">
        <v>37219</v>
      </c>
      <c r="P22" t="s">
        <v>1240</v>
      </c>
      <c r="Q22" s="2">
        <v>5.1100000000000003</v>
      </c>
      <c r="R22" s="2">
        <v>0</v>
      </c>
      <c r="S22" s="2">
        <v>0</v>
      </c>
      <c r="T22" t="s">
        <v>1241</v>
      </c>
      <c r="U22" s="6">
        <v>33302</v>
      </c>
      <c r="V22" s="2">
        <v>47037011200</v>
      </c>
      <c r="W22" s="2" t="s">
        <v>68</v>
      </c>
      <c r="X22" s="1">
        <v>45658</v>
      </c>
      <c r="Y22" s="2">
        <v>827800</v>
      </c>
      <c r="Z22" s="2">
        <v>0</v>
      </c>
      <c r="AA22" s="2">
        <v>827800</v>
      </c>
    </row>
    <row r="23" spans="1:27" x14ac:dyDescent="0.3">
      <c r="A23" s="4" t="s">
        <v>1157</v>
      </c>
      <c r="B23" s="2" t="str">
        <f>"07108031100"</f>
        <v>07108031100</v>
      </c>
      <c r="C23" s="2" t="s">
        <v>1242</v>
      </c>
      <c r="D23" t="s">
        <v>29</v>
      </c>
      <c r="E23" s="2" t="s">
        <v>30</v>
      </c>
      <c r="F23" s="2">
        <v>37207</v>
      </c>
      <c r="G23" s="2" t="s">
        <v>253</v>
      </c>
      <c r="H23" t="s">
        <v>1243</v>
      </c>
      <c r="I23" s="6">
        <v>33525</v>
      </c>
      <c r="J23" s="2" t="s">
        <v>1244</v>
      </c>
      <c r="K23" s="2" t="s">
        <v>34</v>
      </c>
      <c r="L23" t="s">
        <v>1245</v>
      </c>
      <c r="M23" t="s">
        <v>29</v>
      </c>
      <c r="N23" t="s">
        <v>30</v>
      </c>
      <c r="O23">
        <v>37208</v>
      </c>
      <c r="P23" t="s">
        <v>1246</v>
      </c>
      <c r="Q23" s="2">
        <v>6.82</v>
      </c>
      <c r="R23" s="2">
        <v>0</v>
      </c>
      <c r="S23" s="2">
        <v>0</v>
      </c>
      <c r="T23" t="s">
        <v>1247</v>
      </c>
      <c r="U23" s="6">
        <v>13489</v>
      </c>
      <c r="V23" s="2">
        <v>47037011300</v>
      </c>
      <c r="W23" s="2" t="s">
        <v>68</v>
      </c>
      <c r="X23" s="1">
        <v>45658</v>
      </c>
      <c r="Y23" s="2">
        <v>1063900</v>
      </c>
      <c r="Z23" s="2">
        <v>0</v>
      </c>
      <c r="AA23" s="2">
        <v>1063900</v>
      </c>
    </row>
    <row r="24" spans="1:27" x14ac:dyDescent="0.3">
      <c r="A24" s="4" t="s">
        <v>1157</v>
      </c>
      <c r="B24" s="2" t="str">
        <f>"07108006800"</f>
        <v>07108006800</v>
      </c>
      <c r="C24" s="2" t="s">
        <v>1248</v>
      </c>
      <c r="D24" t="s">
        <v>29</v>
      </c>
      <c r="E24" s="2" t="s">
        <v>30</v>
      </c>
      <c r="F24" s="2">
        <v>37207</v>
      </c>
      <c r="G24" s="2" t="s">
        <v>64</v>
      </c>
      <c r="H24" t="s">
        <v>171</v>
      </c>
      <c r="I24" s="6">
        <v>32703</v>
      </c>
      <c r="J24" s="2" t="s">
        <v>1249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1250</v>
      </c>
      <c r="Q24" s="2">
        <v>0.13</v>
      </c>
      <c r="R24" s="2">
        <v>40</v>
      </c>
      <c r="S24" s="2">
        <v>140</v>
      </c>
      <c r="T24" t="s">
        <v>1251</v>
      </c>
      <c r="U24" s="6">
        <v>13554</v>
      </c>
      <c r="V24" s="2">
        <v>47037011300</v>
      </c>
      <c r="W24" s="2" t="s">
        <v>68</v>
      </c>
      <c r="X24" s="1">
        <v>45658</v>
      </c>
      <c r="Y24" s="2">
        <v>170000</v>
      </c>
      <c r="Z24" s="2">
        <v>0</v>
      </c>
      <c r="AA24" s="2">
        <v>170000</v>
      </c>
    </row>
    <row r="25" spans="1:27" x14ac:dyDescent="0.3">
      <c r="A25" s="4" t="s">
        <v>1157</v>
      </c>
      <c r="B25" s="2" t="str">
        <f>"07205006000"</f>
        <v>07205006000</v>
      </c>
      <c r="C25" s="2" t="s">
        <v>1252</v>
      </c>
      <c r="D25" t="s">
        <v>29</v>
      </c>
      <c r="E25" s="2" t="s">
        <v>30</v>
      </c>
      <c r="F25" s="2">
        <v>37207</v>
      </c>
      <c r="G25" s="2" t="s">
        <v>1253</v>
      </c>
      <c r="H25" t="s">
        <v>1254</v>
      </c>
      <c r="I25" s="6">
        <v>35738</v>
      </c>
      <c r="J25" s="2" t="s">
        <v>1255</v>
      </c>
      <c r="K25" s="2">
        <v>1200000</v>
      </c>
      <c r="L25" t="s">
        <v>35</v>
      </c>
      <c r="M25" t="s">
        <v>29</v>
      </c>
      <c r="N25" t="s">
        <v>30</v>
      </c>
      <c r="O25">
        <v>37219</v>
      </c>
      <c r="P25" t="s">
        <v>1256</v>
      </c>
      <c r="Q25" s="2">
        <v>12.61</v>
      </c>
      <c r="R25" s="2">
        <v>0</v>
      </c>
      <c r="S25" s="2">
        <v>0</v>
      </c>
      <c r="T25" t="s">
        <v>1257</v>
      </c>
      <c r="U25" s="6">
        <v>31414</v>
      </c>
      <c r="V25" s="2">
        <v>47037011300</v>
      </c>
      <c r="W25" s="2" t="s">
        <v>68</v>
      </c>
      <c r="X25" s="1">
        <v>45658</v>
      </c>
      <c r="Y25" s="2">
        <v>13298500</v>
      </c>
      <c r="Z25" s="2">
        <v>8758900</v>
      </c>
      <c r="AA25" s="2">
        <v>4539600</v>
      </c>
    </row>
    <row r="26" spans="1:27" x14ac:dyDescent="0.3">
      <c r="A26" s="4" t="s">
        <v>1157</v>
      </c>
      <c r="B26" s="2" t="str">
        <f>"06012010300"</f>
        <v>06012010300</v>
      </c>
      <c r="C26" s="2" t="s">
        <v>1258</v>
      </c>
      <c r="D26" t="s">
        <v>29</v>
      </c>
      <c r="E26" s="2" t="s">
        <v>30</v>
      </c>
      <c r="F26" s="2">
        <v>37207</v>
      </c>
      <c r="G26" s="2" t="s">
        <v>64</v>
      </c>
      <c r="H26" t="s">
        <v>911</v>
      </c>
      <c r="I26" s="6">
        <v>27135</v>
      </c>
      <c r="J26" s="2" t="s">
        <v>1259</v>
      </c>
      <c r="K26" s="2" t="s">
        <v>34</v>
      </c>
      <c r="L26" t="s">
        <v>35</v>
      </c>
      <c r="M26" t="s">
        <v>29</v>
      </c>
      <c r="N26" t="s">
        <v>30</v>
      </c>
      <c r="O26">
        <v>37219</v>
      </c>
      <c r="P26" t="s">
        <v>1260</v>
      </c>
      <c r="Q26" s="2">
        <v>0.01</v>
      </c>
      <c r="R26" s="2">
        <v>3</v>
      </c>
      <c r="S26" s="2">
        <v>200</v>
      </c>
      <c r="T26" t="s">
        <v>1259</v>
      </c>
      <c r="U26" s="6">
        <v>27135</v>
      </c>
      <c r="V26" s="2">
        <v>47037011001</v>
      </c>
      <c r="W26" s="2" t="s">
        <v>68</v>
      </c>
      <c r="X26" s="1">
        <v>45658</v>
      </c>
      <c r="Y26" s="2">
        <v>1000</v>
      </c>
      <c r="Z26" s="2">
        <v>0</v>
      </c>
      <c r="AA26" s="2">
        <v>1000</v>
      </c>
    </row>
    <row r="27" spans="1:27" x14ac:dyDescent="0.3">
      <c r="A27" s="4" t="s">
        <v>1157</v>
      </c>
      <c r="B27" s="2" t="str">
        <f>"06016013700"</f>
        <v>06016013700</v>
      </c>
      <c r="C27" s="2" t="s">
        <v>1258</v>
      </c>
      <c r="D27" t="s">
        <v>29</v>
      </c>
      <c r="E27" s="2" t="s">
        <v>30</v>
      </c>
      <c r="F27" s="2">
        <v>37207</v>
      </c>
      <c r="G27" s="2" t="s">
        <v>64</v>
      </c>
      <c r="H27" t="s">
        <v>911</v>
      </c>
      <c r="I27" s="6">
        <v>26373</v>
      </c>
      <c r="J27" s="2" t="s">
        <v>1261</v>
      </c>
      <c r="K27" s="2" t="s">
        <v>34</v>
      </c>
      <c r="L27" t="s">
        <v>35</v>
      </c>
      <c r="M27" t="s">
        <v>29</v>
      </c>
      <c r="N27" t="s">
        <v>30</v>
      </c>
      <c r="O27">
        <v>37219</v>
      </c>
      <c r="P27" t="s">
        <v>1262</v>
      </c>
      <c r="Q27" s="2">
        <v>0.01</v>
      </c>
      <c r="R27" s="2">
        <v>3</v>
      </c>
      <c r="S27" s="2">
        <v>330</v>
      </c>
      <c r="T27" t="s">
        <v>1261</v>
      </c>
      <c r="U27" s="6">
        <v>26373</v>
      </c>
      <c r="V27" s="2">
        <v>47037011001</v>
      </c>
      <c r="W27" s="2" t="s">
        <v>68</v>
      </c>
      <c r="X27" s="1">
        <v>45658</v>
      </c>
      <c r="Y27" s="2">
        <v>100</v>
      </c>
      <c r="Z27" s="2">
        <v>0</v>
      </c>
      <c r="AA27" s="2">
        <v>100</v>
      </c>
    </row>
    <row r="28" spans="1:27" x14ac:dyDescent="0.3">
      <c r="A28" s="4" t="s">
        <v>1157</v>
      </c>
      <c r="B28" s="2" t="str">
        <f>"07116013000"</f>
        <v>07116013000</v>
      </c>
      <c r="C28" s="2" t="s">
        <v>1263</v>
      </c>
      <c r="D28" t="s">
        <v>29</v>
      </c>
      <c r="E28" s="2" t="s">
        <v>30</v>
      </c>
      <c r="F28" s="2">
        <v>37207</v>
      </c>
      <c r="G28" s="2" t="s">
        <v>64</v>
      </c>
      <c r="H28" t="s">
        <v>176</v>
      </c>
      <c r="I28" s="6">
        <v>19171</v>
      </c>
      <c r="J28" s="2" t="s">
        <v>1264</v>
      </c>
      <c r="K28" s="2" t="s">
        <v>34</v>
      </c>
      <c r="L28" t="s">
        <v>178</v>
      </c>
      <c r="M28" t="s">
        <v>29</v>
      </c>
      <c r="N28" t="s">
        <v>30</v>
      </c>
      <c r="O28">
        <v>37246</v>
      </c>
      <c r="P28" t="s">
        <v>1265</v>
      </c>
      <c r="Q28" s="2">
        <v>0.28000000000000003</v>
      </c>
      <c r="R28" s="2">
        <v>132</v>
      </c>
      <c r="S28" s="2">
        <v>180</v>
      </c>
      <c r="T28" t="s">
        <v>1264</v>
      </c>
      <c r="U28" s="6">
        <v>19171</v>
      </c>
      <c r="V28" s="2">
        <v>47037011300</v>
      </c>
      <c r="W28" s="2" t="s">
        <v>68</v>
      </c>
      <c r="X28" s="1">
        <v>45658</v>
      </c>
      <c r="Y28" s="2">
        <v>330000</v>
      </c>
      <c r="Z28" s="2">
        <v>0</v>
      </c>
      <c r="AA28" s="2">
        <v>330000</v>
      </c>
    </row>
    <row r="29" spans="1:27" x14ac:dyDescent="0.3">
      <c r="A29" s="4" t="s">
        <v>1157</v>
      </c>
      <c r="B29" s="2" t="str">
        <f>"07115036400"</f>
        <v>07115036400</v>
      </c>
      <c r="C29" s="2" t="s">
        <v>1266</v>
      </c>
      <c r="D29" t="s">
        <v>29</v>
      </c>
      <c r="E29" s="2" t="s">
        <v>30</v>
      </c>
      <c r="F29" s="2">
        <v>37207</v>
      </c>
      <c r="G29" s="2" t="s">
        <v>152</v>
      </c>
      <c r="H29" t="s">
        <v>176</v>
      </c>
      <c r="I29" s="6">
        <v>14472</v>
      </c>
      <c r="J29" s="2" t="s">
        <v>1267</v>
      </c>
      <c r="K29" s="2" t="s">
        <v>34</v>
      </c>
      <c r="L29" t="s">
        <v>178</v>
      </c>
      <c r="M29" t="s">
        <v>29</v>
      </c>
      <c r="N29" t="s">
        <v>30</v>
      </c>
      <c r="O29">
        <v>37246</v>
      </c>
      <c r="P29" t="s">
        <v>1268</v>
      </c>
      <c r="Q29" s="2">
        <v>0.2</v>
      </c>
      <c r="R29" s="2">
        <v>50</v>
      </c>
      <c r="S29" s="2">
        <v>170</v>
      </c>
      <c r="T29" t="s">
        <v>1267</v>
      </c>
      <c r="U29" s="6">
        <v>14472</v>
      </c>
      <c r="V29" s="2">
        <v>47037012600</v>
      </c>
      <c r="W29" s="2" t="s">
        <v>68</v>
      </c>
      <c r="X29" s="1">
        <v>45658</v>
      </c>
      <c r="Y29" s="2">
        <v>350000</v>
      </c>
      <c r="Z29" s="2">
        <v>0</v>
      </c>
      <c r="AA29" s="2">
        <v>350000</v>
      </c>
    </row>
    <row r="30" spans="1:27" x14ac:dyDescent="0.3">
      <c r="A30" s="4" t="s">
        <v>1157</v>
      </c>
      <c r="B30" s="2" t="str">
        <f>"08212028700"</f>
        <v>08212028700</v>
      </c>
      <c r="C30" s="2" t="s">
        <v>1269</v>
      </c>
      <c r="D30" t="s">
        <v>29</v>
      </c>
      <c r="E30" s="2" t="s">
        <v>30</v>
      </c>
      <c r="F30" s="2">
        <v>37206</v>
      </c>
      <c r="G30" s="2" t="s">
        <v>152</v>
      </c>
      <c r="H30" t="s">
        <v>176</v>
      </c>
      <c r="I30" s="6">
        <v>14474</v>
      </c>
      <c r="J30" s="2" t="s">
        <v>1270</v>
      </c>
      <c r="K30" s="2" t="s">
        <v>34</v>
      </c>
      <c r="L30" t="s">
        <v>178</v>
      </c>
      <c r="M30" t="s">
        <v>29</v>
      </c>
      <c r="N30" t="s">
        <v>30</v>
      </c>
      <c r="O30">
        <v>37246</v>
      </c>
      <c r="P30" t="s">
        <v>1271</v>
      </c>
      <c r="Q30" s="2">
        <v>0.42</v>
      </c>
      <c r="R30" s="2">
        <v>166</v>
      </c>
      <c r="S30" s="2">
        <v>196</v>
      </c>
      <c r="T30" t="s">
        <v>1272</v>
      </c>
      <c r="U30" s="6">
        <v>42676</v>
      </c>
      <c r="V30" s="2">
        <v>47037011900</v>
      </c>
      <c r="W30" s="2" t="s">
        <v>68</v>
      </c>
      <c r="X30" s="1">
        <v>45658</v>
      </c>
      <c r="Y30" s="2">
        <v>173900</v>
      </c>
      <c r="Z30" s="2">
        <v>0</v>
      </c>
      <c r="AA30" s="2">
        <v>173900</v>
      </c>
    </row>
    <row r="31" spans="1:27" x14ac:dyDescent="0.3">
      <c r="A31" s="4" t="s">
        <v>1157</v>
      </c>
      <c r="B31" s="2" t="str">
        <f>"08212028900"</f>
        <v>08212028900</v>
      </c>
      <c r="C31" s="2" t="s">
        <v>1273</v>
      </c>
      <c r="D31" t="s">
        <v>29</v>
      </c>
      <c r="E31" s="2" t="s">
        <v>30</v>
      </c>
      <c r="F31" s="2">
        <v>37206</v>
      </c>
      <c r="G31" s="2" t="s">
        <v>152</v>
      </c>
      <c r="H31" t="s">
        <v>176</v>
      </c>
      <c r="I31" s="6">
        <v>21662</v>
      </c>
      <c r="J31" s="2" t="s">
        <v>1274</v>
      </c>
      <c r="K31" s="2" t="s">
        <v>34</v>
      </c>
      <c r="L31" t="s">
        <v>178</v>
      </c>
      <c r="M31" t="s">
        <v>29</v>
      </c>
      <c r="N31" t="s">
        <v>30</v>
      </c>
      <c r="O31">
        <v>37246</v>
      </c>
      <c r="P31" t="s">
        <v>1275</v>
      </c>
      <c r="Q31" s="2">
        <v>0.56000000000000005</v>
      </c>
      <c r="R31" s="2">
        <v>103</v>
      </c>
      <c r="S31" s="2">
        <v>192</v>
      </c>
      <c r="T31" t="s">
        <v>1272</v>
      </c>
      <c r="U31" s="6">
        <v>42676</v>
      </c>
      <c r="V31" s="2">
        <v>47037011900</v>
      </c>
      <c r="W31" s="2" t="s">
        <v>68</v>
      </c>
      <c r="X31" s="1">
        <v>45658</v>
      </c>
      <c r="Y31" s="2">
        <v>190400</v>
      </c>
      <c r="Z31" s="2">
        <v>0</v>
      </c>
      <c r="AA31" s="2">
        <v>190400</v>
      </c>
    </row>
    <row r="32" spans="1:27" x14ac:dyDescent="0.3">
      <c r="A32" s="4" t="s">
        <v>1157</v>
      </c>
      <c r="B32" s="2" t="str">
        <f>"08212028600"</f>
        <v>08212028600</v>
      </c>
      <c r="C32" s="2" t="s">
        <v>1276</v>
      </c>
      <c r="D32" t="s">
        <v>29</v>
      </c>
      <c r="E32" s="2" t="s">
        <v>30</v>
      </c>
      <c r="F32" s="2">
        <v>37206</v>
      </c>
      <c r="G32" s="2" t="s">
        <v>152</v>
      </c>
      <c r="H32" t="s">
        <v>176</v>
      </c>
      <c r="I32" s="6">
        <v>21653</v>
      </c>
      <c r="J32" s="2" t="s">
        <v>1277</v>
      </c>
      <c r="K32" s="2" t="s">
        <v>34</v>
      </c>
      <c r="L32" t="s">
        <v>178</v>
      </c>
      <c r="M32" t="s">
        <v>29</v>
      </c>
      <c r="N32" t="s">
        <v>30</v>
      </c>
      <c r="O32">
        <v>37246</v>
      </c>
      <c r="P32" t="s">
        <v>1278</v>
      </c>
      <c r="Q32" s="2">
        <v>0.18</v>
      </c>
      <c r="R32" s="2">
        <v>50</v>
      </c>
      <c r="S32" s="2">
        <v>160</v>
      </c>
      <c r="T32" t="s">
        <v>1272</v>
      </c>
      <c r="U32" s="6">
        <v>42676</v>
      </c>
      <c r="V32" s="2">
        <v>47037011900</v>
      </c>
      <c r="W32" s="2" t="s">
        <v>68</v>
      </c>
      <c r="X32" s="1">
        <v>45658</v>
      </c>
      <c r="Y32" s="2">
        <v>165600</v>
      </c>
      <c r="Z32" s="2">
        <v>0</v>
      </c>
      <c r="AA32" s="2">
        <v>165600</v>
      </c>
    </row>
    <row r="33" spans="1:27" x14ac:dyDescent="0.3">
      <c r="A33" s="4" t="s">
        <v>1157</v>
      </c>
      <c r="B33" s="2" t="str">
        <f>"08212028500"</f>
        <v>08212028500</v>
      </c>
      <c r="C33" s="2" t="s">
        <v>1279</v>
      </c>
      <c r="D33" t="s">
        <v>29</v>
      </c>
      <c r="E33" s="2" t="s">
        <v>30</v>
      </c>
      <c r="F33" s="2">
        <v>37206</v>
      </c>
      <c r="G33" s="2" t="s">
        <v>152</v>
      </c>
      <c r="H33" t="s">
        <v>176</v>
      </c>
      <c r="I33" s="6">
        <v>21657</v>
      </c>
      <c r="J33" s="2" t="s">
        <v>1280</v>
      </c>
      <c r="K33" s="2" t="s">
        <v>34</v>
      </c>
      <c r="L33" t="s">
        <v>178</v>
      </c>
      <c r="M33" t="s">
        <v>29</v>
      </c>
      <c r="N33" t="s">
        <v>30</v>
      </c>
      <c r="O33">
        <v>37246</v>
      </c>
      <c r="P33" t="s">
        <v>1281</v>
      </c>
      <c r="Q33" s="2">
        <v>0.19</v>
      </c>
      <c r="R33" s="2">
        <v>50</v>
      </c>
      <c r="S33" s="2">
        <v>159</v>
      </c>
      <c r="T33" t="s">
        <v>1272</v>
      </c>
      <c r="U33" s="6">
        <v>42676</v>
      </c>
      <c r="V33" s="2">
        <v>47037011900</v>
      </c>
      <c r="W33" s="2" t="s">
        <v>68</v>
      </c>
      <c r="X33" s="1">
        <v>45658</v>
      </c>
      <c r="Y33" s="2">
        <v>165600</v>
      </c>
      <c r="Z33" s="2">
        <v>0</v>
      </c>
      <c r="AA33" s="2">
        <v>165600</v>
      </c>
    </row>
    <row r="34" spans="1:27" x14ac:dyDescent="0.3">
      <c r="A34" s="4" t="s">
        <v>1157</v>
      </c>
      <c r="B34" s="2" t="str">
        <f>"08212028400"</f>
        <v>08212028400</v>
      </c>
      <c r="C34" s="2" t="s">
        <v>1282</v>
      </c>
      <c r="D34" t="s">
        <v>29</v>
      </c>
      <c r="E34" s="2" t="s">
        <v>30</v>
      </c>
      <c r="F34" s="2">
        <v>37206</v>
      </c>
      <c r="G34" s="2" t="s">
        <v>152</v>
      </c>
      <c r="H34" t="s">
        <v>176</v>
      </c>
      <c r="I34" s="6">
        <v>21657</v>
      </c>
      <c r="J34" s="2" t="s">
        <v>1280</v>
      </c>
      <c r="K34" s="2" t="s">
        <v>34</v>
      </c>
      <c r="L34" t="s">
        <v>178</v>
      </c>
      <c r="M34" t="s">
        <v>29</v>
      </c>
      <c r="N34" t="s">
        <v>30</v>
      </c>
      <c r="O34">
        <v>37246</v>
      </c>
      <c r="P34" t="s">
        <v>1283</v>
      </c>
      <c r="Q34" s="2">
        <v>0.17</v>
      </c>
      <c r="R34" s="2">
        <v>50</v>
      </c>
      <c r="S34" s="2">
        <v>159</v>
      </c>
      <c r="T34" t="s">
        <v>1272</v>
      </c>
      <c r="U34" s="6">
        <v>42676</v>
      </c>
      <c r="V34" s="2">
        <v>47037011900</v>
      </c>
      <c r="W34" s="2" t="s">
        <v>68</v>
      </c>
      <c r="X34" s="1">
        <v>45658</v>
      </c>
      <c r="Y34" s="2">
        <v>165600</v>
      </c>
      <c r="Z34" s="2">
        <v>0</v>
      </c>
      <c r="AA34" s="2">
        <v>165600</v>
      </c>
    </row>
    <row r="35" spans="1:27" x14ac:dyDescent="0.3">
      <c r="A35" s="4" t="s">
        <v>1157</v>
      </c>
      <c r="B35" s="2" t="str">
        <f>"08212029100"</f>
        <v>08212029100</v>
      </c>
      <c r="C35" s="2" t="s">
        <v>1284</v>
      </c>
      <c r="D35" t="s">
        <v>29</v>
      </c>
      <c r="E35" s="2" t="s">
        <v>30</v>
      </c>
      <c r="F35" s="2">
        <v>37206</v>
      </c>
      <c r="G35" s="2" t="s">
        <v>152</v>
      </c>
      <c r="H35" t="s">
        <v>176</v>
      </c>
      <c r="I35" s="6">
        <v>21660</v>
      </c>
      <c r="J35" s="2" t="s">
        <v>1285</v>
      </c>
      <c r="K35" s="2" t="s">
        <v>34</v>
      </c>
      <c r="L35" t="s">
        <v>178</v>
      </c>
      <c r="M35" t="s">
        <v>29</v>
      </c>
      <c r="N35" t="s">
        <v>30</v>
      </c>
      <c r="O35">
        <v>37246</v>
      </c>
      <c r="P35" t="s">
        <v>1286</v>
      </c>
      <c r="Q35" s="2">
        <v>0.17</v>
      </c>
      <c r="R35" s="2">
        <v>50</v>
      </c>
      <c r="S35" s="2">
        <v>158</v>
      </c>
      <c r="T35" t="s">
        <v>1272</v>
      </c>
      <c r="U35" s="6">
        <v>42676</v>
      </c>
      <c r="V35" s="2">
        <v>47037011900</v>
      </c>
      <c r="W35" s="2" t="s">
        <v>68</v>
      </c>
      <c r="X35" s="1">
        <v>45658</v>
      </c>
      <c r="Y35" s="2">
        <v>165600</v>
      </c>
      <c r="Z35" s="2">
        <v>0</v>
      </c>
      <c r="AA35" s="2">
        <v>165600</v>
      </c>
    </row>
    <row r="36" spans="1:27" x14ac:dyDescent="0.3">
      <c r="A36" s="4" t="s">
        <v>1157</v>
      </c>
      <c r="B36" s="2" t="str">
        <f>"08212028300"</f>
        <v>08212028300</v>
      </c>
      <c r="C36" s="2" t="s">
        <v>1287</v>
      </c>
      <c r="D36" t="s">
        <v>29</v>
      </c>
      <c r="E36" s="2" t="s">
        <v>30</v>
      </c>
      <c r="F36" s="2">
        <v>37206</v>
      </c>
      <c r="G36" s="2" t="s">
        <v>152</v>
      </c>
      <c r="H36" t="s">
        <v>176</v>
      </c>
      <c r="I36" s="6">
        <v>22320</v>
      </c>
      <c r="J36" s="2" t="s">
        <v>1288</v>
      </c>
      <c r="K36" s="2" t="s">
        <v>34</v>
      </c>
      <c r="L36" t="s">
        <v>178</v>
      </c>
      <c r="M36" t="s">
        <v>29</v>
      </c>
      <c r="N36" t="s">
        <v>30</v>
      </c>
      <c r="O36">
        <v>37246</v>
      </c>
      <c r="P36" t="s">
        <v>1289</v>
      </c>
      <c r="Q36" s="2">
        <v>0.19</v>
      </c>
      <c r="R36" s="2">
        <v>50</v>
      </c>
      <c r="S36" s="2">
        <v>159</v>
      </c>
      <c r="T36" t="s">
        <v>1272</v>
      </c>
      <c r="U36" s="6">
        <v>42676</v>
      </c>
      <c r="V36" s="2">
        <v>47037011900</v>
      </c>
      <c r="W36" s="2" t="s">
        <v>68</v>
      </c>
      <c r="X36" s="1">
        <v>45658</v>
      </c>
      <c r="Y36" s="2">
        <v>165600</v>
      </c>
      <c r="Z36" s="2">
        <v>0</v>
      </c>
      <c r="AA36" s="2">
        <v>165600</v>
      </c>
    </row>
    <row r="37" spans="1:27" x14ac:dyDescent="0.3">
      <c r="A37" s="4" t="s">
        <v>1157</v>
      </c>
      <c r="B37" s="2" t="str">
        <f>"08212028200"</f>
        <v>08212028200</v>
      </c>
      <c r="C37" s="2" t="s">
        <v>1290</v>
      </c>
      <c r="D37" t="s">
        <v>29</v>
      </c>
      <c r="E37" s="2" t="s">
        <v>30</v>
      </c>
      <c r="F37" s="2">
        <v>37206</v>
      </c>
      <c r="G37" s="2" t="s">
        <v>152</v>
      </c>
      <c r="H37" t="s">
        <v>176</v>
      </c>
      <c r="I37" s="6">
        <v>22320</v>
      </c>
      <c r="J37" s="2" t="s">
        <v>1288</v>
      </c>
      <c r="K37" s="2" t="s">
        <v>34</v>
      </c>
      <c r="L37" t="s">
        <v>178</v>
      </c>
      <c r="M37" t="s">
        <v>29</v>
      </c>
      <c r="N37" t="s">
        <v>30</v>
      </c>
      <c r="O37">
        <v>37246</v>
      </c>
      <c r="P37" t="s">
        <v>1291</v>
      </c>
      <c r="Q37" s="2">
        <v>0.18</v>
      </c>
      <c r="R37" s="2">
        <v>50</v>
      </c>
      <c r="S37" s="2">
        <v>159</v>
      </c>
      <c r="T37" t="s">
        <v>1272</v>
      </c>
      <c r="U37" s="6">
        <v>42676</v>
      </c>
      <c r="V37" s="2">
        <v>47037011900</v>
      </c>
      <c r="W37" s="2" t="s">
        <v>68</v>
      </c>
      <c r="X37" s="1">
        <v>45658</v>
      </c>
      <c r="Y37" s="2">
        <v>165600</v>
      </c>
      <c r="Z37" s="2">
        <v>0</v>
      </c>
      <c r="AA37" s="2">
        <v>165600</v>
      </c>
    </row>
    <row r="38" spans="1:27" x14ac:dyDescent="0.3">
      <c r="A38" s="4" t="s">
        <v>1157</v>
      </c>
      <c r="B38" s="2" t="str">
        <f>"08212029200"</f>
        <v>08212029200</v>
      </c>
      <c r="C38" s="2" t="s">
        <v>1292</v>
      </c>
      <c r="D38" t="s">
        <v>29</v>
      </c>
      <c r="E38" s="2" t="s">
        <v>30</v>
      </c>
      <c r="F38" s="2">
        <v>37206</v>
      </c>
      <c r="G38" s="2" t="s">
        <v>152</v>
      </c>
      <c r="H38" t="s">
        <v>176</v>
      </c>
      <c r="I38" s="6">
        <v>21660</v>
      </c>
      <c r="J38" s="2" t="s">
        <v>1293</v>
      </c>
      <c r="K38" s="2" t="s">
        <v>34</v>
      </c>
      <c r="L38" t="s">
        <v>178</v>
      </c>
      <c r="M38" t="s">
        <v>29</v>
      </c>
      <c r="N38" t="s">
        <v>30</v>
      </c>
      <c r="O38">
        <v>37246</v>
      </c>
      <c r="P38" t="s">
        <v>1294</v>
      </c>
      <c r="Q38" s="2">
        <v>0.08</v>
      </c>
      <c r="R38" s="2">
        <v>25</v>
      </c>
      <c r="S38" s="2">
        <v>159</v>
      </c>
      <c r="T38" t="s">
        <v>1295</v>
      </c>
      <c r="U38" s="6">
        <v>42782</v>
      </c>
      <c r="V38" s="2">
        <v>47037011900</v>
      </c>
      <c r="W38" s="2" t="s">
        <v>68</v>
      </c>
      <c r="X38" s="1">
        <v>45658</v>
      </c>
      <c r="Y38" s="2">
        <v>392100</v>
      </c>
      <c r="Z38" s="2">
        <v>0</v>
      </c>
      <c r="AA38" s="2">
        <v>392100</v>
      </c>
    </row>
    <row r="39" spans="1:27" x14ac:dyDescent="0.3">
      <c r="A39" s="4" t="s">
        <v>1157</v>
      </c>
      <c r="B39" s="2" t="str">
        <f>"07103007900"</f>
        <v>07103007900</v>
      </c>
      <c r="C39" s="2" t="s">
        <v>1296</v>
      </c>
      <c r="D39" t="s">
        <v>29</v>
      </c>
      <c r="E39" s="2" t="s">
        <v>30</v>
      </c>
      <c r="F39" s="2">
        <v>37207</v>
      </c>
      <c r="G39" s="2" t="s">
        <v>152</v>
      </c>
      <c r="H39" t="s">
        <v>176</v>
      </c>
      <c r="I39" s="6">
        <v>18533</v>
      </c>
      <c r="J39" s="2" t="s">
        <v>1297</v>
      </c>
      <c r="K39" s="2" t="s">
        <v>34</v>
      </c>
      <c r="L39" t="s">
        <v>178</v>
      </c>
      <c r="M39" t="s">
        <v>29</v>
      </c>
      <c r="N39" t="s">
        <v>30</v>
      </c>
      <c r="O39">
        <v>37246</v>
      </c>
      <c r="P39" t="s">
        <v>1298</v>
      </c>
      <c r="Q39" s="2">
        <v>0.28000000000000003</v>
      </c>
      <c r="R39" s="2">
        <v>66</v>
      </c>
      <c r="S39" s="2">
        <v>180</v>
      </c>
      <c r="T39" t="s">
        <v>1297</v>
      </c>
      <c r="U39" s="6">
        <v>18533</v>
      </c>
      <c r="V39" s="2">
        <v>47037011001</v>
      </c>
      <c r="W39" s="2" t="s">
        <v>68</v>
      </c>
      <c r="X39" s="1">
        <v>45658</v>
      </c>
      <c r="Y39" s="2">
        <v>128700</v>
      </c>
      <c r="Z39" s="2">
        <v>0</v>
      </c>
      <c r="AA39" s="2">
        <v>128700</v>
      </c>
    </row>
    <row r="40" spans="1:27" x14ac:dyDescent="0.3">
      <c r="A40" s="4" t="s">
        <v>1157</v>
      </c>
      <c r="B40" s="2" t="str">
        <f>"07205001401"</f>
        <v>07205001401</v>
      </c>
      <c r="C40" s="2" t="s">
        <v>1299</v>
      </c>
      <c r="D40" t="s">
        <v>29</v>
      </c>
      <c r="E40" s="2" t="s">
        <v>30</v>
      </c>
      <c r="F40" s="2">
        <v>37207</v>
      </c>
      <c r="G40" s="2" t="s">
        <v>152</v>
      </c>
      <c r="H40" t="s">
        <v>176</v>
      </c>
      <c r="I40" s="6">
        <v>27395</v>
      </c>
      <c r="J40" s="2" t="s">
        <v>1300</v>
      </c>
      <c r="K40" s="2" t="s">
        <v>34</v>
      </c>
      <c r="L40" t="s">
        <v>178</v>
      </c>
      <c r="M40" t="s">
        <v>29</v>
      </c>
      <c r="N40" t="s">
        <v>30</v>
      </c>
      <c r="O40">
        <v>37246</v>
      </c>
      <c r="P40" t="s">
        <v>1301</v>
      </c>
      <c r="Q40" s="2">
        <v>0.22</v>
      </c>
      <c r="R40" s="2">
        <v>55</v>
      </c>
      <c r="S40" s="2">
        <v>213</v>
      </c>
      <c r="T40" t="s">
        <v>1302</v>
      </c>
      <c r="U40" s="6">
        <v>22866</v>
      </c>
      <c r="V40" s="2">
        <v>47037011300</v>
      </c>
      <c r="W40" s="2" t="s">
        <v>68</v>
      </c>
      <c r="X40" s="1">
        <v>45658</v>
      </c>
      <c r="Y40" s="2">
        <v>315500</v>
      </c>
      <c r="Z40" s="2">
        <v>0</v>
      </c>
      <c r="AA40" s="2">
        <v>315500</v>
      </c>
    </row>
    <row r="41" spans="1:27" x14ac:dyDescent="0.3">
      <c r="A41" s="4" t="s">
        <v>1157</v>
      </c>
      <c r="B41" s="2" t="str">
        <f>"08212029000"</f>
        <v>08212029000</v>
      </c>
      <c r="C41" s="2" t="s">
        <v>1303</v>
      </c>
      <c r="D41" t="s">
        <v>29</v>
      </c>
      <c r="E41" s="2" t="s">
        <v>30</v>
      </c>
      <c r="F41" s="2">
        <v>37206</v>
      </c>
      <c r="G41" s="2" t="s">
        <v>152</v>
      </c>
      <c r="H41" t="s">
        <v>1304</v>
      </c>
      <c r="I41" s="6">
        <v>21660</v>
      </c>
      <c r="J41" s="2" t="s">
        <v>1305</v>
      </c>
      <c r="K41" s="2">
        <v>0</v>
      </c>
      <c r="L41" t="s">
        <v>178</v>
      </c>
      <c r="M41" t="s">
        <v>29</v>
      </c>
      <c r="N41" t="s">
        <v>30</v>
      </c>
      <c r="O41">
        <v>37246</v>
      </c>
      <c r="P41" t="s">
        <v>1306</v>
      </c>
      <c r="Q41" s="2">
        <v>0.19</v>
      </c>
      <c r="R41" s="2">
        <v>50</v>
      </c>
      <c r="S41" s="2">
        <v>159</v>
      </c>
      <c r="T41" t="s">
        <v>1272</v>
      </c>
      <c r="U41" s="6">
        <v>42676</v>
      </c>
      <c r="V41" s="2">
        <v>47037011900</v>
      </c>
      <c r="W41" s="2" t="s">
        <v>68</v>
      </c>
      <c r="X41" s="1">
        <v>45658</v>
      </c>
      <c r="Y41" s="2">
        <v>165600</v>
      </c>
      <c r="Z41" s="2">
        <v>0</v>
      </c>
      <c r="AA41" s="2">
        <v>165600</v>
      </c>
    </row>
    <row r="42" spans="1:27" x14ac:dyDescent="0.3">
      <c r="A42" s="4" t="s">
        <v>1157</v>
      </c>
      <c r="B42" s="2" t="str">
        <f>"08204013700"</f>
        <v>08204013700</v>
      </c>
      <c r="C42" s="2" t="s">
        <v>1307</v>
      </c>
      <c r="D42" t="s">
        <v>29</v>
      </c>
      <c r="E42" s="2" t="s">
        <v>30</v>
      </c>
      <c r="F42" s="2">
        <v>37207</v>
      </c>
      <c r="G42" s="2" t="s">
        <v>200</v>
      </c>
      <c r="H42" t="s">
        <v>1308</v>
      </c>
      <c r="I42" s="6">
        <v>23097</v>
      </c>
      <c r="J42" s="2" t="s">
        <v>1309</v>
      </c>
      <c r="K42" s="2" t="s">
        <v>34</v>
      </c>
      <c r="L42" t="s">
        <v>35</v>
      </c>
      <c r="M42" t="s">
        <v>29</v>
      </c>
      <c r="N42" t="s">
        <v>30</v>
      </c>
      <c r="O42">
        <v>37219</v>
      </c>
      <c r="P42" t="s">
        <v>1310</v>
      </c>
      <c r="Q42" s="2">
        <v>18.399999999999999</v>
      </c>
      <c r="R42" s="2">
        <v>0</v>
      </c>
      <c r="S42" s="2">
        <v>0</v>
      </c>
      <c r="T42" t="s">
        <v>278</v>
      </c>
      <c r="U42" s="6">
        <v>36578</v>
      </c>
      <c r="V42" s="2">
        <v>47037011800</v>
      </c>
      <c r="W42" s="2" t="s">
        <v>68</v>
      </c>
      <c r="X42" s="1">
        <v>45658</v>
      </c>
      <c r="Y42" s="2">
        <v>1840000</v>
      </c>
      <c r="Z42" s="2">
        <v>0</v>
      </c>
      <c r="AA42" s="2">
        <v>1840000</v>
      </c>
    </row>
    <row r="43" spans="1:27" x14ac:dyDescent="0.3">
      <c r="A43" s="4" t="s">
        <v>1157</v>
      </c>
      <c r="B43" s="2" t="str">
        <f>"08211010300"</f>
        <v>08211010300</v>
      </c>
      <c r="C43" s="2" t="s">
        <v>1311</v>
      </c>
      <c r="D43" t="s">
        <v>29</v>
      </c>
      <c r="E43" s="2" t="s">
        <v>30</v>
      </c>
      <c r="F43" s="2">
        <v>37206</v>
      </c>
      <c r="G43" s="2" t="s">
        <v>152</v>
      </c>
      <c r="H43" t="s">
        <v>1312</v>
      </c>
      <c r="I43" s="6">
        <v>26210</v>
      </c>
      <c r="J43" s="2" t="s">
        <v>1313</v>
      </c>
      <c r="K43" s="2" t="s">
        <v>34</v>
      </c>
      <c r="L43" t="s">
        <v>35</v>
      </c>
      <c r="M43" t="s">
        <v>29</v>
      </c>
      <c r="N43" t="s">
        <v>30</v>
      </c>
      <c r="O43">
        <v>37219</v>
      </c>
      <c r="P43" t="s">
        <v>1314</v>
      </c>
      <c r="Q43" s="2">
        <v>20.350000000000001</v>
      </c>
      <c r="R43" s="2">
        <v>1113</v>
      </c>
      <c r="S43" s="2">
        <v>0</v>
      </c>
      <c r="T43" t="s">
        <v>1315</v>
      </c>
      <c r="U43" s="6">
        <v>39507</v>
      </c>
      <c r="V43" s="2">
        <v>47037011900</v>
      </c>
      <c r="W43" s="2" t="s">
        <v>68</v>
      </c>
      <c r="X43" s="1">
        <v>45658</v>
      </c>
      <c r="Y43" s="2">
        <v>6227100</v>
      </c>
      <c r="Z43" s="2">
        <v>0</v>
      </c>
      <c r="AA43" s="2">
        <v>6227100</v>
      </c>
    </row>
    <row r="44" spans="1:27" x14ac:dyDescent="0.3">
      <c r="A44" s="4" t="s">
        <v>1157</v>
      </c>
      <c r="B44" s="2" t="str">
        <f>"08211017800"</f>
        <v>08211017800</v>
      </c>
      <c r="C44" s="2" t="s">
        <v>1316</v>
      </c>
      <c r="D44" t="s">
        <v>29</v>
      </c>
      <c r="E44" s="2" t="s">
        <v>30</v>
      </c>
      <c r="F44" s="2">
        <v>37206</v>
      </c>
      <c r="G44" s="2" t="s">
        <v>152</v>
      </c>
      <c r="H44" t="s">
        <v>1312</v>
      </c>
      <c r="I44" s="6">
        <v>26210</v>
      </c>
      <c r="J44" s="2" t="s">
        <v>1313</v>
      </c>
      <c r="K44" s="2">
        <v>0</v>
      </c>
      <c r="L44" t="s">
        <v>35</v>
      </c>
      <c r="M44" t="s">
        <v>29</v>
      </c>
      <c r="N44" t="s">
        <v>30</v>
      </c>
      <c r="O44">
        <v>37219</v>
      </c>
      <c r="P44" t="s">
        <v>1317</v>
      </c>
      <c r="Q44" s="2">
        <v>3.41</v>
      </c>
      <c r="R44" s="2">
        <v>206</v>
      </c>
      <c r="S44" s="2">
        <v>0</v>
      </c>
      <c r="T44" t="s">
        <v>1315</v>
      </c>
      <c r="U44" s="6">
        <v>39507</v>
      </c>
      <c r="V44" s="2">
        <v>47037011900</v>
      </c>
      <c r="W44" s="2" t="s">
        <v>68</v>
      </c>
      <c r="X44" s="1">
        <v>45658</v>
      </c>
      <c r="Y44" s="2">
        <v>2692800</v>
      </c>
      <c r="Z44" s="2">
        <v>0</v>
      </c>
      <c r="AA44" s="2">
        <v>2692800</v>
      </c>
    </row>
    <row r="45" spans="1:27" x14ac:dyDescent="0.3">
      <c r="A45" s="4" t="s">
        <v>1157</v>
      </c>
      <c r="B45" s="2" t="str">
        <f>"08211017700"</f>
        <v>08211017700</v>
      </c>
      <c r="C45" s="2" t="s">
        <v>1318</v>
      </c>
      <c r="D45" t="s">
        <v>29</v>
      </c>
      <c r="E45" s="2" t="s">
        <v>30</v>
      </c>
      <c r="F45" s="2">
        <v>37206</v>
      </c>
      <c r="G45" s="2" t="s">
        <v>152</v>
      </c>
      <c r="H45" t="s">
        <v>1312</v>
      </c>
      <c r="I45" s="6">
        <v>39532</v>
      </c>
      <c r="J45" s="2" t="s">
        <v>1319</v>
      </c>
      <c r="K45" s="2">
        <v>0</v>
      </c>
      <c r="L45" t="s">
        <v>35</v>
      </c>
      <c r="M45" t="s">
        <v>29</v>
      </c>
      <c r="N45" t="s">
        <v>30</v>
      </c>
      <c r="O45">
        <v>37219</v>
      </c>
      <c r="P45" t="s">
        <v>1320</v>
      </c>
      <c r="Q45" s="2">
        <v>7.63</v>
      </c>
      <c r="R45" s="2">
        <v>200</v>
      </c>
      <c r="S45" s="2">
        <v>457</v>
      </c>
      <c r="T45" t="s">
        <v>1315</v>
      </c>
      <c r="U45" s="6">
        <v>39507</v>
      </c>
      <c r="V45" s="2">
        <v>47037011900</v>
      </c>
      <c r="W45" s="2" t="s">
        <v>68</v>
      </c>
      <c r="X45" s="1">
        <v>45658</v>
      </c>
      <c r="Y45" s="2">
        <v>4104000</v>
      </c>
      <c r="Z45" s="2">
        <v>0</v>
      </c>
      <c r="AA45" s="2">
        <v>4104000</v>
      </c>
    </row>
    <row r="46" spans="1:27" x14ac:dyDescent="0.3">
      <c r="A46" s="4" t="s">
        <v>1157</v>
      </c>
      <c r="B46" s="2" t="str">
        <f>"08207035200"</f>
        <v>08207035200</v>
      </c>
      <c r="C46" s="2" t="s">
        <v>1321</v>
      </c>
      <c r="D46" t="s">
        <v>29</v>
      </c>
      <c r="E46" s="2" t="s">
        <v>30</v>
      </c>
      <c r="F46" s="2">
        <v>37207</v>
      </c>
      <c r="G46" s="2" t="s">
        <v>200</v>
      </c>
      <c r="H46" t="s">
        <v>1322</v>
      </c>
      <c r="I46" s="6">
        <v>28282</v>
      </c>
      <c r="J46" s="2" t="s">
        <v>1323</v>
      </c>
      <c r="K46" s="2" t="s">
        <v>34</v>
      </c>
      <c r="L46" t="s">
        <v>35</v>
      </c>
      <c r="M46" t="s">
        <v>29</v>
      </c>
      <c r="N46" t="s">
        <v>30</v>
      </c>
      <c r="O46">
        <v>37219</v>
      </c>
      <c r="P46" t="s">
        <v>1324</v>
      </c>
      <c r="Q46" s="2">
        <v>11.52</v>
      </c>
      <c r="R46" s="2">
        <v>0</v>
      </c>
      <c r="S46" s="2">
        <v>0</v>
      </c>
      <c r="T46" t="s">
        <v>1325</v>
      </c>
      <c r="U46" s="6">
        <v>38512</v>
      </c>
      <c r="V46" s="2">
        <v>47037011800</v>
      </c>
      <c r="W46" s="2" t="s">
        <v>68</v>
      </c>
      <c r="X46" s="1">
        <v>45658</v>
      </c>
      <c r="Y46" s="2">
        <v>1152000</v>
      </c>
      <c r="Z46" s="2">
        <v>0</v>
      </c>
      <c r="AA46" s="2">
        <v>1152000</v>
      </c>
    </row>
    <row r="47" spans="1:27" x14ac:dyDescent="0.3">
      <c r="A47" s="4" t="s">
        <v>1157</v>
      </c>
      <c r="B47" s="2" t="str">
        <f>"06100004700"</f>
        <v>06100004700</v>
      </c>
      <c r="C47" s="2" t="s">
        <v>1326</v>
      </c>
      <c r="D47" t="s">
        <v>29</v>
      </c>
      <c r="E47" s="2" t="s">
        <v>30</v>
      </c>
      <c r="F47" s="2">
        <v>37207</v>
      </c>
      <c r="G47" s="2" t="s">
        <v>64</v>
      </c>
      <c r="H47" t="s">
        <v>1327</v>
      </c>
      <c r="I47" s="6">
        <v>28488</v>
      </c>
      <c r="J47" s="2" t="s">
        <v>1328</v>
      </c>
      <c r="K47" s="2" t="s">
        <v>34</v>
      </c>
      <c r="L47" t="s">
        <v>35</v>
      </c>
      <c r="M47" t="s">
        <v>29</v>
      </c>
      <c r="N47" t="s">
        <v>30</v>
      </c>
      <c r="O47">
        <v>37219</v>
      </c>
      <c r="P47" t="s">
        <v>1329</v>
      </c>
      <c r="Q47" s="2">
        <v>26.55</v>
      </c>
      <c r="R47" s="2">
        <v>0</v>
      </c>
      <c r="S47" s="2">
        <v>0</v>
      </c>
      <c r="T47" t="s">
        <v>1330</v>
      </c>
      <c r="U47" s="6">
        <v>28488</v>
      </c>
      <c r="V47" s="2">
        <v>47037011001</v>
      </c>
      <c r="W47" s="2" t="s">
        <v>68</v>
      </c>
      <c r="X47" s="1">
        <v>45658</v>
      </c>
      <c r="Y47" s="2">
        <v>1034300</v>
      </c>
      <c r="Z47" s="2">
        <v>0</v>
      </c>
      <c r="AA47" s="2">
        <v>1034300</v>
      </c>
    </row>
    <row r="48" spans="1:27" x14ac:dyDescent="0.3">
      <c r="A48" s="4" t="s">
        <v>1157</v>
      </c>
      <c r="B48" s="2" t="str">
        <f>"07205016100"</f>
        <v>07205016100</v>
      </c>
      <c r="C48" s="2" t="s">
        <v>1331</v>
      </c>
      <c r="D48" t="s">
        <v>29</v>
      </c>
      <c r="E48" s="2" t="s">
        <v>30</v>
      </c>
      <c r="F48" s="2">
        <v>37207</v>
      </c>
      <c r="G48" s="2" t="s">
        <v>152</v>
      </c>
      <c r="H48" t="s">
        <v>1332</v>
      </c>
      <c r="I48" s="6">
        <v>31604</v>
      </c>
      <c r="J48" s="2" t="s">
        <v>1333</v>
      </c>
      <c r="K48" s="2" t="s">
        <v>34</v>
      </c>
      <c r="L48" t="s">
        <v>35</v>
      </c>
      <c r="M48" t="s">
        <v>29</v>
      </c>
      <c r="N48" t="s">
        <v>30</v>
      </c>
      <c r="O48">
        <v>37219</v>
      </c>
      <c r="P48" t="s">
        <v>1334</v>
      </c>
      <c r="Q48" s="2">
        <v>4.17</v>
      </c>
      <c r="R48" s="2">
        <v>80</v>
      </c>
      <c r="S48" s="2">
        <v>300</v>
      </c>
      <c r="T48" t="s">
        <v>1335</v>
      </c>
      <c r="U48" s="6">
        <v>36762</v>
      </c>
      <c r="V48" s="2">
        <v>47037011300</v>
      </c>
      <c r="W48" s="2" t="s">
        <v>68</v>
      </c>
      <c r="X48" s="1">
        <v>45658</v>
      </c>
      <c r="Y48" s="2">
        <v>1000800</v>
      </c>
      <c r="Z48" s="2">
        <v>0</v>
      </c>
      <c r="AA48" s="2">
        <v>1000800</v>
      </c>
    </row>
    <row r="49" spans="1:27" x14ac:dyDescent="0.3">
      <c r="A49" s="4" t="s">
        <v>1157</v>
      </c>
      <c r="B49" s="2" t="str">
        <f>"07205017700"</f>
        <v>07205017700</v>
      </c>
      <c r="C49" s="2" t="s">
        <v>1336</v>
      </c>
      <c r="D49" t="s">
        <v>29</v>
      </c>
      <c r="E49" s="2" t="s">
        <v>30</v>
      </c>
      <c r="F49" s="2">
        <v>37207</v>
      </c>
      <c r="G49" s="2" t="s">
        <v>152</v>
      </c>
      <c r="H49" t="s">
        <v>1332</v>
      </c>
      <c r="I49" s="6">
        <v>31604</v>
      </c>
      <c r="J49" s="2" t="s">
        <v>1333</v>
      </c>
      <c r="K49" s="2" t="s">
        <v>34</v>
      </c>
      <c r="L49" t="s">
        <v>35</v>
      </c>
      <c r="M49" t="s">
        <v>29</v>
      </c>
      <c r="N49" t="s">
        <v>30</v>
      </c>
      <c r="O49">
        <v>37219</v>
      </c>
      <c r="P49" t="s">
        <v>1337</v>
      </c>
      <c r="Q49" s="2">
        <v>0.34</v>
      </c>
      <c r="R49" s="2">
        <v>70</v>
      </c>
      <c r="S49" s="2">
        <v>213</v>
      </c>
      <c r="T49" t="s">
        <v>1335</v>
      </c>
      <c r="U49" s="6">
        <v>36762</v>
      </c>
      <c r="V49" s="2">
        <v>47037011300</v>
      </c>
      <c r="W49" s="2" t="s">
        <v>68</v>
      </c>
      <c r="X49" s="1">
        <v>45658</v>
      </c>
      <c r="Y49" s="2">
        <v>529200</v>
      </c>
      <c r="Z49" s="2">
        <v>84900</v>
      </c>
      <c r="AA49" s="2">
        <v>444300</v>
      </c>
    </row>
    <row r="50" spans="1:27" x14ac:dyDescent="0.3">
      <c r="A50" s="4" t="s">
        <v>1157</v>
      </c>
      <c r="B50" s="2" t="str">
        <f>"05100016600"</f>
        <v>05100016600</v>
      </c>
      <c r="C50" s="2" t="s">
        <v>1338</v>
      </c>
      <c r="D50" t="s">
        <v>866</v>
      </c>
      <c r="E50" s="2" t="s">
        <v>30</v>
      </c>
      <c r="F50" s="2">
        <v>37115</v>
      </c>
      <c r="G50" s="2" t="s">
        <v>64</v>
      </c>
      <c r="H50" t="s">
        <v>1332</v>
      </c>
      <c r="I50" s="6">
        <v>19345</v>
      </c>
      <c r="J50" s="2" t="s">
        <v>1339</v>
      </c>
      <c r="K50" s="2" t="s">
        <v>34</v>
      </c>
      <c r="L50" t="s">
        <v>35</v>
      </c>
      <c r="M50" t="s">
        <v>29</v>
      </c>
      <c r="N50" t="s">
        <v>30</v>
      </c>
      <c r="O50">
        <v>37219</v>
      </c>
      <c r="P50" t="s">
        <v>1340</v>
      </c>
      <c r="Q50" s="2">
        <v>0.78</v>
      </c>
      <c r="R50" s="2">
        <v>220</v>
      </c>
      <c r="S50" s="2">
        <v>350</v>
      </c>
      <c r="T50" t="s">
        <v>1341</v>
      </c>
      <c r="U50" s="6">
        <v>37095</v>
      </c>
      <c r="V50" s="2">
        <v>47037010802</v>
      </c>
      <c r="W50" s="2" t="s">
        <v>837</v>
      </c>
      <c r="X50" s="1">
        <v>45658</v>
      </c>
      <c r="Y50" s="2">
        <v>27300</v>
      </c>
      <c r="Z50" s="2">
        <v>0</v>
      </c>
      <c r="AA50" s="2">
        <v>27300</v>
      </c>
    </row>
    <row r="51" spans="1:27" x14ac:dyDescent="0.3">
      <c r="A51" s="4" t="s">
        <v>1157</v>
      </c>
      <c r="B51" s="2" t="str">
        <f>"07205005300"</f>
        <v>07205005300</v>
      </c>
      <c r="C51" s="2" t="s">
        <v>1342</v>
      </c>
      <c r="D51" t="s">
        <v>29</v>
      </c>
      <c r="E51" s="2" t="s">
        <v>30</v>
      </c>
      <c r="F51" s="2">
        <v>37207</v>
      </c>
      <c r="G51" s="2" t="s">
        <v>1343</v>
      </c>
      <c r="H51" t="s">
        <v>1344</v>
      </c>
      <c r="I51" s="6">
        <v>22951</v>
      </c>
      <c r="J51" s="2" t="s">
        <v>1345</v>
      </c>
      <c r="K51" s="2" t="s">
        <v>34</v>
      </c>
      <c r="L51" t="s">
        <v>35</v>
      </c>
      <c r="M51" t="s">
        <v>29</v>
      </c>
      <c r="N51" t="s">
        <v>30</v>
      </c>
      <c r="O51">
        <v>37219</v>
      </c>
      <c r="P51" t="s">
        <v>1346</v>
      </c>
      <c r="Q51" s="2">
        <v>13.26</v>
      </c>
      <c r="R51" s="2">
        <v>0</v>
      </c>
      <c r="S51" s="2">
        <v>0</v>
      </c>
      <c r="T51" t="s">
        <v>278</v>
      </c>
      <c r="U51" s="6">
        <v>30057</v>
      </c>
      <c r="V51" s="2">
        <v>47037011300</v>
      </c>
      <c r="W51" s="2" t="s">
        <v>68</v>
      </c>
      <c r="X51" s="1">
        <v>45658</v>
      </c>
      <c r="Y51" s="2">
        <v>3182400</v>
      </c>
      <c r="Z51" s="2">
        <v>0</v>
      </c>
      <c r="AA51" s="2">
        <v>3182400</v>
      </c>
    </row>
    <row r="52" spans="1:27" x14ac:dyDescent="0.3">
      <c r="A52" s="4" t="s">
        <v>1157</v>
      </c>
      <c r="B52" s="2" t="str">
        <f>"08211007100"</f>
        <v>08211007100</v>
      </c>
      <c r="C52" s="2" t="s">
        <v>1347</v>
      </c>
      <c r="D52" t="s">
        <v>29</v>
      </c>
      <c r="E52" s="2" t="s">
        <v>30</v>
      </c>
      <c r="F52" s="2">
        <v>37207</v>
      </c>
      <c r="G52" s="2" t="s">
        <v>253</v>
      </c>
      <c r="H52" t="s">
        <v>1348</v>
      </c>
      <c r="I52" s="6">
        <v>26224</v>
      </c>
      <c r="J52" s="2" t="s">
        <v>1349</v>
      </c>
      <c r="K52" s="2" t="s">
        <v>34</v>
      </c>
      <c r="L52" t="s">
        <v>35</v>
      </c>
      <c r="M52" t="s">
        <v>29</v>
      </c>
      <c r="N52" t="s">
        <v>30</v>
      </c>
      <c r="O52">
        <v>37219</v>
      </c>
      <c r="P52" t="s">
        <v>1350</v>
      </c>
      <c r="Q52" s="2">
        <v>3.7</v>
      </c>
      <c r="R52" s="2">
        <v>0</v>
      </c>
      <c r="S52" s="2">
        <v>0</v>
      </c>
      <c r="T52" t="s">
        <v>278</v>
      </c>
      <c r="U52" s="6">
        <v>30211</v>
      </c>
      <c r="V52" s="2">
        <v>47037011800</v>
      </c>
      <c r="W52" s="2" t="s">
        <v>68</v>
      </c>
      <c r="X52" s="1">
        <v>45658</v>
      </c>
      <c r="Y52" s="2">
        <v>425500</v>
      </c>
      <c r="Z52" s="2">
        <v>0</v>
      </c>
      <c r="AA52" s="2">
        <v>425500</v>
      </c>
    </row>
    <row r="53" spans="1:27" x14ac:dyDescent="0.3">
      <c r="A53" s="4" t="s">
        <v>1157</v>
      </c>
      <c r="B53" s="2" t="str">
        <f>"08309000200"</f>
        <v>08309000200</v>
      </c>
      <c r="C53" s="2" t="s">
        <v>1351</v>
      </c>
      <c r="D53" t="s">
        <v>29</v>
      </c>
      <c r="E53" s="2" t="s">
        <v>30</v>
      </c>
      <c r="F53" s="2">
        <v>37206</v>
      </c>
      <c r="G53" s="2" t="s">
        <v>253</v>
      </c>
      <c r="H53" t="s">
        <v>1352</v>
      </c>
      <c r="I53" s="6">
        <v>13121</v>
      </c>
      <c r="J53" s="2" t="s">
        <v>1353</v>
      </c>
      <c r="K53" s="2">
        <v>0</v>
      </c>
      <c r="L53" t="s">
        <v>35</v>
      </c>
      <c r="M53" t="s">
        <v>29</v>
      </c>
      <c r="N53" t="s">
        <v>30</v>
      </c>
      <c r="O53">
        <v>37219</v>
      </c>
      <c r="P53" t="s">
        <v>1354</v>
      </c>
      <c r="Q53" s="2">
        <v>24.92</v>
      </c>
      <c r="R53" s="2">
        <v>0</v>
      </c>
      <c r="S53" s="2">
        <v>0</v>
      </c>
      <c r="T53" t="s">
        <v>278</v>
      </c>
      <c r="U53" s="6">
        <v>36581</v>
      </c>
      <c r="V53" s="2">
        <v>47037011900</v>
      </c>
      <c r="W53" s="2" t="s">
        <v>68</v>
      </c>
      <c r="X53" s="1">
        <v>45658</v>
      </c>
      <c r="Y53" s="2">
        <v>2529000</v>
      </c>
      <c r="Z53" s="2">
        <v>0</v>
      </c>
      <c r="AA53" s="2">
        <v>2529000</v>
      </c>
    </row>
    <row r="54" spans="1:27" x14ac:dyDescent="0.3">
      <c r="A54" s="4" t="s">
        <v>1157</v>
      </c>
      <c r="B54" s="2" t="str">
        <f>"08203043400"</f>
        <v>08203043400</v>
      </c>
      <c r="C54" s="2" t="s">
        <v>1355</v>
      </c>
      <c r="D54" t="s">
        <v>29</v>
      </c>
      <c r="E54" s="2" t="s">
        <v>30</v>
      </c>
      <c r="F54" s="2">
        <v>37207</v>
      </c>
      <c r="G54" s="2" t="s">
        <v>253</v>
      </c>
      <c r="H54" t="s">
        <v>1356</v>
      </c>
      <c r="I54" s="6">
        <v>23964</v>
      </c>
      <c r="J54" s="2" t="s">
        <v>1357</v>
      </c>
      <c r="K54" s="2" t="s">
        <v>34</v>
      </c>
      <c r="L54" t="s">
        <v>35</v>
      </c>
      <c r="M54" t="s">
        <v>29</v>
      </c>
      <c r="N54" t="s">
        <v>30</v>
      </c>
      <c r="O54">
        <v>37219</v>
      </c>
      <c r="P54" t="s">
        <v>1358</v>
      </c>
      <c r="Q54" s="2">
        <v>7.08</v>
      </c>
      <c r="R54" s="2">
        <v>0</v>
      </c>
      <c r="S54" s="2">
        <v>0</v>
      </c>
      <c r="T54" t="s">
        <v>278</v>
      </c>
      <c r="U54" s="6">
        <v>36581</v>
      </c>
      <c r="V54" s="2">
        <v>47037011800</v>
      </c>
      <c r="W54" s="2" t="s">
        <v>68</v>
      </c>
      <c r="X54" s="1">
        <v>45658</v>
      </c>
      <c r="Y54" s="2">
        <v>814200</v>
      </c>
      <c r="Z54" s="2">
        <v>0</v>
      </c>
      <c r="AA54" s="2">
        <v>814200</v>
      </c>
    </row>
    <row r="55" spans="1:27" x14ac:dyDescent="0.3">
      <c r="A55" s="4" t="s">
        <v>1157</v>
      </c>
      <c r="B55" s="2" t="str">
        <f>"08301003200"</f>
        <v>08301003200</v>
      </c>
      <c r="C55" s="2" t="s">
        <v>1359</v>
      </c>
      <c r="D55" t="s">
        <v>29</v>
      </c>
      <c r="E55" s="2" t="s">
        <v>30</v>
      </c>
      <c r="F55" s="2">
        <v>37206</v>
      </c>
      <c r="G55" s="2" t="s">
        <v>64</v>
      </c>
      <c r="H55" t="s">
        <v>1360</v>
      </c>
      <c r="I55" s="6">
        <v>17820</v>
      </c>
      <c r="J55" s="2" t="s">
        <v>1361</v>
      </c>
      <c r="K55" s="2" t="s">
        <v>34</v>
      </c>
      <c r="L55" t="s">
        <v>35</v>
      </c>
      <c r="M55" t="s">
        <v>29</v>
      </c>
      <c r="N55" t="s">
        <v>30</v>
      </c>
      <c r="O55">
        <v>37219</v>
      </c>
      <c r="P55" t="s">
        <v>1362</v>
      </c>
      <c r="Q55" s="2">
        <v>5.7</v>
      </c>
      <c r="R55" s="2">
        <v>0</v>
      </c>
      <c r="S55" s="2">
        <v>0</v>
      </c>
      <c r="T55" t="s">
        <v>1363</v>
      </c>
      <c r="U55" s="6">
        <v>17806</v>
      </c>
      <c r="V55" s="2">
        <v>47037011700</v>
      </c>
      <c r="W55" s="2" t="s">
        <v>68</v>
      </c>
      <c r="X55" s="1">
        <v>45658</v>
      </c>
      <c r="Y55" s="2">
        <v>1115800</v>
      </c>
      <c r="Z55" s="2">
        <v>0</v>
      </c>
      <c r="AA55" s="2">
        <v>1115800</v>
      </c>
    </row>
    <row r="56" spans="1:27" x14ac:dyDescent="0.3">
      <c r="A56" s="4" t="s">
        <v>1157</v>
      </c>
      <c r="B56" s="2" t="str">
        <f>"07115011900"</f>
        <v>07115011900</v>
      </c>
      <c r="C56" s="2" t="s">
        <v>1364</v>
      </c>
      <c r="D56" t="s">
        <v>29</v>
      </c>
      <c r="E56" s="2" t="s">
        <v>30</v>
      </c>
      <c r="F56" s="2">
        <v>37207</v>
      </c>
      <c r="G56" s="2" t="s">
        <v>64</v>
      </c>
      <c r="H56" t="s">
        <v>1365</v>
      </c>
      <c r="I56" s="6">
        <v>22587</v>
      </c>
      <c r="J56" s="2" t="s">
        <v>1366</v>
      </c>
      <c r="K56" s="2" t="s">
        <v>34</v>
      </c>
      <c r="L56" t="s">
        <v>35</v>
      </c>
      <c r="M56" t="s">
        <v>29</v>
      </c>
      <c r="N56" t="s">
        <v>30</v>
      </c>
      <c r="O56">
        <v>37219</v>
      </c>
      <c r="P56" t="s">
        <v>1367</v>
      </c>
      <c r="Q56" s="2">
        <v>7.79</v>
      </c>
      <c r="R56" s="2">
        <v>933</v>
      </c>
      <c r="S56" s="2">
        <v>0</v>
      </c>
      <c r="T56" t="s">
        <v>1368</v>
      </c>
      <c r="U56" s="6">
        <v>41095</v>
      </c>
      <c r="V56" s="2">
        <v>47037011300</v>
      </c>
      <c r="W56" s="2" t="s">
        <v>68</v>
      </c>
      <c r="X56" s="1">
        <v>45658</v>
      </c>
      <c r="Y56" s="2">
        <v>1215200</v>
      </c>
      <c r="Z56" s="2">
        <v>0</v>
      </c>
      <c r="AA56" s="2">
        <v>1215200</v>
      </c>
    </row>
    <row r="57" spans="1:27" x14ac:dyDescent="0.3">
      <c r="A57" s="4" t="s">
        <v>1157</v>
      </c>
      <c r="B57" s="2" t="str">
        <f>"06100007200"</f>
        <v>06100007200</v>
      </c>
      <c r="C57" s="2" t="s">
        <v>1369</v>
      </c>
      <c r="D57" t="s">
        <v>29</v>
      </c>
      <c r="E57" s="2" t="s">
        <v>30</v>
      </c>
      <c r="F57" s="2">
        <v>37207</v>
      </c>
      <c r="G57" s="2" t="s">
        <v>253</v>
      </c>
      <c r="H57" t="s">
        <v>1370</v>
      </c>
      <c r="I57" s="6">
        <v>32443</v>
      </c>
      <c r="J57" s="2" t="s">
        <v>1371</v>
      </c>
      <c r="K57" s="2">
        <v>625000</v>
      </c>
      <c r="L57" t="s">
        <v>35</v>
      </c>
      <c r="M57" t="s">
        <v>29</v>
      </c>
      <c r="N57" t="s">
        <v>30</v>
      </c>
      <c r="O57">
        <v>37219</v>
      </c>
      <c r="P57" t="s">
        <v>1372</v>
      </c>
      <c r="Q57" s="2">
        <v>19.04</v>
      </c>
      <c r="R57" s="2">
        <v>0</v>
      </c>
      <c r="S57" s="2">
        <v>0</v>
      </c>
      <c r="T57" t="s">
        <v>1373</v>
      </c>
      <c r="U57" s="6">
        <v>31135</v>
      </c>
      <c r="V57" s="2">
        <v>47037011001</v>
      </c>
      <c r="W57" s="2" t="s">
        <v>68</v>
      </c>
      <c r="X57" s="1">
        <v>45658</v>
      </c>
      <c r="Y57" s="2">
        <v>771400</v>
      </c>
      <c r="Z57" s="2">
        <v>0</v>
      </c>
      <c r="AA57" s="2">
        <v>771400</v>
      </c>
    </row>
    <row r="58" spans="1:27" x14ac:dyDescent="0.3">
      <c r="A58" s="4" t="s">
        <v>1157</v>
      </c>
      <c r="B58" s="2" t="str">
        <f>"06101005400"</f>
        <v>06101005400</v>
      </c>
      <c r="C58" s="2" t="s">
        <v>1374</v>
      </c>
      <c r="D58" t="s">
        <v>29</v>
      </c>
      <c r="E58" s="2" t="s">
        <v>30</v>
      </c>
      <c r="F58" s="2">
        <v>37207</v>
      </c>
      <c r="G58" s="2" t="s">
        <v>64</v>
      </c>
      <c r="H58" t="s">
        <v>1375</v>
      </c>
      <c r="I58" s="6">
        <v>27606</v>
      </c>
      <c r="J58" s="2" t="s">
        <v>1376</v>
      </c>
      <c r="K58" s="2">
        <v>200000</v>
      </c>
      <c r="L58" t="s">
        <v>35</v>
      </c>
      <c r="M58" t="s">
        <v>29</v>
      </c>
      <c r="N58" t="s">
        <v>30</v>
      </c>
      <c r="O58">
        <v>37219</v>
      </c>
      <c r="P58" t="s">
        <v>1377</v>
      </c>
      <c r="Q58" s="2">
        <v>20.9</v>
      </c>
      <c r="R58" s="2">
        <v>0</v>
      </c>
      <c r="S58" s="2">
        <v>0</v>
      </c>
      <c r="T58" t="s">
        <v>278</v>
      </c>
      <c r="U58" s="6">
        <v>36581</v>
      </c>
      <c r="V58" s="2">
        <v>47037011001</v>
      </c>
      <c r="W58" s="2" t="s">
        <v>68</v>
      </c>
      <c r="X58" s="1">
        <v>45658</v>
      </c>
      <c r="Y58" s="2">
        <v>1003200</v>
      </c>
      <c r="Z58" s="2">
        <v>0</v>
      </c>
      <c r="AA58" s="2">
        <v>1003200</v>
      </c>
    </row>
    <row r="59" spans="1:27" x14ac:dyDescent="0.3">
      <c r="A59" s="4" t="s">
        <v>1157</v>
      </c>
      <c r="B59" s="2" t="str">
        <f>"06100000800"</f>
        <v>06100000800</v>
      </c>
      <c r="C59" s="2" t="s">
        <v>1378</v>
      </c>
      <c r="D59" t="s">
        <v>29</v>
      </c>
      <c r="E59" s="2" t="s">
        <v>30</v>
      </c>
      <c r="F59" s="2">
        <v>37216</v>
      </c>
      <c r="G59" s="2" t="s">
        <v>253</v>
      </c>
      <c r="H59" t="s">
        <v>1379</v>
      </c>
      <c r="I59" s="6">
        <v>22131</v>
      </c>
      <c r="J59" s="2" t="s">
        <v>1380</v>
      </c>
      <c r="K59" s="2" t="s">
        <v>34</v>
      </c>
      <c r="L59" t="s">
        <v>35</v>
      </c>
      <c r="M59" t="s">
        <v>29</v>
      </c>
      <c r="N59" t="s">
        <v>30</v>
      </c>
      <c r="O59">
        <v>37219</v>
      </c>
      <c r="P59" t="s">
        <v>1381</v>
      </c>
      <c r="Q59" s="2">
        <v>26.08</v>
      </c>
      <c r="R59" s="2">
        <v>0</v>
      </c>
      <c r="S59" s="2">
        <v>0</v>
      </c>
      <c r="T59" t="s">
        <v>1382</v>
      </c>
      <c r="U59" s="6">
        <v>27794</v>
      </c>
      <c r="V59" s="2">
        <v>47037011001</v>
      </c>
      <c r="W59" s="2" t="s">
        <v>68</v>
      </c>
      <c r="X59" s="1">
        <v>45658</v>
      </c>
      <c r="Y59" s="2">
        <v>1251800</v>
      </c>
      <c r="Z59" s="2">
        <v>0</v>
      </c>
      <c r="AA59" s="2">
        <v>1251800</v>
      </c>
    </row>
    <row r="60" spans="1:27" x14ac:dyDescent="0.3">
      <c r="A60" s="4" t="s">
        <v>1157</v>
      </c>
      <c r="B60" s="2" t="str">
        <f>"08212001200"</f>
        <v>08212001200</v>
      </c>
      <c r="C60" s="2" t="s">
        <v>1383</v>
      </c>
      <c r="D60" t="s">
        <v>29</v>
      </c>
      <c r="E60" s="2" t="s">
        <v>30</v>
      </c>
      <c r="F60" s="2">
        <v>37206</v>
      </c>
      <c r="G60" s="2" t="s">
        <v>253</v>
      </c>
      <c r="H60" t="s">
        <v>1384</v>
      </c>
      <c r="I60" s="6">
        <v>27395</v>
      </c>
      <c r="J60" s="2" t="s">
        <v>1385</v>
      </c>
      <c r="K60" s="2" t="s">
        <v>34</v>
      </c>
      <c r="L60" t="s">
        <v>35</v>
      </c>
      <c r="M60" t="s">
        <v>29</v>
      </c>
      <c r="N60" t="s">
        <v>30</v>
      </c>
      <c r="O60">
        <v>37219</v>
      </c>
      <c r="P60" t="s">
        <v>1386</v>
      </c>
      <c r="Q60" s="2">
        <v>2.5</v>
      </c>
      <c r="R60" s="2">
        <v>636</v>
      </c>
      <c r="S60" s="2">
        <v>180</v>
      </c>
      <c r="T60" t="s">
        <v>1387</v>
      </c>
      <c r="U60" s="2" t="s">
        <v>1388</v>
      </c>
      <c r="V60" s="2">
        <v>47037011900</v>
      </c>
      <c r="W60" s="2" t="s">
        <v>68</v>
      </c>
      <c r="X60" s="1">
        <v>45658</v>
      </c>
      <c r="Y60" s="2">
        <v>2520000</v>
      </c>
      <c r="Z60" s="2">
        <v>0</v>
      </c>
      <c r="AA60" s="2">
        <v>2520000</v>
      </c>
    </row>
    <row r="61" spans="1:27" x14ac:dyDescent="0.3">
      <c r="A61" s="4" t="s">
        <v>1157</v>
      </c>
      <c r="B61" s="2" t="str">
        <f>"07100000700"</f>
        <v>07100000700</v>
      </c>
      <c r="C61" s="2" t="s">
        <v>1389</v>
      </c>
      <c r="D61" t="s">
        <v>29</v>
      </c>
      <c r="E61" s="2" t="s">
        <v>30</v>
      </c>
      <c r="F61" s="2">
        <v>37207</v>
      </c>
      <c r="G61" s="2" t="s">
        <v>253</v>
      </c>
      <c r="H61" t="s">
        <v>996</v>
      </c>
      <c r="I61" s="6">
        <v>31947</v>
      </c>
      <c r="J61" s="2" t="s">
        <v>1390</v>
      </c>
      <c r="K61" s="2">
        <v>170000</v>
      </c>
      <c r="L61" t="s">
        <v>35</v>
      </c>
      <c r="M61" t="s">
        <v>29</v>
      </c>
      <c r="N61" t="s">
        <v>30</v>
      </c>
      <c r="O61">
        <v>37219</v>
      </c>
      <c r="P61" t="s">
        <v>1391</v>
      </c>
      <c r="Q61" s="2">
        <v>12.02</v>
      </c>
      <c r="R61" s="2">
        <v>0</v>
      </c>
      <c r="S61" s="2">
        <v>0</v>
      </c>
      <c r="T61" t="s">
        <v>278</v>
      </c>
      <c r="U61" s="6">
        <v>36592</v>
      </c>
      <c r="V61" s="2">
        <v>47037011300</v>
      </c>
      <c r="W61" s="2" t="s">
        <v>68</v>
      </c>
      <c r="X61" s="1">
        <v>45658</v>
      </c>
      <c r="Y61" s="2">
        <v>525700</v>
      </c>
      <c r="Z61" s="2">
        <v>0</v>
      </c>
      <c r="AA61" s="2">
        <v>525700</v>
      </c>
    </row>
    <row r="62" spans="1:27" x14ac:dyDescent="0.3">
      <c r="A62" s="4" t="s">
        <v>1157</v>
      </c>
      <c r="B62" s="2" t="str">
        <f>"06100005700"</f>
        <v>06100005700</v>
      </c>
      <c r="C62" s="2" t="s">
        <v>1392</v>
      </c>
      <c r="D62" t="s">
        <v>29</v>
      </c>
      <c r="E62" s="2" t="s">
        <v>30</v>
      </c>
      <c r="F62" s="2">
        <v>37216</v>
      </c>
      <c r="G62" s="2" t="s">
        <v>64</v>
      </c>
      <c r="H62" t="s">
        <v>280</v>
      </c>
      <c r="I62" s="6">
        <v>31709</v>
      </c>
      <c r="J62" s="2" t="s">
        <v>1393</v>
      </c>
      <c r="K62" s="2">
        <v>19000</v>
      </c>
      <c r="L62" t="s">
        <v>35</v>
      </c>
      <c r="M62" t="s">
        <v>29</v>
      </c>
      <c r="N62" t="s">
        <v>30</v>
      </c>
      <c r="O62">
        <v>37219</v>
      </c>
      <c r="P62" t="s">
        <v>1394</v>
      </c>
      <c r="Q62" s="2">
        <v>0.35</v>
      </c>
      <c r="R62" s="2">
        <v>100</v>
      </c>
      <c r="S62" s="2">
        <v>150</v>
      </c>
      <c r="T62" t="s">
        <v>1395</v>
      </c>
      <c r="U62" s="6">
        <v>36056</v>
      </c>
      <c r="V62" s="2">
        <v>47037011002</v>
      </c>
      <c r="W62" s="2" t="s">
        <v>68</v>
      </c>
      <c r="X62" s="1">
        <v>45658</v>
      </c>
      <c r="Y62" s="2">
        <v>52500</v>
      </c>
      <c r="Z62" s="2">
        <v>0</v>
      </c>
      <c r="AA62" s="2">
        <v>52500</v>
      </c>
    </row>
    <row r="63" spans="1:27" x14ac:dyDescent="0.3">
      <c r="A63" s="4" t="s">
        <v>1157</v>
      </c>
      <c r="B63" s="2" t="str">
        <f>"06016006200"</f>
        <v>06016006200</v>
      </c>
      <c r="C63" s="2" t="s">
        <v>1396</v>
      </c>
      <c r="D63" t="s">
        <v>29</v>
      </c>
      <c r="E63" s="2" t="s">
        <v>30</v>
      </c>
      <c r="F63" s="2">
        <v>37207</v>
      </c>
      <c r="G63" s="2" t="s">
        <v>64</v>
      </c>
      <c r="H63" t="s">
        <v>280</v>
      </c>
      <c r="I63" s="6">
        <v>36888</v>
      </c>
      <c r="J63" s="2" t="s">
        <v>1397</v>
      </c>
      <c r="K63" s="2">
        <v>28200</v>
      </c>
      <c r="L63" t="s">
        <v>35</v>
      </c>
      <c r="M63" t="s">
        <v>29</v>
      </c>
      <c r="N63" t="s">
        <v>30</v>
      </c>
      <c r="O63">
        <v>37219</v>
      </c>
      <c r="P63" t="s">
        <v>1398</v>
      </c>
      <c r="Q63" s="2">
        <v>0.46</v>
      </c>
      <c r="R63" s="2">
        <v>99</v>
      </c>
      <c r="S63" s="2">
        <v>160</v>
      </c>
      <c r="T63" t="s">
        <v>1399</v>
      </c>
      <c r="U63" s="6">
        <v>35948</v>
      </c>
      <c r="V63" s="2">
        <v>47037011001</v>
      </c>
      <c r="W63" s="2" t="s">
        <v>68</v>
      </c>
      <c r="X63" s="1">
        <v>45658</v>
      </c>
      <c r="Y63" s="2">
        <v>190000</v>
      </c>
      <c r="Z63" s="2">
        <v>0</v>
      </c>
      <c r="AA63" s="2">
        <v>190000</v>
      </c>
    </row>
    <row r="64" spans="1:27" x14ac:dyDescent="0.3">
      <c r="A64" s="4" t="s">
        <v>1157</v>
      </c>
      <c r="B64" s="2" t="str">
        <f>"06016006300"</f>
        <v>06016006300</v>
      </c>
      <c r="C64" s="2" t="s">
        <v>1400</v>
      </c>
      <c r="D64" t="s">
        <v>29</v>
      </c>
      <c r="E64" s="2" t="s">
        <v>30</v>
      </c>
      <c r="F64" s="2">
        <v>37207</v>
      </c>
      <c r="G64" s="2" t="s">
        <v>64</v>
      </c>
      <c r="H64" t="s">
        <v>280</v>
      </c>
      <c r="I64" s="6">
        <v>37049</v>
      </c>
      <c r="J64" s="2" t="s">
        <v>1401</v>
      </c>
      <c r="K64" s="2">
        <v>70000</v>
      </c>
      <c r="L64" t="s">
        <v>35</v>
      </c>
      <c r="M64" t="s">
        <v>29</v>
      </c>
      <c r="N64" t="s">
        <v>30</v>
      </c>
      <c r="O64">
        <v>37219</v>
      </c>
      <c r="P64" t="s">
        <v>1402</v>
      </c>
      <c r="Q64" s="2">
        <v>0.46</v>
      </c>
      <c r="R64" s="2">
        <v>100</v>
      </c>
      <c r="S64" s="2">
        <v>177</v>
      </c>
      <c r="T64" t="s">
        <v>1399</v>
      </c>
      <c r="U64" s="6">
        <v>35948</v>
      </c>
      <c r="V64" s="2">
        <v>47037011001</v>
      </c>
      <c r="W64" s="2" t="s">
        <v>68</v>
      </c>
      <c r="X64" s="1">
        <v>45658</v>
      </c>
      <c r="Y64" s="2">
        <v>142500</v>
      </c>
      <c r="Z64" s="2">
        <v>0</v>
      </c>
      <c r="AA64" s="2">
        <v>142500</v>
      </c>
    </row>
    <row r="65" spans="1:27" x14ac:dyDescent="0.3">
      <c r="A65" s="4" t="s">
        <v>1157</v>
      </c>
      <c r="B65" s="2" t="str">
        <f>"06016006400"</f>
        <v>06016006400</v>
      </c>
      <c r="C65" s="2" t="s">
        <v>1403</v>
      </c>
      <c r="D65" t="s">
        <v>29</v>
      </c>
      <c r="E65" s="2" t="s">
        <v>30</v>
      </c>
      <c r="F65" s="2">
        <v>37207</v>
      </c>
      <c r="G65" s="2" t="s">
        <v>64</v>
      </c>
      <c r="H65" t="s">
        <v>280</v>
      </c>
      <c r="I65" s="6">
        <v>39120</v>
      </c>
      <c r="J65" s="2" t="s">
        <v>1404</v>
      </c>
      <c r="K65" s="2">
        <v>0</v>
      </c>
      <c r="L65" t="s">
        <v>35</v>
      </c>
      <c r="M65" t="s">
        <v>29</v>
      </c>
      <c r="N65" t="s">
        <v>30</v>
      </c>
      <c r="O65">
        <v>37219</v>
      </c>
      <c r="P65" t="s">
        <v>1405</v>
      </c>
      <c r="Q65" s="2">
        <v>0.46</v>
      </c>
      <c r="R65" s="2">
        <v>100</v>
      </c>
      <c r="S65" s="2">
        <v>193</v>
      </c>
      <c r="T65" t="s">
        <v>1399</v>
      </c>
      <c r="U65" s="6">
        <v>35948</v>
      </c>
      <c r="V65" s="2">
        <v>47037011001</v>
      </c>
      <c r="W65" s="2" t="s">
        <v>68</v>
      </c>
      <c r="X65" s="1">
        <v>45658</v>
      </c>
      <c r="Y65" s="2">
        <v>142500</v>
      </c>
      <c r="Z65" s="2">
        <v>0</v>
      </c>
      <c r="AA65" s="2">
        <v>142500</v>
      </c>
    </row>
    <row r="66" spans="1:27" x14ac:dyDescent="0.3">
      <c r="A66" s="4" t="s">
        <v>1157</v>
      </c>
      <c r="B66" s="2" t="str">
        <f>"06016004400"</f>
        <v>06016004400</v>
      </c>
      <c r="C66" s="2" t="s">
        <v>1406</v>
      </c>
      <c r="D66" t="s">
        <v>29</v>
      </c>
      <c r="E66" s="2" t="s">
        <v>30</v>
      </c>
      <c r="F66" s="2">
        <v>37207</v>
      </c>
      <c r="G66" s="2" t="s">
        <v>64</v>
      </c>
      <c r="H66" t="s">
        <v>280</v>
      </c>
      <c r="I66" s="6">
        <v>40051</v>
      </c>
      <c r="J66" s="2" t="s">
        <v>1407</v>
      </c>
      <c r="K66" s="2">
        <v>26014</v>
      </c>
      <c r="L66" t="s">
        <v>35</v>
      </c>
      <c r="M66" t="s">
        <v>29</v>
      </c>
      <c r="N66" t="s">
        <v>30</v>
      </c>
      <c r="O66">
        <v>37219</v>
      </c>
      <c r="P66" t="s">
        <v>1408</v>
      </c>
      <c r="Q66" s="2">
        <v>0.32</v>
      </c>
      <c r="R66" s="2">
        <v>75</v>
      </c>
      <c r="S66" s="2">
        <v>185</v>
      </c>
      <c r="T66" t="s">
        <v>1409</v>
      </c>
      <c r="U66" s="6">
        <v>26817</v>
      </c>
      <c r="V66" s="2">
        <v>47037011001</v>
      </c>
      <c r="W66" s="2" t="s">
        <v>68</v>
      </c>
      <c r="X66" s="1">
        <v>45658</v>
      </c>
      <c r="Y66" s="2">
        <v>175800</v>
      </c>
      <c r="Z66" s="2">
        <v>0</v>
      </c>
      <c r="AA66" s="2">
        <v>175800</v>
      </c>
    </row>
    <row r="67" spans="1:27" x14ac:dyDescent="0.3">
      <c r="A67" s="4" t="s">
        <v>1157</v>
      </c>
      <c r="B67" s="2" t="str">
        <f>"06016004300"</f>
        <v>06016004300</v>
      </c>
      <c r="C67" s="2" t="s">
        <v>1410</v>
      </c>
      <c r="D67" t="s">
        <v>29</v>
      </c>
      <c r="E67" s="2" t="s">
        <v>30</v>
      </c>
      <c r="F67" s="2">
        <v>37207</v>
      </c>
      <c r="G67" s="2" t="s">
        <v>64</v>
      </c>
      <c r="H67" t="s">
        <v>280</v>
      </c>
      <c r="I67" s="6">
        <v>37027</v>
      </c>
      <c r="J67" s="2" t="s">
        <v>1411</v>
      </c>
      <c r="K67" s="2">
        <v>75000</v>
      </c>
      <c r="L67" t="s">
        <v>35</v>
      </c>
      <c r="M67" t="s">
        <v>29</v>
      </c>
      <c r="N67" t="s">
        <v>30</v>
      </c>
      <c r="O67">
        <v>37219</v>
      </c>
      <c r="P67" t="s">
        <v>1412</v>
      </c>
      <c r="Q67" s="2">
        <v>0.28999999999999998</v>
      </c>
      <c r="R67" s="2">
        <v>75</v>
      </c>
      <c r="S67" s="2">
        <v>177</v>
      </c>
      <c r="T67" t="s">
        <v>1413</v>
      </c>
      <c r="U67" s="6">
        <v>22607</v>
      </c>
      <c r="V67" s="2">
        <v>47037011001</v>
      </c>
      <c r="W67" s="2" t="s">
        <v>68</v>
      </c>
      <c r="X67" s="1">
        <v>45658</v>
      </c>
      <c r="Y67" s="2">
        <v>175800</v>
      </c>
      <c r="Z67" s="2">
        <v>0</v>
      </c>
      <c r="AA67" s="2">
        <v>175800</v>
      </c>
    </row>
    <row r="68" spans="1:27" x14ac:dyDescent="0.3">
      <c r="A68" s="4" t="s">
        <v>1157</v>
      </c>
      <c r="B68" s="2" t="str">
        <f>"08204026700"</f>
        <v>08204026700</v>
      </c>
      <c r="C68" s="2" t="s">
        <v>1414</v>
      </c>
      <c r="D68" t="s">
        <v>29</v>
      </c>
      <c r="E68" s="2" t="s">
        <v>30</v>
      </c>
      <c r="F68" s="2">
        <v>37206</v>
      </c>
      <c r="G68" s="2" t="s">
        <v>64</v>
      </c>
      <c r="H68" t="s">
        <v>280</v>
      </c>
      <c r="I68" s="6">
        <v>35345</v>
      </c>
      <c r="J68" s="2" t="s">
        <v>1415</v>
      </c>
      <c r="K68" s="2">
        <v>30000</v>
      </c>
      <c r="L68" t="s">
        <v>35</v>
      </c>
      <c r="M68" t="s">
        <v>29</v>
      </c>
      <c r="N68" t="s">
        <v>30</v>
      </c>
      <c r="O68">
        <v>37219</v>
      </c>
      <c r="P68" t="s">
        <v>1416</v>
      </c>
      <c r="Q68" s="2">
        <v>0.1</v>
      </c>
      <c r="R68" s="2">
        <v>38</v>
      </c>
      <c r="S68" s="2">
        <v>130</v>
      </c>
      <c r="T68" t="s">
        <v>1417</v>
      </c>
      <c r="U68" s="6">
        <v>16839</v>
      </c>
      <c r="V68" s="2">
        <v>47037011700</v>
      </c>
      <c r="W68" s="2" t="s">
        <v>68</v>
      </c>
      <c r="X68" s="1">
        <v>45658</v>
      </c>
      <c r="Y68" s="2">
        <v>97500</v>
      </c>
      <c r="Z68" s="2">
        <v>0</v>
      </c>
      <c r="AA68" s="2">
        <v>97500</v>
      </c>
    </row>
    <row r="69" spans="1:27" x14ac:dyDescent="0.3">
      <c r="A69" s="4" t="s">
        <v>1157</v>
      </c>
      <c r="B69" s="2" t="str">
        <f>"08204028600"</f>
        <v>08204028600</v>
      </c>
      <c r="C69" s="2" t="s">
        <v>1418</v>
      </c>
      <c r="D69" t="s">
        <v>29</v>
      </c>
      <c r="E69" s="2" t="s">
        <v>30</v>
      </c>
      <c r="F69" s="2">
        <v>37206</v>
      </c>
      <c r="G69" s="2" t="s">
        <v>64</v>
      </c>
      <c r="H69" t="s">
        <v>280</v>
      </c>
      <c r="I69" s="6">
        <v>35335</v>
      </c>
      <c r="J69" s="2" t="s">
        <v>1419</v>
      </c>
      <c r="K69" s="2">
        <v>40000</v>
      </c>
      <c r="L69" t="s">
        <v>35</v>
      </c>
      <c r="M69" t="s">
        <v>29</v>
      </c>
      <c r="N69" t="s">
        <v>30</v>
      </c>
      <c r="O69">
        <v>37219</v>
      </c>
      <c r="P69" t="s">
        <v>1420</v>
      </c>
      <c r="Q69" s="2">
        <v>0.2</v>
      </c>
      <c r="R69" s="2">
        <v>50</v>
      </c>
      <c r="S69" s="2">
        <v>198</v>
      </c>
      <c r="T69" t="s">
        <v>1421</v>
      </c>
      <c r="U69" s="6">
        <v>30223</v>
      </c>
      <c r="V69" s="2">
        <v>47037011700</v>
      </c>
      <c r="W69" s="2" t="s">
        <v>68</v>
      </c>
      <c r="X69" s="1">
        <v>45658</v>
      </c>
      <c r="Y69" s="2">
        <v>235000</v>
      </c>
      <c r="Z69" s="2">
        <v>0</v>
      </c>
      <c r="AA69" s="2">
        <v>235000</v>
      </c>
    </row>
    <row r="70" spans="1:27" x14ac:dyDescent="0.3">
      <c r="A70" s="4" t="s">
        <v>1157</v>
      </c>
      <c r="B70" s="2" t="str">
        <f>"08203053900"</f>
        <v>08203053900</v>
      </c>
      <c r="C70" s="2" t="s">
        <v>1422</v>
      </c>
      <c r="D70" t="s">
        <v>29</v>
      </c>
      <c r="E70" s="2" t="s">
        <v>30</v>
      </c>
      <c r="F70" s="2">
        <v>37207</v>
      </c>
      <c r="G70" s="2" t="s">
        <v>64</v>
      </c>
      <c r="H70" t="s">
        <v>280</v>
      </c>
      <c r="I70" s="6">
        <v>42906</v>
      </c>
      <c r="J70" s="2" t="s">
        <v>1423</v>
      </c>
      <c r="K70" s="2" t="s">
        <v>34</v>
      </c>
      <c r="L70" t="s">
        <v>343</v>
      </c>
      <c r="M70" t="s">
        <v>29</v>
      </c>
      <c r="N70" t="s">
        <v>30</v>
      </c>
      <c r="O70">
        <v>37201</v>
      </c>
      <c r="P70" t="s">
        <v>1424</v>
      </c>
      <c r="Q70" s="2">
        <v>0.2</v>
      </c>
      <c r="R70" s="2">
        <v>58</v>
      </c>
      <c r="S70" s="2">
        <v>144</v>
      </c>
      <c r="T70" t="s">
        <v>1425</v>
      </c>
      <c r="U70" s="6">
        <v>26266</v>
      </c>
      <c r="V70" s="2">
        <v>47037012600</v>
      </c>
      <c r="W70" s="2" t="s">
        <v>68</v>
      </c>
      <c r="X70" s="1">
        <v>45658</v>
      </c>
      <c r="Y70" s="2">
        <v>390000</v>
      </c>
      <c r="Z70" s="2">
        <v>0</v>
      </c>
      <c r="AA70" s="2">
        <v>390000</v>
      </c>
    </row>
    <row r="71" spans="1:27" x14ac:dyDescent="0.3">
      <c r="A71" s="4" t="s">
        <v>1157</v>
      </c>
      <c r="B71" s="2" t="str">
        <f>"08204029200"</f>
        <v>08204029200</v>
      </c>
      <c r="C71" s="2" t="s">
        <v>1426</v>
      </c>
      <c r="D71" t="s">
        <v>29</v>
      </c>
      <c r="E71" s="2" t="s">
        <v>30</v>
      </c>
      <c r="F71" s="2">
        <v>37206</v>
      </c>
      <c r="G71" s="2" t="s">
        <v>64</v>
      </c>
      <c r="H71" t="s">
        <v>280</v>
      </c>
      <c r="I71" s="6">
        <v>35283</v>
      </c>
      <c r="J71" s="2" t="s">
        <v>1427</v>
      </c>
      <c r="K71" s="2">
        <v>50200</v>
      </c>
      <c r="L71" t="s">
        <v>35</v>
      </c>
      <c r="M71" t="s">
        <v>29</v>
      </c>
      <c r="N71" t="s">
        <v>30</v>
      </c>
      <c r="O71">
        <v>37219</v>
      </c>
      <c r="P71" t="s">
        <v>1428</v>
      </c>
      <c r="Q71" s="2">
        <v>0.45</v>
      </c>
      <c r="R71" s="2">
        <v>16</v>
      </c>
      <c r="S71" s="2">
        <v>171</v>
      </c>
      <c r="T71" t="s">
        <v>1429</v>
      </c>
      <c r="U71" s="6">
        <v>13210</v>
      </c>
      <c r="V71" s="2">
        <v>47037011700</v>
      </c>
      <c r="W71" s="2" t="s">
        <v>68</v>
      </c>
      <c r="X71" s="1">
        <v>45658</v>
      </c>
      <c r="Y71" s="2">
        <v>17000</v>
      </c>
      <c r="Z71" s="2">
        <v>0</v>
      </c>
      <c r="AA71" s="2">
        <v>17000</v>
      </c>
    </row>
    <row r="72" spans="1:27" x14ac:dyDescent="0.3">
      <c r="A72" s="4" t="s">
        <v>1157</v>
      </c>
      <c r="B72" s="2" t="str">
        <f>"08204029300"</f>
        <v>08204029300</v>
      </c>
      <c r="C72" s="2" t="s">
        <v>1430</v>
      </c>
      <c r="D72" t="s">
        <v>29</v>
      </c>
      <c r="E72" s="2" t="s">
        <v>30</v>
      </c>
      <c r="F72" s="2">
        <v>37206</v>
      </c>
      <c r="G72" s="2" t="s">
        <v>64</v>
      </c>
      <c r="H72" t="s">
        <v>280</v>
      </c>
      <c r="I72" s="6">
        <v>35305</v>
      </c>
      <c r="J72" s="2" t="s">
        <v>1431</v>
      </c>
      <c r="K72" s="2">
        <v>35000</v>
      </c>
      <c r="L72" t="s">
        <v>35</v>
      </c>
      <c r="M72" t="s">
        <v>29</v>
      </c>
      <c r="N72" t="s">
        <v>30</v>
      </c>
      <c r="O72">
        <v>37219</v>
      </c>
      <c r="P72" t="s">
        <v>1432</v>
      </c>
      <c r="Q72" s="2">
        <v>0.19</v>
      </c>
      <c r="R72" s="2">
        <v>50</v>
      </c>
      <c r="S72" s="2">
        <v>172</v>
      </c>
      <c r="T72" t="s">
        <v>1433</v>
      </c>
      <c r="U72" s="6">
        <v>26081</v>
      </c>
      <c r="V72" s="2">
        <v>47037011700</v>
      </c>
      <c r="W72" s="2" t="s">
        <v>68</v>
      </c>
      <c r="X72" s="1">
        <v>45658</v>
      </c>
      <c r="Y72" s="2">
        <v>235000</v>
      </c>
      <c r="Z72" s="2">
        <v>0</v>
      </c>
      <c r="AA72" s="2">
        <v>235000</v>
      </c>
    </row>
    <row r="73" spans="1:27" x14ac:dyDescent="0.3">
      <c r="A73" s="4" t="s">
        <v>1157</v>
      </c>
      <c r="B73" s="2" t="str">
        <f>"08204029400"</f>
        <v>08204029400</v>
      </c>
      <c r="C73" s="2" t="s">
        <v>1434</v>
      </c>
      <c r="D73" t="s">
        <v>29</v>
      </c>
      <c r="E73" s="2" t="s">
        <v>30</v>
      </c>
      <c r="F73" s="2">
        <v>37206</v>
      </c>
      <c r="G73" s="2" t="s">
        <v>64</v>
      </c>
      <c r="H73" t="s">
        <v>280</v>
      </c>
      <c r="I73" s="6">
        <v>35272</v>
      </c>
      <c r="J73" s="2" t="s">
        <v>1435</v>
      </c>
      <c r="K73" s="2">
        <v>25300</v>
      </c>
      <c r="L73" t="s">
        <v>35</v>
      </c>
      <c r="M73" t="s">
        <v>29</v>
      </c>
      <c r="N73" t="s">
        <v>30</v>
      </c>
      <c r="O73">
        <v>37219</v>
      </c>
      <c r="P73" t="s">
        <v>1436</v>
      </c>
      <c r="Q73" s="2">
        <v>0.21</v>
      </c>
      <c r="R73" s="2">
        <v>50</v>
      </c>
      <c r="S73" s="2">
        <v>172</v>
      </c>
      <c r="T73" t="s">
        <v>1437</v>
      </c>
      <c r="U73" s="6">
        <v>25568</v>
      </c>
      <c r="V73" s="2">
        <v>47037011700</v>
      </c>
      <c r="W73" s="2" t="s">
        <v>68</v>
      </c>
      <c r="X73" s="1">
        <v>45658</v>
      </c>
      <c r="Y73" s="2">
        <v>235000</v>
      </c>
      <c r="Z73" s="2">
        <v>0</v>
      </c>
      <c r="AA73" s="2">
        <v>235000</v>
      </c>
    </row>
    <row r="74" spans="1:27" x14ac:dyDescent="0.3">
      <c r="A74" s="4" t="s">
        <v>1157</v>
      </c>
      <c r="B74" s="2" t="str">
        <f>"08204029500"</f>
        <v>08204029500</v>
      </c>
      <c r="C74" s="2" t="s">
        <v>1438</v>
      </c>
      <c r="D74" t="s">
        <v>29</v>
      </c>
      <c r="E74" s="2" t="s">
        <v>30</v>
      </c>
      <c r="F74" s="2">
        <v>37206</v>
      </c>
      <c r="G74" s="2" t="s">
        <v>64</v>
      </c>
      <c r="H74" t="s">
        <v>280</v>
      </c>
      <c r="I74" s="6">
        <v>35268</v>
      </c>
      <c r="J74" s="2" t="s">
        <v>1439</v>
      </c>
      <c r="K74" s="2">
        <v>27750</v>
      </c>
      <c r="L74" t="s">
        <v>35</v>
      </c>
      <c r="M74" t="s">
        <v>29</v>
      </c>
      <c r="N74" t="s">
        <v>30</v>
      </c>
      <c r="O74">
        <v>37219</v>
      </c>
      <c r="P74" t="s">
        <v>1440</v>
      </c>
      <c r="Q74" s="2">
        <v>0.19</v>
      </c>
      <c r="R74" s="2">
        <v>50</v>
      </c>
      <c r="S74" s="2">
        <v>173</v>
      </c>
      <c r="T74" t="s">
        <v>1441</v>
      </c>
      <c r="U74" s="6">
        <v>27228</v>
      </c>
      <c r="V74" s="2">
        <v>47037011700</v>
      </c>
      <c r="W74" s="2" t="s">
        <v>68</v>
      </c>
      <c r="X74" s="1">
        <v>45658</v>
      </c>
      <c r="Y74" s="2">
        <v>235000</v>
      </c>
      <c r="Z74" s="2">
        <v>0</v>
      </c>
      <c r="AA74" s="2">
        <v>235000</v>
      </c>
    </row>
    <row r="75" spans="1:27" x14ac:dyDescent="0.3">
      <c r="A75" s="4" t="s">
        <v>1157</v>
      </c>
      <c r="B75" s="2" t="str">
        <f>"08204027200"</f>
        <v>08204027200</v>
      </c>
      <c r="C75" s="2" t="s">
        <v>1442</v>
      </c>
      <c r="D75" t="s">
        <v>29</v>
      </c>
      <c r="E75" s="2" t="s">
        <v>30</v>
      </c>
      <c r="F75" s="2">
        <v>37206</v>
      </c>
      <c r="G75" s="2" t="s">
        <v>64</v>
      </c>
      <c r="H75" t="s">
        <v>280</v>
      </c>
      <c r="I75" s="6">
        <v>36234</v>
      </c>
      <c r="J75" s="2" t="s">
        <v>1443</v>
      </c>
      <c r="K75" s="2">
        <v>2000</v>
      </c>
      <c r="L75" t="s">
        <v>35</v>
      </c>
      <c r="M75" t="s">
        <v>29</v>
      </c>
      <c r="N75" t="s">
        <v>30</v>
      </c>
      <c r="O75">
        <v>37219</v>
      </c>
      <c r="P75" t="s">
        <v>1444</v>
      </c>
      <c r="Q75" s="2">
        <v>0.93</v>
      </c>
      <c r="R75" s="2">
        <v>333</v>
      </c>
      <c r="S75" s="2">
        <v>173</v>
      </c>
      <c r="T75" t="s">
        <v>1445</v>
      </c>
      <c r="U75" s="6">
        <v>36313</v>
      </c>
      <c r="V75" s="2">
        <v>47037011700</v>
      </c>
      <c r="W75" s="2" t="s">
        <v>68</v>
      </c>
      <c r="X75" s="1">
        <v>45658</v>
      </c>
      <c r="Y75" s="2">
        <v>1215300</v>
      </c>
      <c r="Z75" s="2">
        <v>0</v>
      </c>
      <c r="AA75" s="2">
        <v>1215300</v>
      </c>
    </row>
    <row r="76" spans="1:27" x14ac:dyDescent="0.3">
      <c r="A76" s="4" t="s">
        <v>1157</v>
      </c>
      <c r="B76" s="2" t="str">
        <f>"07205005700"</f>
        <v>07205005700</v>
      </c>
      <c r="C76" s="2" t="s">
        <v>1446</v>
      </c>
      <c r="D76" t="s">
        <v>29</v>
      </c>
      <c r="E76" s="2" t="s">
        <v>30</v>
      </c>
      <c r="F76" s="2">
        <v>37207</v>
      </c>
      <c r="G76" s="2" t="s">
        <v>64</v>
      </c>
      <c r="H76" t="s">
        <v>280</v>
      </c>
      <c r="I76" s="6">
        <v>22635</v>
      </c>
      <c r="J76" s="2" t="s">
        <v>1447</v>
      </c>
      <c r="K76" s="2" t="s">
        <v>34</v>
      </c>
      <c r="L76" t="s">
        <v>35</v>
      </c>
      <c r="M76" t="s">
        <v>29</v>
      </c>
      <c r="N76" t="s">
        <v>30</v>
      </c>
      <c r="O76">
        <v>37219</v>
      </c>
      <c r="P76" t="s">
        <v>1448</v>
      </c>
      <c r="Q76" s="2">
        <v>1.38</v>
      </c>
      <c r="R76" s="2">
        <v>158</v>
      </c>
      <c r="S76" s="2">
        <v>302</v>
      </c>
      <c r="T76" t="s">
        <v>1449</v>
      </c>
      <c r="U76" s="6">
        <v>44077</v>
      </c>
      <c r="V76" s="2">
        <v>47037011300</v>
      </c>
      <c r="W76" s="2" t="s">
        <v>68</v>
      </c>
      <c r="X76" s="1">
        <v>45658</v>
      </c>
      <c r="Y76" s="2">
        <v>475000</v>
      </c>
      <c r="Z76" s="2">
        <v>0</v>
      </c>
      <c r="AA76" s="2">
        <v>475000</v>
      </c>
    </row>
    <row r="77" spans="1:27" x14ac:dyDescent="0.3">
      <c r="A77" s="4" t="s">
        <v>1157</v>
      </c>
      <c r="B77" s="2" t="str">
        <f>"07209019700"</f>
        <v>07209019700</v>
      </c>
      <c r="C77" s="2" t="s">
        <v>1450</v>
      </c>
      <c r="D77" t="s">
        <v>29</v>
      </c>
      <c r="E77" s="2" t="s">
        <v>30</v>
      </c>
      <c r="F77" s="2">
        <v>37216</v>
      </c>
      <c r="G77" s="2" t="s">
        <v>64</v>
      </c>
      <c r="H77" t="s">
        <v>280</v>
      </c>
      <c r="I77" s="6">
        <v>40156</v>
      </c>
      <c r="J77" s="2" t="s">
        <v>1451</v>
      </c>
      <c r="K77" s="2">
        <v>0</v>
      </c>
      <c r="L77" t="s">
        <v>35</v>
      </c>
      <c r="M77" t="s">
        <v>29</v>
      </c>
      <c r="N77" t="s">
        <v>30</v>
      </c>
      <c r="O77">
        <v>37219</v>
      </c>
      <c r="P77" t="s">
        <v>1452</v>
      </c>
      <c r="Q77" s="2">
        <v>0.22</v>
      </c>
      <c r="R77" s="2">
        <v>50</v>
      </c>
      <c r="S77" s="2">
        <v>192</v>
      </c>
      <c r="T77" t="s">
        <v>1453</v>
      </c>
      <c r="U77" s="6">
        <v>24589</v>
      </c>
      <c r="V77" s="2">
        <v>47037011400</v>
      </c>
      <c r="W77" s="2" t="s">
        <v>68</v>
      </c>
      <c r="X77" s="1">
        <v>45658</v>
      </c>
      <c r="Y77" s="2">
        <v>15000</v>
      </c>
      <c r="Z77" s="2">
        <v>0</v>
      </c>
      <c r="AA77" s="2">
        <v>15000</v>
      </c>
    </row>
    <row r="78" spans="1:27" x14ac:dyDescent="0.3">
      <c r="A78" s="4" t="s">
        <v>1157</v>
      </c>
      <c r="B78" s="2" t="str">
        <f>"08204026600"</f>
        <v>08204026600</v>
      </c>
      <c r="C78" s="2" t="s">
        <v>1454</v>
      </c>
      <c r="D78" t="s">
        <v>29</v>
      </c>
      <c r="E78" s="2" t="s">
        <v>30</v>
      </c>
      <c r="F78" s="2">
        <v>37206</v>
      </c>
      <c r="G78" s="2" t="s">
        <v>64</v>
      </c>
      <c r="H78" t="s">
        <v>280</v>
      </c>
      <c r="I78" s="6">
        <v>35304</v>
      </c>
      <c r="J78" s="2" t="s">
        <v>1455</v>
      </c>
      <c r="K78" s="2">
        <v>27800</v>
      </c>
      <c r="L78" t="s">
        <v>35</v>
      </c>
      <c r="M78" t="s">
        <v>29</v>
      </c>
      <c r="N78" t="s">
        <v>30</v>
      </c>
      <c r="O78">
        <v>37219</v>
      </c>
      <c r="P78" t="s">
        <v>1456</v>
      </c>
      <c r="Q78" s="2">
        <v>0.16</v>
      </c>
      <c r="R78" s="2">
        <v>122</v>
      </c>
      <c r="S78" s="2">
        <v>60</v>
      </c>
      <c r="T78" t="s">
        <v>1457</v>
      </c>
      <c r="U78" s="6">
        <v>10407</v>
      </c>
      <c r="V78" s="2">
        <v>47037011700</v>
      </c>
      <c r="W78" s="2" t="s">
        <v>68</v>
      </c>
      <c r="X78" s="1">
        <v>45658</v>
      </c>
      <c r="Y78" s="2">
        <v>114800</v>
      </c>
      <c r="Z78" s="2">
        <v>0</v>
      </c>
      <c r="AA78" s="2">
        <v>114800</v>
      </c>
    </row>
    <row r="79" spans="1:27" x14ac:dyDescent="0.3">
      <c r="A79" s="4" t="s">
        <v>1157</v>
      </c>
      <c r="B79" s="2" t="str">
        <f>"07103007600"</f>
        <v>07103007600</v>
      </c>
      <c r="C79" s="2" t="s">
        <v>1458</v>
      </c>
      <c r="D79" t="s">
        <v>29</v>
      </c>
      <c r="E79" s="2" t="s">
        <v>30</v>
      </c>
      <c r="F79" s="2">
        <v>37207</v>
      </c>
      <c r="G79" s="2" t="s">
        <v>64</v>
      </c>
      <c r="H79" t="s">
        <v>280</v>
      </c>
      <c r="I79" s="6">
        <v>39535</v>
      </c>
      <c r="J79" s="2" t="s">
        <v>1459</v>
      </c>
      <c r="K79" s="2">
        <v>0</v>
      </c>
      <c r="L79" t="s">
        <v>35</v>
      </c>
      <c r="M79" t="s">
        <v>29</v>
      </c>
      <c r="N79" t="s">
        <v>30</v>
      </c>
      <c r="O79">
        <v>37219</v>
      </c>
      <c r="P79" t="s">
        <v>1460</v>
      </c>
      <c r="Q79" s="2">
        <v>0.44</v>
      </c>
      <c r="R79" s="2">
        <v>95</v>
      </c>
      <c r="S79" s="2">
        <v>235</v>
      </c>
      <c r="T79" t="s">
        <v>1461</v>
      </c>
      <c r="U79" s="6">
        <v>17838</v>
      </c>
      <c r="V79" s="2">
        <v>47037011001</v>
      </c>
      <c r="W79" s="2" t="s">
        <v>68</v>
      </c>
      <c r="X79" s="1">
        <v>45658</v>
      </c>
      <c r="Y79" s="2">
        <v>180500</v>
      </c>
      <c r="Z79" s="2">
        <v>0</v>
      </c>
      <c r="AA79" s="2">
        <v>180500</v>
      </c>
    </row>
    <row r="80" spans="1:27" x14ac:dyDescent="0.3">
      <c r="A80" s="4" t="s">
        <v>1157</v>
      </c>
      <c r="B80" s="2" t="str">
        <f>"06016004200"</f>
        <v>06016004200</v>
      </c>
      <c r="C80" s="2" t="s">
        <v>1462</v>
      </c>
      <c r="D80" t="s">
        <v>29</v>
      </c>
      <c r="E80" s="2" t="s">
        <v>30</v>
      </c>
      <c r="F80" s="2">
        <v>37207</v>
      </c>
      <c r="G80" s="2" t="s">
        <v>64</v>
      </c>
      <c r="H80" t="s">
        <v>280</v>
      </c>
      <c r="I80" s="6">
        <v>41292</v>
      </c>
      <c r="J80" s="2" t="s">
        <v>1463</v>
      </c>
      <c r="K80" s="2">
        <v>0</v>
      </c>
      <c r="L80" t="s">
        <v>35</v>
      </c>
      <c r="M80" t="s">
        <v>29</v>
      </c>
      <c r="N80" t="s">
        <v>30</v>
      </c>
      <c r="O80">
        <v>37219</v>
      </c>
      <c r="P80" t="s">
        <v>1464</v>
      </c>
      <c r="Q80" s="2">
        <v>0.25</v>
      </c>
      <c r="R80" s="2">
        <v>97</v>
      </c>
      <c r="S80" s="2">
        <v>170</v>
      </c>
      <c r="T80" t="s">
        <v>1465</v>
      </c>
      <c r="U80" s="6">
        <v>24857</v>
      </c>
      <c r="V80" s="2">
        <v>47037011001</v>
      </c>
      <c r="W80" s="2" t="s">
        <v>68</v>
      </c>
      <c r="X80" s="1">
        <v>45658</v>
      </c>
      <c r="Y80" s="2">
        <v>170000</v>
      </c>
      <c r="Z80" s="2">
        <v>0</v>
      </c>
      <c r="AA80" s="2">
        <v>170000</v>
      </c>
    </row>
    <row r="81" spans="1:27" x14ac:dyDescent="0.3">
      <c r="A81" s="4" t="s">
        <v>1157</v>
      </c>
      <c r="B81" s="2" t="str">
        <f>"08204026800"</f>
        <v>08204026800</v>
      </c>
      <c r="C81" s="2" t="s">
        <v>1466</v>
      </c>
      <c r="D81" t="s">
        <v>29</v>
      </c>
      <c r="E81" s="2" t="s">
        <v>30</v>
      </c>
      <c r="F81" s="2">
        <v>37206</v>
      </c>
      <c r="G81" s="2" t="s">
        <v>64</v>
      </c>
      <c r="H81" t="s">
        <v>379</v>
      </c>
      <c r="I81" s="6">
        <v>44636</v>
      </c>
      <c r="J81" s="2" t="s">
        <v>1467</v>
      </c>
      <c r="K81" s="2" t="s">
        <v>34</v>
      </c>
      <c r="L81" t="s">
        <v>315</v>
      </c>
      <c r="M81" t="s">
        <v>29</v>
      </c>
      <c r="N81" t="s">
        <v>30</v>
      </c>
      <c r="O81">
        <v>37208</v>
      </c>
      <c r="P81" t="s">
        <v>1468</v>
      </c>
      <c r="Q81" s="2">
        <v>0.11</v>
      </c>
      <c r="R81" s="2">
        <v>37</v>
      </c>
      <c r="S81" s="2">
        <v>131</v>
      </c>
      <c r="T81" t="s">
        <v>1469</v>
      </c>
      <c r="U81" s="6">
        <v>19362</v>
      </c>
      <c r="V81" s="2">
        <v>47037011700</v>
      </c>
      <c r="W81" s="2" t="s">
        <v>68</v>
      </c>
      <c r="X81" s="1">
        <v>45658</v>
      </c>
      <c r="Y81" s="2">
        <v>97500</v>
      </c>
      <c r="Z81" s="2">
        <v>0</v>
      </c>
      <c r="AA81" s="2">
        <v>97500</v>
      </c>
    </row>
    <row r="82" spans="1:27" x14ac:dyDescent="0.3">
      <c r="A82" s="4" t="s">
        <v>1157</v>
      </c>
      <c r="B82" s="2" t="str">
        <f>"07205018400"</f>
        <v>07205018400</v>
      </c>
      <c r="C82" s="2" t="s">
        <v>1470</v>
      </c>
      <c r="D82" t="s">
        <v>29</v>
      </c>
      <c r="E82" s="2" t="s">
        <v>30</v>
      </c>
      <c r="F82" s="2">
        <v>37207</v>
      </c>
      <c r="G82" s="2" t="s">
        <v>1471</v>
      </c>
      <c r="H82" t="s">
        <v>379</v>
      </c>
      <c r="I82" s="6">
        <v>43964</v>
      </c>
      <c r="J82" s="2" t="s">
        <v>1472</v>
      </c>
      <c r="K82" s="2" t="s">
        <v>34</v>
      </c>
      <c r="L82" t="s">
        <v>35</v>
      </c>
      <c r="M82" t="s">
        <v>29</v>
      </c>
      <c r="N82" t="s">
        <v>30</v>
      </c>
      <c r="O82">
        <v>37219</v>
      </c>
      <c r="P82" t="s">
        <v>1473</v>
      </c>
      <c r="Q82" s="2">
        <v>0.15</v>
      </c>
      <c r="R82" s="2">
        <v>66</v>
      </c>
      <c r="S82" s="2">
        <v>95</v>
      </c>
      <c r="T82" t="s">
        <v>1474</v>
      </c>
      <c r="U82" s="6">
        <v>43507</v>
      </c>
      <c r="V82" s="2">
        <v>47037011300</v>
      </c>
      <c r="W82" s="2" t="s">
        <v>68</v>
      </c>
      <c r="X82" s="1">
        <v>45658</v>
      </c>
      <c r="Y82" s="2">
        <v>240900</v>
      </c>
      <c r="Z82" s="2">
        <v>44900</v>
      </c>
      <c r="AA82" s="2">
        <v>196000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5A41-5326-42EA-A82F-46A8829D7912}">
  <sheetPr>
    <tabColor rgb="FF002060"/>
  </sheetPr>
  <dimension ref="A1:AA40"/>
  <sheetViews>
    <sheetView workbookViewId="0">
      <selection activeCell="E28" sqref="E28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4" t="s">
        <v>1475</v>
      </c>
      <c r="B2" s="2" t="str">
        <f>"07300001600"</f>
        <v>07300001600</v>
      </c>
      <c r="C2" s="2" t="s">
        <v>1476</v>
      </c>
      <c r="D2" t="s">
        <v>29</v>
      </c>
      <c r="E2" s="2" t="s">
        <v>30</v>
      </c>
      <c r="F2" s="2">
        <v>37206</v>
      </c>
      <c r="G2" s="2" t="s">
        <v>41</v>
      </c>
      <c r="H2" t="s">
        <v>32</v>
      </c>
      <c r="I2" s="6">
        <v>40681</v>
      </c>
      <c r="J2" s="2" t="s">
        <v>1477</v>
      </c>
      <c r="K2" s="2">
        <v>1215000</v>
      </c>
      <c r="L2" t="s">
        <v>35</v>
      </c>
      <c r="M2" t="s">
        <v>29</v>
      </c>
      <c r="N2" t="s">
        <v>30</v>
      </c>
      <c r="O2">
        <v>37219</v>
      </c>
      <c r="P2" t="s">
        <v>1478</v>
      </c>
      <c r="Q2" s="2">
        <v>1.64</v>
      </c>
      <c r="R2" s="2">
        <v>0</v>
      </c>
      <c r="S2" s="2">
        <v>0</v>
      </c>
      <c r="T2" t="s">
        <v>1479</v>
      </c>
      <c r="U2" s="6">
        <v>19245</v>
      </c>
      <c r="V2" s="2">
        <v>47037011600</v>
      </c>
      <c r="W2" s="2" t="s">
        <v>68</v>
      </c>
      <c r="X2" s="1">
        <v>45658</v>
      </c>
      <c r="Y2" s="2">
        <v>61500</v>
      </c>
      <c r="Z2" s="2">
        <v>0</v>
      </c>
      <c r="AA2" s="2">
        <v>61500</v>
      </c>
    </row>
    <row r="3" spans="1:27" x14ac:dyDescent="0.3">
      <c r="A3" s="4" t="s">
        <v>1475</v>
      </c>
      <c r="B3" s="2" t="str">
        <f>"08310047500"</f>
        <v>08310047500</v>
      </c>
      <c r="C3" s="2" t="s">
        <v>1480</v>
      </c>
      <c r="D3" t="s">
        <v>29</v>
      </c>
      <c r="E3" s="2" t="s">
        <v>30</v>
      </c>
      <c r="F3" s="2">
        <v>37206</v>
      </c>
      <c r="G3" s="2" t="s">
        <v>34</v>
      </c>
      <c r="H3" t="s">
        <v>32</v>
      </c>
      <c r="I3" s="6">
        <v>45161</v>
      </c>
      <c r="J3" s="2" t="s">
        <v>1481</v>
      </c>
      <c r="K3" s="2">
        <v>0</v>
      </c>
      <c r="L3" t="s">
        <v>893</v>
      </c>
      <c r="M3" t="s">
        <v>29</v>
      </c>
      <c r="N3" t="s">
        <v>30</v>
      </c>
      <c r="O3">
        <v>37219</v>
      </c>
      <c r="P3" t="s">
        <v>1482</v>
      </c>
      <c r="Q3" s="2">
        <v>3.95</v>
      </c>
      <c r="R3" s="2">
        <v>25</v>
      </c>
      <c r="S3" s="2">
        <v>200</v>
      </c>
      <c r="T3" t="s">
        <v>1483</v>
      </c>
      <c r="U3" s="6">
        <v>45141</v>
      </c>
      <c r="V3" s="2">
        <v>47037012100</v>
      </c>
      <c r="W3" s="2" t="s">
        <v>837</v>
      </c>
      <c r="X3" s="1">
        <v>45658</v>
      </c>
      <c r="Y3" s="2">
        <v>380600</v>
      </c>
      <c r="Z3" s="2">
        <v>0</v>
      </c>
      <c r="AA3" s="2">
        <v>380600</v>
      </c>
    </row>
    <row r="4" spans="1:27" x14ac:dyDescent="0.3">
      <c r="A4" s="4" t="s">
        <v>1475</v>
      </c>
      <c r="B4" s="2" t="str">
        <f>"08400001400"</f>
        <v>08400001400</v>
      </c>
      <c r="C4" s="2" t="s">
        <v>1484</v>
      </c>
      <c r="D4" t="s">
        <v>29</v>
      </c>
      <c r="E4" s="2" t="s">
        <v>30</v>
      </c>
      <c r="F4" s="2">
        <v>37206</v>
      </c>
      <c r="G4" s="2" t="s">
        <v>1485</v>
      </c>
      <c r="H4" t="s">
        <v>32</v>
      </c>
      <c r="I4" s="6">
        <v>40681</v>
      </c>
      <c r="J4" s="2" t="s">
        <v>1477</v>
      </c>
      <c r="K4" s="2">
        <v>1215000</v>
      </c>
      <c r="L4" t="s">
        <v>35</v>
      </c>
      <c r="M4" t="s">
        <v>29</v>
      </c>
      <c r="N4" t="s">
        <v>30</v>
      </c>
      <c r="O4">
        <v>37219</v>
      </c>
      <c r="P4" t="s">
        <v>1486</v>
      </c>
      <c r="Q4" s="2">
        <v>1.56</v>
      </c>
      <c r="R4" s="2">
        <v>0</v>
      </c>
      <c r="S4" s="2">
        <v>0</v>
      </c>
      <c r="T4" t="s">
        <v>1487</v>
      </c>
      <c r="U4" s="6">
        <v>23712</v>
      </c>
      <c r="V4" s="2">
        <v>47037011600</v>
      </c>
      <c r="W4" s="2" t="s">
        <v>68</v>
      </c>
      <c r="X4" s="1">
        <v>45658</v>
      </c>
      <c r="Y4" s="2">
        <v>29300</v>
      </c>
      <c r="Z4" s="2">
        <v>0</v>
      </c>
      <c r="AA4" s="2">
        <v>29300</v>
      </c>
    </row>
    <row r="5" spans="1:27" x14ac:dyDescent="0.3">
      <c r="A5" s="4" t="s">
        <v>1475</v>
      </c>
      <c r="B5" s="2" t="str">
        <f>"08400000200"</f>
        <v>08400000200</v>
      </c>
      <c r="C5" s="2" t="s">
        <v>1488</v>
      </c>
      <c r="D5" t="s">
        <v>29</v>
      </c>
      <c r="E5" s="2" t="s">
        <v>30</v>
      </c>
      <c r="F5" s="2">
        <v>37206</v>
      </c>
      <c r="G5" s="2" t="s">
        <v>41</v>
      </c>
      <c r="H5" t="s">
        <v>32</v>
      </c>
      <c r="I5" s="6">
        <v>40681</v>
      </c>
      <c r="J5" s="2" t="s">
        <v>1477</v>
      </c>
      <c r="K5" s="2">
        <v>1215000</v>
      </c>
      <c r="L5" t="s">
        <v>35</v>
      </c>
      <c r="M5" t="s">
        <v>29</v>
      </c>
      <c r="N5" t="s">
        <v>30</v>
      </c>
      <c r="O5">
        <v>37219</v>
      </c>
      <c r="P5" t="s">
        <v>1489</v>
      </c>
      <c r="Q5" s="2">
        <v>3.76</v>
      </c>
      <c r="R5" s="2">
        <v>0</v>
      </c>
      <c r="S5" s="2">
        <v>0</v>
      </c>
      <c r="T5" t="s">
        <v>198</v>
      </c>
      <c r="U5" s="6">
        <v>27760</v>
      </c>
      <c r="V5" s="2">
        <v>47037011600</v>
      </c>
      <c r="W5" s="2" t="s">
        <v>68</v>
      </c>
      <c r="X5" s="1">
        <v>45658</v>
      </c>
      <c r="Y5" s="2">
        <v>141000</v>
      </c>
      <c r="Z5" s="2">
        <v>0</v>
      </c>
      <c r="AA5" s="2">
        <v>141000</v>
      </c>
    </row>
    <row r="6" spans="1:27" x14ac:dyDescent="0.3">
      <c r="A6" s="4" t="s">
        <v>1475</v>
      </c>
      <c r="B6" s="2" t="str">
        <f>"08400001000"</f>
        <v>08400001000</v>
      </c>
      <c r="C6" s="2" t="s">
        <v>1490</v>
      </c>
      <c r="D6" t="s">
        <v>29</v>
      </c>
      <c r="E6" s="2" t="s">
        <v>30</v>
      </c>
      <c r="F6" s="2">
        <v>37206</v>
      </c>
      <c r="G6" s="2" t="s">
        <v>398</v>
      </c>
      <c r="H6" t="s">
        <v>32</v>
      </c>
      <c r="I6" s="6">
        <v>34268</v>
      </c>
      <c r="J6" s="2" t="s">
        <v>1491</v>
      </c>
      <c r="K6" s="2" t="s">
        <v>34</v>
      </c>
      <c r="L6" t="s">
        <v>35</v>
      </c>
      <c r="M6" t="s">
        <v>29</v>
      </c>
      <c r="N6" t="s">
        <v>30</v>
      </c>
      <c r="O6">
        <v>37219</v>
      </c>
      <c r="P6" t="s">
        <v>1492</v>
      </c>
      <c r="Q6" s="2">
        <v>935.5</v>
      </c>
      <c r="R6" s="2">
        <v>0</v>
      </c>
      <c r="S6" s="2">
        <v>0</v>
      </c>
      <c r="T6" t="s">
        <v>198</v>
      </c>
      <c r="U6" s="6">
        <v>40909</v>
      </c>
      <c r="V6" s="2">
        <v>47037011600</v>
      </c>
      <c r="W6" s="2" t="s">
        <v>68</v>
      </c>
      <c r="X6" s="1">
        <v>45658</v>
      </c>
      <c r="Y6" s="2">
        <v>18603900</v>
      </c>
      <c r="Z6" s="2">
        <v>3869800</v>
      </c>
      <c r="AA6" s="2">
        <v>14734100</v>
      </c>
    </row>
    <row r="7" spans="1:27" x14ac:dyDescent="0.3">
      <c r="A7" s="4" t="s">
        <v>1475</v>
      </c>
      <c r="B7" s="2" t="str">
        <f>"08310032701"</f>
        <v>08310032701</v>
      </c>
      <c r="C7" s="2" t="s">
        <v>1493</v>
      </c>
      <c r="D7" t="s">
        <v>29</v>
      </c>
      <c r="E7" s="2" t="s">
        <v>30</v>
      </c>
      <c r="F7" s="2">
        <v>37206</v>
      </c>
      <c r="G7" s="2" t="s">
        <v>64</v>
      </c>
      <c r="H7" t="s">
        <v>99</v>
      </c>
      <c r="I7" s="6">
        <v>38966</v>
      </c>
      <c r="J7" s="2" t="s">
        <v>1494</v>
      </c>
      <c r="K7" s="2">
        <v>7395</v>
      </c>
      <c r="L7" t="s">
        <v>35</v>
      </c>
      <c r="M7" t="s">
        <v>29</v>
      </c>
      <c r="N7" t="s">
        <v>30</v>
      </c>
      <c r="O7">
        <v>37219</v>
      </c>
      <c r="P7" t="s">
        <v>1495</v>
      </c>
      <c r="Q7" s="2">
        <v>0.27</v>
      </c>
      <c r="R7" s="2">
        <v>50</v>
      </c>
      <c r="S7" s="2">
        <v>221</v>
      </c>
      <c r="T7" t="s">
        <v>1496</v>
      </c>
      <c r="U7" s="6">
        <v>23651</v>
      </c>
      <c r="V7" s="2">
        <v>47037012100</v>
      </c>
      <c r="W7" s="2" t="s">
        <v>68</v>
      </c>
      <c r="X7" s="1">
        <v>45658</v>
      </c>
      <c r="Y7" s="2">
        <v>36200</v>
      </c>
      <c r="Z7" s="2">
        <v>0</v>
      </c>
      <c r="AA7" s="2">
        <v>36200</v>
      </c>
    </row>
    <row r="8" spans="1:27" x14ac:dyDescent="0.3">
      <c r="A8" s="4" t="s">
        <v>1475</v>
      </c>
      <c r="B8" s="2" t="str">
        <f>"08314002600"</f>
        <v>08314002600</v>
      </c>
      <c r="C8" s="2" t="s">
        <v>1497</v>
      </c>
      <c r="D8" t="s">
        <v>29</v>
      </c>
      <c r="E8" s="2" t="s">
        <v>30</v>
      </c>
      <c r="F8" s="2">
        <v>37206</v>
      </c>
      <c r="G8" s="2" t="s">
        <v>152</v>
      </c>
      <c r="H8" t="s">
        <v>1498</v>
      </c>
      <c r="I8" s="6">
        <v>5182</v>
      </c>
      <c r="J8" s="2" t="s">
        <v>1499</v>
      </c>
      <c r="K8" s="2" t="s">
        <v>34</v>
      </c>
      <c r="L8" t="s">
        <v>35</v>
      </c>
      <c r="M8" t="s">
        <v>29</v>
      </c>
      <c r="N8" t="s">
        <v>30</v>
      </c>
      <c r="O8">
        <v>37219</v>
      </c>
      <c r="P8" t="s">
        <v>1500</v>
      </c>
      <c r="Q8" s="2">
        <v>0.18</v>
      </c>
      <c r="R8" s="2">
        <v>50</v>
      </c>
      <c r="S8" s="2">
        <v>160</v>
      </c>
      <c r="T8" t="s">
        <v>1499</v>
      </c>
      <c r="U8" s="6">
        <v>5182</v>
      </c>
      <c r="V8" s="2">
        <v>47037012200</v>
      </c>
      <c r="W8" s="2" t="s">
        <v>68</v>
      </c>
      <c r="X8" s="1">
        <v>45658</v>
      </c>
      <c r="Y8" s="2">
        <v>399000</v>
      </c>
      <c r="Z8" s="2">
        <v>0</v>
      </c>
      <c r="AA8" s="2">
        <v>399000</v>
      </c>
    </row>
    <row r="9" spans="1:27" x14ac:dyDescent="0.3">
      <c r="A9" s="4" t="s">
        <v>1475</v>
      </c>
      <c r="B9" s="2" t="str">
        <f>"08215011200"</f>
        <v>08215011200</v>
      </c>
      <c r="C9" s="2" t="s">
        <v>1501</v>
      </c>
      <c r="D9" t="s">
        <v>29</v>
      </c>
      <c r="E9" s="2" t="s">
        <v>30</v>
      </c>
      <c r="F9" s="2">
        <v>37206</v>
      </c>
      <c r="G9" s="2" t="s">
        <v>147</v>
      </c>
      <c r="H9" t="s">
        <v>1502</v>
      </c>
      <c r="I9" s="6">
        <v>22734</v>
      </c>
      <c r="J9" s="2" t="s">
        <v>1503</v>
      </c>
      <c r="K9" s="2" t="s">
        <v>34</v>
      </c>
      <c r="L9" t="s">
        <v>35</v>
      </c>
      <c r="M9" t="s">
        <v>29</v>
      </c>
      <c r="N9" t="s">
        <v>30</v>
      </c>
      <c r="O9">
        <v>37219</v>
      </c>
      <c r="P9" t="s">
        <v>1504</v>
      </c>
      <c r="Q9" s="2">
        <v>1.95</v>
      </c>
      <c r="R9" s="2">
        <v>242</v>
      </c>
      <c r="S9" s="2">
        <v>352</v>
      </c>
      <c r="T9" t="s">
        <v>1505</v>
      </c>
      <c r="U9" s="6">
        <v>31376</v>
      </c>
      <c r="V9" s="2">
        <v>47037019300</v>
      </c>
      <c r="W9" s="2" t="s">
        <v>68</v>
      </c>
      <c r="X9" s="1">
        <v>45658</v>
      </c>
      <c r="Y9" s="2">
        <v>10222100</v>
      </c>
      <c r="Z9" s="2">
        <v>0</v>
      </c>
      <c r="AA9" s="2">
        <v>10222100</v>
      </c>
    </row>
    <row r="10" spans="1:27" x14ac:dyDescent="0.3">
      <c r="A10" s="4" t="s">
        <v>1475</v>
      </c>
      <c r="B10" s="2" t="str">
        <f>"07214002800"</f>
        <v>07214002800</v>
      </c>
      <c r="C10" s="2" t="s">
        <v>1506</v>
      </c>
      <c r="D10" t="s">
        <v>29</v>
      </c>
      <c r="E10" s="2" t="s">
        <v>30</v>
      </c>
      <c r="F10" s="2">
        <v>37206</v>
      </c>
      <c r="G10" s="2" t="s">
        <v>147</v>
      </c>
      <c r="H10" t="s">
        <v>1131</v>
      </c>
      <c r="I10" s="6">
        <v>32400</v>
      </c>
      <c r="J10" s="2" t="s">
        <v>1507</v>
      </c>
      <c r="K10" s="2">
        <v>44000</v>
      </c>
      <c r="L10" t="s">
        <v>35</v>
      </c>
      <c r="M10" t="s">
        <v>29</v>
      </c>
      <c r="N10" t="s">
        <v>30</v>
      </c>
      <c r="O10">
        <v>37219</v>
      </c>
      <c r="P10" t="s">
        <v>1508</v>
      </c>
      <c r="Q10" s="2">
        <v>0.95</v>
      </c>
      <c r="R10" s="2">
        <v>151</v>
      </c>
      <c r="S10" s="2">
        <v>274</v>
      </c>
      <c r="T10" t="s">
        <v>278</v>
      </c>
      <c r="U10" s="6">
        <v>32469</v>
      </c>
      <c r="V10" s="2">
        <v>47037011400</v>
      </c>
      <c r="W10" s="2" t="s">
        <v>68</v>
      </c>
      <c r="X10" s="1">
        <v>45658</v>
      </c>
      <c r="Y10" s="2">
        <v>603800</v>
      </c>
      <c r="Z10" s="2">
        <v>0</v>
      </c>
      <c r="AA10" s="2">
        <v>603800</v>
      </c>
    </row>
    <row r="11" spans="1:27" x14ac:dyDescent="0.3">
      <c r="A11" s="4" t="s">
        <v>1475</v>
      </c>
      <c r="B11" s="2" t="str">
        <f>"08309008500"</f>
        <v>08309008500</v>
      </c>
      <c r="C11" s="2" t="s">
        <v>1509</v>
      </c>
      <c r="D11" t="s">
        <v>29</v>
      </c>
      <c r="E11" s="2" t="s">
        <v>30</v>
      </c>
      <c r="F11" s="2">
        <v>37206</v>
      </c>
      <c r="G11" s="2" t="s">
        <v>1510</v>
      </c>
      <c r="H11" t="s">
        <v>1511</v>
      </c>
      <c r="I11" s="6">
        <v>21689</v>
      </c>
      <c r="J11" s="2" t="s">
        <v>1512</v>
      </c>
      <c r="K11" s="2" t="s">
        <v>34</v>
      </c>
      <c r="L11" t="s">
        <v>35</v>
      </c>
      <c r="M11" t="s">
        <v>29</v>
      </c>
      <c r="N11" t="s">
        <v>30</v>
      </c>
      <c r="O11">
        <v>37219</v>
      </c>
      <c r="P11" t="s">
        <v>1513</v>
      </c>
      <c r="Q11" s="2">
        <v>0.81</v>
      </c>
      <c r="R11" s="2">
        <v>371</v>
      </c>
      <c r="S11" s="2">
        <v>218</v>
      </c>
      <c r="T11" t="s">
        <v>1512</v>
      </c>
      <c r="U11" s="6">
        <v>21689</v>
      </c>
      <c r="V11" s="2">
        <v>47037019200</v>
      </c>
      <c r="W11" s="2" t="s">
        <v>68</v>
      </c>
      <c r="X11" s="1">
        <v>45658</v>
      </c>
      <c r="Y11" s="2">
        <v>5292600</v>
      </c>
      <c r="Z11" s="2">
        <v>0</v>
      </c>
      <c r="AA11" s="2">
        <v>5292600</v>
      </c>
    </row>
    <row r="12" spans="1:27" x14ac:dyDescent="0.3">
      <c r="A12" s="4" t="s">
        <v>1475</v>
      </c>
      <c r="B12" s="2" t="str">
        <f>"08313000300"</f>
        <v>08313000300</v>
      </c>
      <c r="C12" s="2" t="s">
        <v>1514</v>
      </c>
      <c r="D12" t="s">
        <v>29</v>
      </c>
      <c r="E12" s="2" t="s">
        <v>30</v>
      </c>
      <c r="F12" s="2">
        <v>37206</v>
      </c>
      <c r="G12" s="2" t="s">
        <v>253</v>
      </c>
      <c r="H12" t="s">
        <v>171</v>
      </c>
      <c r="I12" s="6">
        <v>110</v>
      </c>
      <c r="J12" s="2" t="s">
        <v>1515</v>
      </c>
      <c r="K12" s="2" t="s">
        <v>34</v>
      </c>
      <c r="L12" t="s">
        <v>35</v>
      </c>
      <c r="M12" t="s">
        <v>29</v>
      </c>
      <c r="N12" t="s">
        <v>30</v>
      </c>
      <c r="O12">
        <v>37219</v>
      </c>
      <c r="P12" t="s">
        <v>1516</v>
      </c>
      <c r="Q12" s="2">
        <v>0.66</v>
      </c>
      <c r="R12" s="2">
        <v>145</v>
      </c>
      <c r="S12" s="2">
        <v>210</v>
      </c>
      <c r="T12" t="s">
        <v>1515</v>
      </c>
      <c r="U12" s="6">
        <v>110</v>
      </c>
      <c r="V12" s="2">
        <v>47037019200</v>
      </c>
      <c r="W12" s="2" t="s">
        <v>68</v>
      </c>
      <c r="X12" s="1">
        <v>45658</v>
      </c>
      <c r="Y12" s="2">
        <v>4574000</v>
      </c>
      <c r="Z12" s="2">
        <v>818300</v>
      </c>
      <c r="AA12" s="2">
        <v>3755700</v>
      </c>
    </row>
    <row r="13" spans="1:27" x14ac:dyDescent="0.3">
      <c r="A13" s="4" t="s">
        <v>1475</v>
      </c>
      <c r="B13" s="2" t="str">
        <f>"08313035800"</f>
        <v>08313035800</v>
      </c>
      <c r="C13" s="2" t="s">
        <v>1517</v>
      </c>
      <c r="D13" t="s">
        <v>29</v>
      </c>
      <c r="E13" s="2" t="s">
        <v>30</v>
      </c>
      <c r="F13" s="2">
        <v>37206</v>
      </c>
      <c r="G13" s="2" t="s">
        <v>64</v>
      </c>
      <c r="H13" t="s">
        <v>171</v>
      </c>
      <c r="I13" s="6">
        <v>35095</v>
      </c>
      <c r="J13" s="2" t="s">
        <v>1518</v>
      </c>
      <c r="K13" s="2">
        <v>17000</v>
      </c>
      <c r="L13" t="s">
        <v>35</v>
      </c>
      <c r="M13" t="s">
        <v>29</v>
      </c>
      <c r="N13" t="s">
        <v>30</v>
      </c>
      <c r="O13">
        <v>37219</v>
      </c>
      <c r="P13" t="s">
        <v>1519</v>
      </c>
      <c r="Q13" s="2">
        <v>0.56000000000000005</v>
      </c>
      <c r="R13" s="2">
        <v>250</v>
      </c>
      <c r="S13" s="2">
        <v>100</v>
      </c>
      <c r="T13" t="s">
        <v>1520</v>
      </c>
      <c r="U13" s="6">
        <v>24029</v>
      </c>
      <c r="V13" s="2">
        <v>47037012200</v>
      </c>
      <c r="W13" s="2" t="s">
        <v>68</v>
      </c>
      <c r="X13" s="1">
        <v>45658</v>
      </c>
      <c r="Y13" s="2">
        <v>494000</v>
      </c>
      <c r="Z13" s="2">
        <v>0</v>
      </c>
      <c r="AA13" s="2">
        <v>494000</v>
      </c>
    </row>
    <row r="14" spans="1:27" x14ac:dyDescent="0.3">
      <c r="A14" s="4" t="s">
        <v>1475</v>
      </c>
      <c r="B14" s="2" t="str">
        <f>"08405009400"</f>
        <v>08405009400</v>
      </c>
      <c r="C14" s="2" t="s">
        <v>1521</v>
      </c>
      <c r="D14" t="s">
        <v>29</v>
      </c>
      <c r="E14" s="2" t="s">
        <v>30</v>
      </c>
      <c r="F14" s="2">
        <v>37206</v>
      </c>
      <c r="G14" s="2" t="s">
        <v>64</v>
      </c>
      <c r="H14" t="s">
        <v>171</v>
      </c>
      <c r="I14" s="6">
        <v>40470</v>
      </c>
      <c r="J14" s="2" t="s">
        <v>1522</v>
      </c>
      <c r="K14" s="2">
        <v>0</v>
      </c>
      <c r="L14" t="s">
        <v>35</v>
      </c>
      <c r="M14" t="s">
        <v>29</v>
      </c>
      <c r="N14" t="s">
        <v>30</v>
      </c>
      <c r="O14">
        <v>37219</v>
      </c>
      <c r="P14" t="s">
        <v>1523</v>
      </c>
      <c r="Q14" s="2">
        <v>9.6199999999999992</v>
      </c>
      <c r="R14" s="2">
        <v>0</v>
      </c>
      <c r="S14" s="2">
        <v>0</v>
      </c>
      <c r="T14" t="s">
        <v>1524</v>
      </c>
      <c r="U14" s="6">
        <v>38497</v>
      </c>
      <c r="V14" s="2">
        <v>47037011600</v>
      </c>
      <c r="W14" s="2" t="s">
        <v>68</v>
      </c>
      <c r="X14" s="1">
        <v>45658</v>
      </c>
      <c r="Y14" s="2">
        <v>1010100</v>
      </c>
      <c r="Z14" s="2">
        <v>0</v>
      </c>
      <c r="AA14" s="2">
        <v>1010100</v>
      </c>
    </row>
    <row r="15" spans="1:27" x14ac:dyDescent="0.3">
      <c r="A15" s="4" t="s">
        <v>1475</v>
      </c>
      <c r="B15" s="2" t="str">
        <f>"08302017901"</f>
        <v>08302017901</v>
      </c>
      <c r="C15" s="2" t="s">
        <v>1525</v>
      </c>
      <c r="D15" t="s">
        <v>29</v>
      </c>
      <c r="E15" s="2" t="s">
        <v>30</v>
      </c>
      <c r="F15" s="2">
        <v>37206</v>
      </c>
      <c r="G15" s="2" t="s">
        <v>152</v>
      </c>
      <c r="H15" t="s">
        <v>176</v>
      </c>
      <c r="I15" s="6">
        <v>17128</v>
      </c>
      <c r="J15" s="2" t="s">
        <v>1526</v>
      </c>
      <c r="K15" s="2" t="s">
        <v>34</v>
      </c>
      <c r="L15" t="s">
        <v>178</v>
      </c>
      <c r="M15" t="s">
        <v>29</v>
      </c>
      <c r="N15" t="s">
        <v>30</v>
      </c>
      <c r="O15">
        <v>37246</v>
      </c>
      <c r="P15" t="s">
        <v>1527</v>
      </c>
      <c r="Q15" s="2">
        <v>0.5</v>
      </c>
      <c r="R15" s="2">
        <v>148</v>
      </c>
      <c r="S15" s="2">
        <v>325</v>
      </c>
      <c r="T15" t="s">
        <v>1526</v>
      </c>
      <c r="U15" s="6">
        <v>17128</v>
      </c>
      <c r="V15" s="2">
        <v>47037011400</v>
      </c>
      <c r="W15" s="2" t="s">
        <v>68</v>
      </c>
      <c r="X15" s="1">
        <v>45658</v>
      </c>
      <c r="Y15" s="2">
        <v>9400</v>
      </c>
      <c r="Z15" s="2">
        <v>0</v>
      </c>
      <c r="AA15" s="2">
        <v>9400</v>
      </c>
    </row>
    <row r="16" spans="1:27" x14ac:dyDescent="0.3">
      <c r="A16" s="4" t="s">
        <v>1475</v>
      </c>
      <c r="B16" s="2" t="str">
        <f>"09308008000"</f>
        <v>09308008000</v>
      </c>
      <c r="C16" s="2" t="s">
        <v>1528</v>
      </c>
      <c r="D16" t="s">
        <v>29</v>
      </c>
      <c r="E16" s="2" t="s">
        <v>30</v>
      </c>
      <c r="F16" s="2">
        <v>37213</v>
      </c>
      <c r="G16" s="2" t="s">
        <v>152</v>
      </c>
      <c r="H16" t="s">
        <v>176</v>
      </c>
      <c r="I16" s="6">
        <v>20689</v>
      </c>
      <c r="J16" s="2" t="s">
        <v>1529</v>
      </c>
      <c r="K16" s="2" t="s">
        <v>34</v>
      </c>
      <c r="L16" t="s">
        <v>178</v>
      </c>
      <c r="M16" t="s">
        <v>29</v>
      </c>
      <c r="N16" t="s">
        <v>30</v>
      </c>
      <c r="O16">
        <v>37246</v>
      </c>
      <c r="P16" t="s">
        <v>1530</v>
      </c>
      <c r="Q16" s="2">
        <v>0.17</v>
      </c>
      <c r="R16" s="2">
        <v>65</v>
      </c>
      <c r="S16" s="2">
        <v>114</v>
      </c>
      <c r="T16" t="s">
        <v>1529</v>
      </c>
      <c r="U16" s="6">
        <v>20689</v>
      </c>
      <c r="V16" s="2">
        <v>47037019200</v>
      </c>
      <c r="W16" s="2" t="s">
        <v>68</v>
      </c>
      <c r="X16" s="1">
        <v>45658</v>
      </c>
      <c r="Y16" s="2">
        <v>481700</v>
      </c>
      <c r="Z16" s="2">
        <v>0</v>
      </c>
      <c r="AA16" s="2">
        <v>481700</v>
      </c>
    </row>
    <row r="17" spans="1:27" x14ac:dyDescent="0.3">
      <c r="A17" s="4" t="s">
        <v>1475</v>
      </c>
      <c r="B17" s="2" t="str">
        <f>"08401002000"</f>
        <v>08401002000</v>
      </c>
      <c r="C17" s="2" t="s">
        <v>1531</v>
      </c>
      <c r="D17" t="s">
        <v>29</v>
      </c>
      <c r="E17" s="2" t="s">
        <v>30</v>
      </c>
      <c r="F17" s="2">
        <v>37206</v>
      </c>
      <c r="G17" s="2" t="s">
        <v>152</v>
      </c>
      <c r="H17" t="s">
        <v>176</v>
      </c>
      <c r="I17" s="6">
        <v>18993</v>
      </c>
      <c r="J17" s="2" t="s">
        <v>1532</v>
      </c>
      <c r="K17" s="2" t="s">
        <v>34</v>
      </c>
      <c r="L17" t="s">
        <v>178</v>
      </c>
      <c r="M17" t="s">
        <v>29</v>
      </c>
      <c r="N17" t="s">
        <v>30</v>
      </c>
      <c r="O17">
        <v>37246</v>
      </c>
      <c r="P17" t="s">
        <v>1533</v>
      </c>
      <c r="Q17" s="2">
        <v>0.23</v>
      </c>
      <c r="R17" s="2">
        <v>40</v>
      </c>
      <c r="S17" s="2">
        <v>180</v>
      </c>
      <c r="T17" t="s">
        <v>1534</v>
      </c>
      <c r="U17" s="6">
        <v>27607</v>
      </c>
      <c r="V17" s="2">
        <v>47037011600</v>
      </c>
      <c r="W17" s="2" t="s">
        <v>68</v>
      </c>
      <c r="X17" s="1">
        <v>45658</v>
      </c>
      <c r="Y17" s="2">
        <v>285000</v>
      </c>
      <c r="Z17" s="2">
        <v>0</v>
      </c>
      <c r="AA17" s="2">
        <v>285000</v>
      </c>
    </row>
    <row r="18" spans="1:27" x14ac:dyDescent="0.3">
      <c r="A18" s="4" t="s">
        <v>1475</v>
      </c>
      <c r="B18" s="2" t="str">
        <f>"08401015800"</f>
        <v>08401015800</v>
      </c>
      <c r="C18" s="2" t="s">
        <v>1535</v>
      </c>
      <c r="D18" t="s">
        <v>29</v>
      </c>
      <c r="E18" s="2" t="s">
        <v>30</v>
      </c>
      <c r="F18" s="2">
        <v>37206</v>
      </c>
      <c r="G18" s="2" t="s">
        <v>152</v>
      </c>
      <c r="H18" t="s">
        <v>1536</v>
      </c>
      <c r="I18" s="6">
        <v>26787</v>
      </c>
      <c r="J18" s="2" t="s">
        <v>1537</v>
      </c>
      <c r="K18" s="2" t="s">
        <v>34</v>
      </c>
      <c r="L18" t="s">
        <v>178</v>
      </c>
      <c r="M18" t="s">
        <v>29</v>
      </c>
      <c r="N18" t="s">
        <v>30</v>
      </c>
      <c r="O18">
        <v>37246</v>
      </c>
      <c r="P18" t="s">
        <v>1538</v>
      </c>
      <c r="Q18" s="2">
        <v>2.2799999999999998</v>
      </c>
      <c r="R18" s="2">
        <v>566</v>
      </c>
      <c r="S18" s="2">
        <v>0</v>
      </c>
      <c r="T18" t="s">
        <v>1539</v>
      </c>
      <c r="U18" s="6">
        <v>39071</v>
      </c>
      <c r="V18" s="2">
        <v>47037011600</v>
      </c>
      <c r="W18" s="2" t="s">
        <v>68</v>
      </c>
      <c r="X18" s="1">
        <v>45658</v>
      </c>
      <c r="Y18" s="2">
        <v>556100</v>
      </c>
      <c r="Z18" s="2">
        <v>0</v>
      </c>
      <c r="AA18" s="2">
        <v>556100</v>
      </c>
    </row>
    <row r="19" spans="1:27" x14ac:dyDescent="0.3">
      <c r="A19" s="4" t="s">
        <v>1475</v>
      </c>
      <c r="B19" s="2" t="str">
        <f>"08314036400"</f>
        <v>08314036400</v>
      </c>
      <c r="C19" s="2" t="s">
        <v>1540</v>
      </c>
      <c r="D19" t="s">
        <v>29</v>
      </c>
      <c r="E19" s="2" t="s">
        <v>30</v>
      </c>
      <c r="F19" s="2">
        <v>37206</v>
      </c>
      <c r="G19" s="2" t="s">
        <v>200</v>
      </c>
      <c r="H19" t="s">
        <v>1541</v>
      </c>
      <c r="I19" s="6">
        <v>8017</v>
      </c>
      <c r="J19" s="2" t="s">
        <v>1542</v>
      </c>
      <c r="K19" s="2" t="s">
        <v>34</v>
      </c>
      <c r="L19" t="s">
        <v>35</v>
      </c>
      <c r="M19" t="s">
        <v>29</v>
      </c>
      <c r="N19" t="s">
        <v>30</v>
      </c>
      <c r="O19">
        <v>37219</v>
      </c>
      <c r="P19" t="s">
        <v>1543</v>
      </c>
      <c r="Q19" s="2">
        <v>0.18</v>
      </c>
      <c r="R19" s="2">
        <v>50</v>
      </c>
      <c r="S19" s="2">
        <v>160</v>
      </c>
      <c r="T19" t="s">
        <v>1542</v>
      </c>
      <c r="U19" s="6">
        <v>8017</v>
      </c>
      <c r="V19" s="2">
        <v>47037012200</v>
      </c>
      <c r="W19" s="2" t="s">
        <v>68</v>
      </c>
      <c r="X19" s="1">
        <v>45658</v>
      </c>
      <c r="Y19" s="2">
        <v>399000</v>
      </c>
      <c r="Z19" s="2">
        <v>0</v>
      </c>
      <c r="AA19" s="2">
        <v>399000</v>
      </c>
    </row>
    <row r="20" spans="1:27" x14ac:dyDescent="0.3">
      <c r="A20" s="4" t="s">
        <v>1475</v>
      </c>
      <c r="B20" s="2" t="str">
        <f>"08216009400"</f>
        <v>08216009400</v>
      </c>
      <c r="C20" s="2" t="s">
        <v>1544</v>
      </c>
      <c r="D20" t="s">
        <v>29</v>
      </c>
      <c r="E20" s="2" t="s">
        <v>30</v>
      </c>
      <c r="F20" s="2">
        <v>37206</v>
      </c>
      <c r="G20" s="2" t="s">
        <v>200</v>
      </c>
      <c r="H20" t="s">
        <v>1545</v>
      </c>
      <c r="I20" s="6">
        <v>23121</v>
      </c>
      <c r="J20" s="2" t="s">
        <v>1546</v>
      </c>
      <c r="K20" s="2" t="s">
        <v>34</v>
      </c>
      <c r="L20" t="s">
        <v>35</v>
      </c>
      <c r="M20" t="s">
        <v>29</v>
      </c>
      <c r="N20" t="s">
        <v>30</v>
      </c>
      <c r="O20">
        <v>37219</v>
      </c>
      <c r="P20" t="s">
        <v>1547</v>
      </c>
      <c r="Q20" s="2">
        <v>10.26</v>
      </c>
      <c r="R20" s="2">
        <v>0</v>
      </c>
      <c r="S20" s="2">
        <v>0</v>
      </c>
      <c r="T20" t="s">
        <v>1548</v>
      </c>
      <c r="U20" s="6">
        <v>23121</v>
      </c>
      <c r="V20" s="2">
        <v>47037019200</v>
      </c>
      <c r="W20" s="2" t="s">
        <v>68</v>
      </c>
      <c r="X20" s="1">
        <v>45658</v>
      </c>
      <c r="Y20" s="2">
        <v>2975400</v>
      </c>
      <c r="Z20" s="2">
        <v>0</v>
      </c>
      <c r="AA20" s="2">
        <v>2975400</v>
      </c>
    </row>
    <row r="21" spans="1:27" x14ac:dyDescent="0.3">
      <c r="A21" s="4" t="s">
        <v>1475</v>
      </c>
      <c r="B21" s="2" t="str">
        <f>"07214020500"</f>
        <v>07214020500</v>
      </c>
      <c r="C21" s="2" t="s">
        <v>1549</v>
      </c>
      <c r="D21" t="s">
        <v>29</v>
      </c>
      <c r="E21" s="2" t="s">
        <v>30</v>
      </c>
      <c r="F21" s="2">
        <v>37206</v>
      </c>
      <c r="G21" s="2" t="s">
        <v>200</v>
      </c>
      <c r="H21" t="s">
        <v>1550</v>
      </c>
      <c r="I21" s="6">
        <v>6888</v>
      </c>
      <c r="J21" s="2" t="s">
        <v>1551</v>
      </c>
      <c r="K21" s="2" t="s">
        <v>34</v>
      </c>
      <c r="L21" t="s">
        <v>35</v>
      </c>
      <c r="M21" t="s">
        <v>29</v>
      </c>
      <c r="N21" t="s">
        <v>30</v>
      </c>
      <c r="O21">
        <v>37219</v>
      </c>
      <c r="P21" t="s">
        <v>1552</v>
      </c>
      <c r="Q21" s="2">
        <v>2.39</v>
      </c>
      <c r="R21" s="2">
        <v>364</v>
      </c>
      <c r="S21" s="2">
        <v>185</v>
      </c>
      <c r="T21" t="s">
        <v>278</v>
      </c>
      <c r="U21" s="6">
        <v>36574</v>
      </c>
      <c r="V21" s="2">
        <v>47037011700</v>
      </c>
      <c r="W21" s="2" t="s">
        <v>68</v>
      </c>
      <c r="X21" s="1">
        <v>45658</v>
      </c>
      <c r="Y21" s="2">
        <v>1087500</v>
      </c>
      <c r="Z21" s="2">
        <v>0</v>
      </c>
      <c r="AA21" s="2">
        <v>1087500</v>
      </c>
    </row>
    <row r="22" spans="1:27" x14ac:dyDescent="0.3">
      <c r="A22" s="4" t="s">
        <v>1475</v>
      </c>
      <c r="B22" s="2" t="str">
        <f>"09304014500"</f>
        <v>09304014500</v>
      </c>
      <c r="C22" s="2" t="s">
        <v>1553</v>
      </c>
      <c r="D22" t="s">
        <v>29</v>
      </c>
      <c r="E22" s="2" t="s">
        <v>30</v>
      </c>
      <c r="F22" s="2">
        <v>37206</v>
      </c>
      <c r="G22" s="2" t="s">
        <v>200</v>
      </c>
      <c r="H22" t="s">
        <v>1554</v>
      </c>
      <c r="I22" s="6">
        <v>22655</v>
      </c>
      <c r="J22" s="2" t="s">
        <v>1555</v>
      </c>
      <c r="K22" s="2" t="s">
        <v>34</v>
      </c>
      <c r="L22" t="s">
        <v>85</v>
      </c>
      <c r="M22" t="s">
        <v>29</v>
      </c>
      <c r="N22" t="s">
        <v>30</v>
      </c>
      <c r="O22">
        <v>37219</v>
      </c>
      <c r="P22" t="s">
        <v>1556</v>
      </c>
      <c r="Q22" s="2">
        <v>2.81</v>
      </c>
      <c r="R22" s="2">
        <v>217</v>
      </c>
      <c r="S22" s="2">
        <v>208</v>
      </c>
      <c r="T22" t="s">
        <v>1557</v>
      </c>
      <c r="U22" s="6">
        <v>43860</v>
      </c>
      <c r="V22" s="2">
        <v>47037019200</v>
      </c>
      <c r="W22" s="2" t="s">
        <v>837</v>
      </c>
      <c r="X22" s="1">
        <v>45658</v>
      </c>
      <c r="Y22" s="2">
        <v>702500</v>
      </c>
      <c r="Z22" s="2">
        <v>0</v>
      </c>
      <c r="AA22" s="2">
        <v>702500</v>
      </c>
    </row>
    <row r="23" spans="1:27" x14ac:dyDescent="0.3">
      <c r="A23" s="4" t="s">
        <v>1475</v>
      </c>
      <c r="B23" s="2" t="str">
        <f>"08310032100"</f>
        <v>08310032100</v>
      </c>
      <c r="C23" s="2" t="s">
        <v>1558</v>
      </c>
      <c r="D23" t="s">
        <v>29</v>
      </c>
      <c r="E23" s="2" t="s">
        <v>30</v>
      </c>
      <c r="F23" s="2">
        <v>37206</v>
      </c>
      <c r="G23" s="2" t="s">
        <v>64</v>
      </c>
      <c r="H23" t="s">
        <v>206</v>
      </c>
      <c r="I23" s="6">
        <v>40843</v>
      </c>
      <c r="J23" s="2" t="s">
        <v>1559</v>
      </c>
      <c r="K23" s="2">
        <v>0</v>
      </c>
      <c r="L23" t="s">
        <v>1560</v>
      </c>
      <c r="M23" t="s">
        <v>29</v>
      </c>
      <c r="N23" t="s">
        <v>30</v>
      </c>
      <c r="O23">
        <v>37219</v>
      </c>
      <c r="P23" t="s">
        <v>1561</v>
      </c>
      <c r="Q23" s="2">
        <v>2.29</v>
      </c>
      <c r="R23" s="2">
        <v>200</v>
      </c>
      <c r="S23" s="2">
        <v>352</v>
      </c>
      <c r="T23" t="s">
        <v>1562</v>
      </c>
      <c r="U23" s="6">
        <v>26651</v>
      </c>
      <c r="V23" s="2">
        <v>47037012100</v>
      </c>
      <c r="W23" s="2" t="s">
        <v>68</v>
      </c>
      <c r="X23" s="1">
        <v>45658</v>
      </c>
      <c r="Y23" s="2">
        <v>906500</v>
      </c>
      <c r="Z23" s="2">
        <v>0</v>
      </c>
      <c r="AA23" s="2">
        <v>906500</v>
      </c>
    </row>
    <row r="24" spans="1:27" x14ac:dyDescent="0.3">
      <c r="A24" s="4" t="s">
        <v>1475</v>
      </c>
      <c r="B24" s="2" t="str">
        <f>"09402022600"</f>
        <v>09402022600</v>
      </c>
      <c r="C24" s="2" t="s">
        <v>1563</v>
      </c>
      <c r="D24" t="s">
        <v>29</v>
      </c>
      <c r="E24" s="2" t="s">
        <v>30</v>
      </c>
      <c r="F24" s="2">
        <v>37206</v>
      </c>
      <c r="G24" s="2" t="s">
        <v>200</v>
      </c>
      <c r="H24" t="s">
        <v>1564</v>
      </c>
      <c r="I24" s="6">
        <v>10044</v>
      </c>
      <c r="J24" s="2" t="s">
        <v>1565</v>
      </c>
      <c r="K24" s="2" t="s">
        <v>34</v>
      </c>
      <c r="L24" t="s">
        <v>35</v>
      </c>
      <c r="M24" t="s">
        <v>29</v>
      </c>
      <c r="N24" t="s">
        <v>30</v>
      </c>
      <c r="O24">
        <v>37219</v>
      </c>
      <c r="P24" t="s">
        <v>1566</v>
      </c>
      <c r="Q24" s="2">
        <v>1.1200000000000001</v>
      </c>
      <c r="R24" s="2">
        <v>150</v>
      </c>
      <c r="S24" s="2">
        <v>315</v>
      </c>
      <c r="T24" t="s">
        <v>1565</v>
      </c>
      <c r="U24" s="6">
        <v>10044</v>
      </c>
      <c r="V24" s="2">
        <v>47037012200</v>
      </c>
      <c r="W24" s="2" t="s">
        <v>68</v>
      </c>
      <c r="X24" s="1">
        <v>45658</v>
      </c>
      <c r="Y24" s="2">
        <v>519800</v>
      </c>
      <c r="Z24" s="2">
        <v>0</v>
      </c>
      <c r="AA24" s="2">
        <v>519800</v>
      </c>
    </row>
    <row r="25" spans="1:27" x14ac:dyDescent="0.3">
      <c r="A25" s="4" t="s">
        <v>1475</v>
      </c>
      <c r="B25" s="2" t="str">
        <f>"09402020700"</f>
        <v>09402020700</v>
      </c>
      <c r="C25" s="2" t="s">
        <v>1567</v>
      </c>
      <c r="D25" t="s">
        <v>29</v>
      </c>
      <c r="E25" s="2" t="s">
        <v>30</v>
      </c>
      <c r="F25" s="2">
        <v>37206</v>
      </c>
      <c r="G25" s="2" t="s">
        <v>200</v>
      </c>
      <c r="H25" t="s">
        <v>1564</v>
      </c>
      <c r="I25" s="6">
        <v>13949</v>
      </c>
      <c r="J25" s="2" t="s">
        <v>1568</v>
      </c>
      <c r="K25" s="2" t="s">
        <v>34</v>
      </c>
      <c r="L25" t="s">
        <v>35</v>
      </c>
      <c r="M25" t="s">
        <v>29</v>
      </c>
      <c r="N25" t="s">
        <v>30</v>
      </c>
      <c r="O25">
        <v>37219</v>
      </c>
      <c r="P25" t="s">
        <v>1569</v>
      </c>
      <c r="Q25" s="2">
        <v>0.17</v>
      </c>
      <c r="R25" s="2">
        <v>50</v>
      </c>
      <c r="S25" s="2">
        <v>150</v>
      </c>
      <c r="T25" t="s">
        <v>1568</v>
      </c>
      <c r="U25" s="6">
        <v>13949</v>
      </c>
      <c r="V25" s="2">
        <v>47037012200</v>
      </c>
      <c r="W25" s="2" t="s">
        <v>68</v>
      </c>
      <c r="X25" s="1">
        <v>45658</v>
      </c>
      <c r="Y25" s="2">
        <v>380000</v>
      </c>
      <c r="Z25" s="2">
        <v>0</v>
      </c>
      <c r="AA25" s="2">
        <v>380000</v>
      </c>
    </row>
    <row r="26" spans="1:27" x14ac:dyDescent="0.3">
      <c r="A26" s="4" t="s">
        <v>1475</v>
      </c>
      <c r="B26" s="2" t="str">
        <f>"09402022500"</f>
        <v>09402022500</v>
      </c>
      <c r="C26" s="2" t="s">
        <v>1570</v>
      </c>
      <c r="D26" t="s">
        <v>29</v>
      </c>
      <c r="E26" s="2" t="s">
        <v>30</v>
      </c>
      <c r="F26" s="2">
        <v>37206</v>
      </c>
      <c r="G26" s="2" t="s">
        <v>200</v>
      </c>
      <c r="H26" t="s">
        <v>1564</v>
      </c>
      <c r="I26" s="6">
        <v>9863</v>
      </c>
      <c r="J26" s="2" t="s">
        <v>1571</v>
      </c>
      <c r="K26" s="2" t="s">
        <v>34</v>
      </c>
      <c r="L26" t="s">
        <v>35</v>
      </c>
      <c r="M26" t="s">
        <v>29</v>
      </c>
      <c r="N26" t="s">
        <v>30</v>
      </c>
      <c r="O26">
        <v>37219</v>
      </c>
      <c r="P26" t="s">
        <v>1572</v>
      </c>
      <c r="Q26" s="2">
        <v>0.56999999999999995</v>
      </c>
      <c r="R26" s="2">
        <v>150</v>
      </c>
      <c r="S26" s="2">
        <v>160</v>
      </c>
      <c r="T26" t="s">
        <v>1565</v>
      </c>
      <c r="U26" s="6">
        <v>10075</v>
      </c>
      <c r="V26" s="2">
        <v>47037012200</v>
      </c>
      <c r="W26" s="2" t="s">
        <v>68</v>
      </c>
      <c r="X26" s="1">
        <v>45658</v>
      </c>
      <c r="Y26" s="2">
        <v>435500</v>
      </c>
      <c r="Z26" s="2">
        <v>0</v>
      </c>
      <c r="AA26" s="2">
        <v>435500</v>
      </c>
    </row>
    <row r="27" spans="1:27" x14ac:dyDescent="0.3">
      <c r="A27" s="4" t="s">
        <v>1475</v>
      </c>
      <c r="B27" s="2" t="str">
        <f>"09402022900"</f>
        <v>09402022900</v>
      </c>
      <c r="C27" s="2" t="s">
        <v>1573</v>
      </c>
      <c r="D27" t="s">
        <v>29</v>
      </c>
      <c r="E27" s="2" t="s">
        <v>30</v>
      </c>
      <c r="F27" s="2">
        <v>37206</v>
      </c>
      <c r="G27" s="2" t="s">
        <v>200</v>
      </c>
      <c r="H27" t="s">
        <v>1564</v>
      </c>
      <c r="I27" s="6">
        <v>27395</v>
      </c>
      <c r="J27" s="2" t="s">
        <v>1574</v>
      </c>
      <c r="K27" s="2" t="s">
        <v>34</v>
      </c>
      <c r="L27" t="s">
        <v>35</v>
      </c>
      <c r="M27" t="s">
        <v>29</v>
      </c>
      <c r="N27" t="s">
        <v>30</v>
      </c>
      <c r="O27">
        <v>37219</v>
      </c>
      <c r="P27" t="s">
        <v>1575</v>
      </c>
      <c r="Q27" s="2">
        <v>336.43</v>
      </c>
      <c r="R27" s="2">
        <v>0</v>
      </c>
      <c r="S27" s="2">
        <v>0</v>
      </c>
      <c r="T27" t="s">
        <v>278</v>
      </c>
      <c r="U27" s="6">
        <v>36580</v>
      </c>
      <c r="V27" s="2">
        <v>47037012200</v>
      </c>
      <c r="W27" s="2" t="s">
        <v>68</v>
      </c>
      <c r="X27" s="1">
        <v>45658</v>
      </c>
      <c r="Y27" s="2">
        <v>23550100</v>
      </c>
      <c r="Z27" s="2">
        <v>0</v>
      </c>
      <c r="AA27" s="2">
        <v>23550100</v>
      </c>
    </row>
    <row r="28" spans="1:27" x14ac:dyDescent="0.3">
      <c r="A28" s="4" t="s">
        <v>1475</v>
      </c>
      <c r="B28" s="2" t="str">
        <f>"09304007600"</f>
        <v>09304007600</v>
      </c>
      <c r="C28" s="2" t="s">
        <v>1576</v>
      </c>
      <c r="D28" t="s">
        <v>29</v>
      </c>
      <c r="E28" s="2" t="s">
        <v>30</v>
      </c>
      <c r="F28" s="2">
        <v>37206</v>
      </c>
      <c r="G28" s="2" t="s">
        <v>152</v>
      </c>
      <c r="H28" t="s">
        <v>1332</v>
      </c>
      <c r="I28" s="6">
        <v>27395</v>
      </c>
      <c r="J28" s="2" t="s">
        <v>1577</v>
      </c>
      <c r="K28" s="2">
        <v>0</v>
      </c>
      <c r="L28" t="s">
        <v>35</v>
      </c>
      <c r="M28" t="s">
        <v>29</v>
      </c>
      <c r="N28" t="s">
        <v>30</v>
      </c>
      <c r="O28">
        <v>37219</v>
      </c>
      <c r="P28" t="s">
        <v>1578</v>
      </c>
      <c r="Q28" s="2">
        <v>8.68</v>
      </c>
      <c r="R28" s="2">
        <v>0</v>
      </c>
      <c r="S28" s="2">
        <v>0</v>
      </c>
      <c r="T28" t="s">
        <v>278</v>
      </c>
      <c r="U28" s="6">
        <v>32387</v>
      </c>
      <c r="V28" s="2">
        <v>47037019300</v>
      </c>
      <c r="W28" s="2" t="s">
        <v>68</v>
      </c>
      <c r="X28" s="1">
        <v>45658</v>
      </c>
      <c r="Y28" s="2">
        <v>24576600</v>
      </c>
      <c r="Z28" s="2">
        <v>0</v>
      </c>
      <c r="AA28" s="2">
        <v>24576600</v>
      </c>
    </row>
    <row r="29" spans="1:27" x14ac:dyDescent="0.3">
      <c r="A29" s="4" t="s">
        <v>1475</v>
      </c>
      <c r="B29" s="2" t="str">
        <f>"08302031900"</f>
        <v>08302031900</v>
      </c>
      <c r="C29" s="2" t="s">
        <v>1579</v>
      </c>
      <c r="D29" t="s">
        <v>29</v>
      </c>
      <c r="E29" s="2" t="s">
        <v>30</v>
      </c>
      <c r="F29" s="2">
        <v>37206</v>
      </c>
      <c r="G29" s="2" t="s">
        <v>253</v>
      </c>
      <c r="H29" t="s">
        <v>1580</v>
      </c>
      <c r="I29" s="6">
        <v>10691</v>
      </c>
      <c r="J29" s="2" t="s">
        <v>1581</v>
      </c>
      <c r="K29" s="2" t="s">
        <v>34</v>
      </c>
      <c r="L29" t="s">
        <v>35</v>
      </c>
      <c r="M29" t="s">
        <v>29</v>
      </c>
      <c r="N29" t="s">
        <v>30</v>
      </c>
      <c r="O29">
        <v>37219</v>
      </c>
      <c r="P29" t="s">
        <v>1582</v>
      </c>
      <c r="Q29" s="2">
        <v>8.58</v>
      </c>
      <c r="R29" s="2">
        <v>600</v>
      </c>
      <c r="S29" s="2">
        <v>595</v>
      </c>
      <c r="T29" t="s">
        <v>1581</v>
      </c>
      <c r="U29" s="6">
        <v>10691</v>
      </c>
      <c r="V29" s="2">
        <v>47037011700</v>
      </c>
      <c r="W29" s="2" t="s">
        <v>68</v>
      </c>
      <c r="X29" s="1">
        <v>45658</v>
      </c>
      <c r="Y29" s="2">
        <v>1887600</v>
      </c>
      <c r="Z29" s="2">
        <v>0</v>
      </c>
      <c r="AA29" s="2">
        <v>1887600</v>
      </c>
    </row>
    <row r="30" spans="1:27" x14ac:dyDescent="0.3">
      <c r="A30" s="4" t="s">
        <v>1475</v>
      </c>
      <c r="B30" s="2" t="str">
        <f>"08302032000"</f>
        <v>08302032000</v>
      </c>
      <c r="C30" s="2" t="s">
        <v>1583</v>
      </c>
      <c r="D30" t="s">
        <v>29</v>
      </c>
      <c r="E30" s="2" t="s">
        <v>30</v>
      </c>
      <c r="F30" s="2">
        <v>37206</v>
      </c>
      <c r="G30" s="2" t="s">
        <v>64</v>
      </c>
      <c r="H30" t="s">
        <v>1584</v>
      </c>
      <c r="I30" s="6">
        <v>36461</v>
      </c>
      <c r="J30" s="2" t="s">
        <v>1585</v>
      </c>
      <c r="K30" s="2" t="s">
        <v>34</v>
      </c>
      <c r="L30" t="s">
        <v>35</v>
      </c>
      <c r="M30" t="s">
        <v>29</v>
      </c>
      <c r="N30" t="s">
        <v>30</v>
      </c>
      <c r="O30">
        <v>37219</v>
      </c>
      <c r="P30" t="s">
        <v>1586</v>
      </c>
      <c r="Q30" s="2">
        <v>0.84</v>
      </c>
      <c r="R30" s="2">
        <v>85</v>
      </c>
      <c r="S30" s="2">
        <v>400</v>
      </c>
      <c r="T30" t="s">
        <v>1587</v>
      </c>
      <c r="U30" s="6">
        <v>26267</v>
      </c>
      <c r="V30" s="2">
        <v>47037011700</v>
      </c>
      <c r="W30" s="2" t="s">
        <v>68</v>
      </c>
      <c r="X30" s="1">
        <v>45658</v>
      </c>
      <c r="Y30" s="2">
        <v>525000</v>
      </c>
      <c r="Z30" s="2">
        <v>0</v>
      </c>
      <c r="AA30" s="2">
        <v>525000</v>
      </c>
    </row>
    <row r="31" spans="1:27" x14ac:dyDescent="0.3">
      <c r="A31" s="4" t="s">
        <v>1475</v>
      </c>
      <c r="B31" s="2" t="str">
        <f>"08302030700"</f>
        <v>08302030700</v>
      </c>
      <c r="C31" s="2" t="s">
        <v>1588</v>
      </c>
      <c r="D31" t="s">
        <v>29</v>
      </c>
      <c r="E31" s="2" t="s">
        <v>30</v>
      </c>
      <c r="F31" s="2">
        <v>37206</v>
      </c>
      <c r="G31" s="2" t="s">
        <v>253</v>
      </c>
      <c r="H31" t="s">
        <v>1589</v>
      </c>
      <c r="I31" s="6">
        <v>24114</v>
      </c>
      <c r="J31" s="2" t="s">
        <v>1590</v>
      </c>
      <c r="K31" s="2" t="s">
        <v>34</v>
      </c>
      <c r="L31" t="s">
        <v>35</v>
      </c>
      <c r="M31" t="s">
        <v>29</v>
      </c>
      <c r="N31" t="s">
        <v>30</v>
      </c>
      <c r="O31">
        <v>37219</v>
      </c>
      <c r="P31" t="s">
        <v>1591</v>
      </c>
      <c r="Q31" s="2">
        <v>8.6999999999999993</v>
      </c>
      <c r="R31" s="2">
        <v>0</v>
      </c>
      <c r="S31" s="2">
        <v>0</v>
      </c>
      <c r="T31" t="s">
        <v>1590</v>
      </c>
      <c r="U31" s="6">
        <v>24114</v>
      </c>
      <c r="V31" s="2">
        <v>47037011700</v>
      </c>
      <c r="W31" s="2" t="s">
        <v>68</v>
      </c>
      <c r="X31" s="1">
        <v>45658</v>
      </c>
      <c r="Y31" s="2">
        <v>1914000</v>
      </c>
      <c r="Z31" s="2">
        <v>0</v>
      </c>
      <c r="AA31" s="2">
        <v>1914000</v>
      </c>
    </row>
    <row r="32" spans="1:27" x14ac:dyDescent="0.3">
      <c r="A32" s="4" t="s">
        <v>1475</v>
      </c>
      <c r="B32" s="2" t="str">
        <f>"09401010700"</f>
        <v>09401010700</v>
      </c>
      <c r="C32" s="2" t="s">
        <v>1592</v>
      </c>
      <c r="D32" t="s">
        <v>29</v>
      </c>
      <c r="E32" s="2" t="s">
        <v>30</v>
      </c>
      <c r="F32" s="2">
        <v>37206</v>
      </c>
      <c r="G32" s="2" t="s">
        <v>253</v>
      </c>
      <c r="H32" t="s">
        <v>1593</v>
      </c>
      <c r="I32" s="6">
        <v>27395</v>
      </c>
      <c r="J32" s="2" t="s">
        <v>1594</v>
      </c>
      <c r="K32" s="2" t="s">
        <v>34</v>
      </c>
      <c r="L32" t="s">
        <v>35</v>
      </c>
      <c r="M32" t="s">
        <v>29</v>
      </c>
      <c r="N32" t="s">
        <v>30</v>
      </c>
      <c r="O32">
        <v>37219</v>
      </c>
      <c r="P32" t="s">
        <v>1595</v>
      </c>
      <c r="Q32" s="2">
        <v>3.63</v>
      </c>
      <c r="R32" s="2">
        <v>465</v>
      </c>
      <c r="S32" s="2">
        <v>371</v>
      </c>
      <c r="T32" t="s">
        <v>1596</v>
      </c>
      <c r="U32" s="6">
        <v>19134</v>
      </c>
      <c r="V32" s="2">
        <v>47037019200</v>
      </c>
      <c r="W32" s="2" t="s">
        <v>68</v>
      </c>
      <c r="X32" s="1">
        <v>45658</v>
      </c>
      <c r="Y32" s="2">
        <v>907500</v>
      </c>
      <c r="Z32" s="2">
        <v>0</v>
      </c>
      <c r="AA32" s="2">
        <v>907500</v>
      </c>
    </row>
    <row r="33" spans="1:27" x14ac:dyDescent="0.3">
      <c r="A33" s="4" t="s">
        <v>1475</v>
      </c>
      <c r="B33" s="2" t="str">
        <f>"09401001500"</f>
        <v>09401001500</v>
      </c>
      <c r="C33" s="2" t="s">
        <v>1597</v>
      </c>
      <c r="D33" t="s">
        <v>29</v>
      </c>
      <c r="E33" s="2" t="s">
        <v>30</v>
      </c>
      <c r="F33" s="2">
        <v>37206</v>
      </c>
      <c r="G33" s="2" t="s">
        <v>253</v>
      </c>
      <c r="H33" t="s">
        <v>1598</v>
      </c>
      <c r="I33" s="6">
        <v>26277</v>
      </c>
      <c r="J33" s="2" t="s">
        <v>1599</v>
      </c>
      <c r="K33" s="2" t="s">
        <v>34</v>
      </c>
      <c r="L33" t="s">
        <v>35</v>
      </c>
      <c r="M33" t="s">
        <v>29</v>
      </c>
      <c r="N33" t="s">
        <v>30</v>
      </c>
      <c r="O33">
        <v>37219</v>
      </c>
      <c r="P33" t="s">
        <v>1600</v>
      </c>
      <c r="Q33" s="2">
        <v>0.17</v>
      </c>
      <c r="R33" s="2">
        <v>100</v>
      </c>
      <c r="S33" s="2">
        <v>73</v>
      </c>
      <c r="T33" t="s">
        <v>1599</v>
      </c>
      <c r="U33" s="6">
        <v>26277</v>
      </c>
      <c r="V33" s="2">
        <v>47037019200</v>
      </c>
      <c r="W33" s="2" t="s">
        <v>68</v>
      </c>
      <c r="X33" s="1">
        <v>45658</v>
      </c>
      <c r="Y33" s="2">
        <v>380000</v>
      </c>
      <c r="Z33" s="2">
        <v>0</v>
      </c>
      <c r="AA33" s="2">
        <v>380000</v>
      </c>
    </row>
    <row r="34" spans="1:27" x14ac:dyDescent="0.3">
      <c r="A34" s="4" t="s">
        <v>1475</v>
      </c>
      <c r="B34" s="2" t="str">
        <f>"08310032800"</f>
        <v>08310032800</v>
      </c>
      <c r="C34" s="2" t="s">
        <v>1601</v>
      </c>
      <c r="D34" t="s">
        <v>29</v>
      </c>
      <c r="E34" s="2" t="s">
        <v>30</v>
      </c>
      <c r="F34" s="2">
        <v>37206</v>
      </c>
      <c r="G34" s="2" t="s">
        <v>253</v>
      </c>
      <c r="H34" t="s">
        <v>1602</v>
      </c>
      <c r="I34" s="6">
        <v>14254</v>
      </c>
      <c r="J34" s="2" t="s">
        <v>1603</v>
      </c>
      <c r="K34" s="2" t="s">
        <v>34</v>
      </c>
      <c r="L34" t="s">
        <v>35</v>
      </c>
      <c r="M34" t="s">
        <v>29</v>
      </c>
      <c r="N34" t="s">
        <v>30</v>
      </c>
      <c r="O34">
        <v>37219</v>
      </c>
      <c r="P34" t="s">
        <v>1604</v>
      </c>
      <c r="Q34" s="2">
        <v>3.62</v>
      </c>
      <c r="R34" s="2">
        <v>427</v>
      </c>
      <c r="S34" s="2">
        <v>350</v>
      </c>
      <c r="T34" t="s">
        <v>1603</v>
      </c>
      <c r="U34" s="6">
        <v>14254</v>
      </c>
      <c r="V34" s="2">
        <v>47037012100</v>
      </c>
      <c r="W34" s="2" t="s">
        <v>68</v>
      </c>
      <c r="X34" s="1">
        <v>45658</v>
      </c>
      <c r="Y34" s="2">
        <v>1433000</v>
      </c>
      <c r="Z34" s="2">
        <v>0</v>
      </c>
      <c r="AA34" s="2">
        <v>1433000</v>
      </c>
    </row>
    <row r="35" spans="1:27" x14ac:dyDescent="0.3">
      <c r="A35" s="4" t="s">
        <v>1475</v>
      </c>
      <c r="B35" s="2" t="str">
        <f>"08310032600"</f>
        <v>08310032600</v>
      </c>
      <c r="C35" s="2" t="s">
        <v>1605</v>
      </c>
      <c r="D35" t="s">
        <v>29</v>
      </c>
      <c r="E35" s="2" t="s">
        <v>30</v>
      </c>
      <c r="F35" s="2">
        <v>37206</v>
      </c>
      <c r="G35" s="2" t="s">
        <v>64</v>
      </c>
      <c r="H35" t="s">
        <v>1602</v>
      </c>
      <c r="I35" s="6">
        <v>24405</v>
      </c>
      <c r="J35" s="2" t="s">
        <v>1606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1607</v>
      </c>
      <c r="Q35" s="2">
        <v>0.61</v>
      </c>
      <c r="R35" s="2">
        <v>114</v>
      </c>
      <c r="S35" s="2">
        <v>220</v>
      </c>
      <c r="T35" t="s">
        <v>278</v>
      </c>
      <c r="U35" s="6">
        <v>36581</v>
      </c>
      <c r="V35" s="2">
        <v>47037012100</v>
      </c>
      <c r="W35" s="2" t="s">
        <v>68</v>
      </c>
      <c r="X35" s="1">
        <v>45658</v>
      </c>
      <c r="Y35" s="2">
        <v>518700</v>
      </c>
      <c r="Z35" s="2">
        <v>0</v>
      </c>
      <c r="AA35" s="2">
        <v>518700</v>
      </c>
    </row>
    <row r="36" spans="1:27" x14ac:dyDescent="0.3">
      <c r="A36" s="4" t="s">
        <v>1475</v>
      </c>
      <c r="B36" s="2" t="str">
        <f>"08308002700"</f>
        <v>08308002700</v>
      </c>
      <c r="C36" s="2" t="s">
        <v>1608</v>
      </c>
      <c r="D36" t="s">
        <v>29</v>
      </c>
      <c r="E36" s="2" t="s">
        <v>30</v>
      </c>
      <c r="F36" s="2">
        <v>37206</v>
      </c>
      <c r="G36" s="2" t="s">
        <v>253</v>
      </c>
      <c r="H36" t="s">
        <v>1609</v>
      </c>
      <c r="I36" s="6">
        <v>19627</v>
      </c>
      <c r="J36" s="2" t="s">
        <v>1610</v>
      </c>
      <c r="K36" s="2" t="s">
        <v>34</v>
      </c>
      <c r="L36" t="s">
        <v>35</v>
      </c>
      <c r="M36" t="s">
        <v>29</v>
      </c>
      <c r="N36" t="s">
        <v>30</v>
      </c>
      <c r="O36">
        <v>37219</v>
      </c>
      <c r="P36" t="s">
        <v>1611</v>
      </c>
      <c r="Q36" s="2">
        <v>6.63</v>
      </c>
      <c r="R36" s="2">
        <v>0</v>
      </c>
      <c r="S36" s="2">
        <v>0</v>
      </c>
      <c r="T36" t="s">
        <v>1612</v>
      </c>
      <c r="U36" s="6">
        <v>36098</v>
      </c>
      <c r="V36" s="2">
        <v>47037011600</v>
      </c>
      <c r="W36" s="2" t="s">
        <v>68</v>
      </c>
      <c r="X36" s="1">
        <v>45658</v>
      </c>
      <c r="Y36" s="2">
        <v>729300</v>
      </c>
      <c r="Z36" s="2">
        <v>0</v>
      </c>
      <c r="AA36" s="2">
        <v>729300</v>
      </c>
    </row>
    <row r="37" spans="1:27" x14ac:dyDescent="0.3">
      <c r="A37" s="4" t="s">
        <v>1475</v>
      </c>
      <c r="B37" s="2" t="str">
        <f>"08309002700"</f>
        <v>08309002700</v>
      </c>
      <c r="C37" s="2" t="s">
        <v>1613</v>
      </c>
      <c r="D37" t="s">
        <v>29</v>
      </c>
      <c r="E37" s="2" t="s">
        <v>30</v>
      </c>
      <c r="F37" s="2">
        <v>37206</v>
      </c>
      <c r="G37" s="2" t="s">
        <v>253</v>
      </c>
      <c r="H37" t="s">
        <v>1614</v>
      </c>
      <c r="I37" s="6">
        <v>11245</v>
      </c>
      <c r="J37" s="2" t="s">
        <v>1615</v>
      </c>
      <c r="K37" s="2" t="s">
        <v>34</v>
      </c>
      <c r="L37" t="s">
        <v>35</v>
      </c>
      <c r="M37" t="s">
        <v>29</v>
      </c>
      <c r="N37" t="s">
        <v>30</v>
      </c>
      <c r="O37">
        <v>37219</v>
      </c>
      <c r="P37" t="s">
        <v>1616</v>
      </c>
      <c r="Q37" s="2">
        <v>1.27</v>
      </c>
      <c r="R37" s="2">
        <v>350</v>
      </c>
      <c r="S37" s="2">
        <v>160</v>
      </c>
      <c r="T37" t="s">
        <v>1615</v>
      </c>
      <c r="U37" s="6">
        <v>11245</v>
      </c>
      <c r="V37" s="2">
        <v>47037019200</v>
      </c>
      <c r="W37" s="2" t="s">
        <v>68</v>
      </c>
      <c r="X37" s="1">
        <v>45658</v>
      </c>
      <c r="Y37" s="2">
        <v>1508300</v>
      </c>
      <c r="Z37" s="2">
        <v>0</v>
      </c>
      <c r="AA37" s="2">
        <v>1508300</v>
      </c>
    </row>
    <row r="38" spans="1:27" x14ac:dyDescent="0.3">
      <c r="A38" s="4" t="s">
        <v>1475</v>
      </c>
      <c r="B38" s="2" t="str">
        <f>"08303009100"</f>
        <v>08303009100</v>
      </c>
      <c r="C38" s="2" t="s">
        <v>1617</v>
      </c>
      <c r="D38" t="s">
        <v>29</v>
      </c>
      <c r="E38" s="2" t="s">
        <v>30</v>
      </c>
      <c r="F38" s="2">
        <v>37206</v>
      </c>
      <c r="G38" s="2" t="s">
        <v>64</v>
      </c>
      <c r="H38" t="s">
        <v>996</v>
      </c>
      <c r="I38" s="6">
        <v>36501</v>
      </c>
      <c r="J38" s="2" t="s">
        <v>1618</v>
      </c>
      <c r="K38" s="2">
        <v>790</v>
      </c>
      <c r="L38" t="s">
        <v>35</v>
      </c>
      <c r="M38" t="s">
        <v>29</v>
      </c>
      <c r="N38" t="s">
        <v>30</v>
      </c>
      <c r="O38">
        <v>37219</v>
      </c>
      <c r="P38" t="s">
        <v>1619</v>
      </c>
      <c r="Q38" s="2">
        <v>0.37</v>
      </c>
      <c r="R38" s="2">
        <v>78</v>
      </c>
      <c r="S38" s="2">
        <v>200</v>
      </c>
      <c r="T38" t="s">
        <v>1620</v>
      </c>
      <c r="U38" s="6">
        <v>25721</v>
      </c>
      <c r="V38" s="2">
        <v>47037011700</v>
      </c>
      <c r="W38" s="2" t="s">
        <v>68</v>
      </c>
      <c r="X38" s="1">
        <v>45658</v>
      </c>
      <c r="Y38" s="2">
        <v>345000</v>
      </c>
      <c r="Z38" s="2">
        <v>0</v>
      </c>
      <c r="AA38" s="2">
        <v>345000</v>
      </c>
    </row>
    <row r="39" spans="1:27" x14ac:dyDescent="0.3">
      <c r="A39" s="4" t="s">
        <v>1475</v>
      </c>
      <c r="B39" s="2" t="str">
        <f>"08216012900"</f>
        <v>08216012900</v>
      </c>
      <c r="C39" s="2" t="s">
        <v>1621</v>
      </c>
      <c r="D39" t="s">
        <v>29</v>
      </c>
      <c r="E39" s="2" t="s">
        <v>30</v>
      </c>
      <c r="F39" s="2">
        <v>37206</v>
      </c>
      <c r="G39" s="2" t="s">
        <v>253</v>
      </c>
      <c r="H39" t="s">
        <v>1622</v>
      </c>
      <c r="I39" s="6">
        <v>27395</v>
      </c>
      <c r="J39" s="2" t="s">
        <v>1623</v>
      </c>
      <c r="K39" s="2" t="s">
        <v>34</v>
      </c>
      <c r="L39" t="s">
        <v>35</v>
      </c>
      <c r="M39" t="s">
        <v>29</v>
      </c>
      <c r="N39" t="s">
        <v>30</v>
      </c>
      <c r="O39">
        <v>37219</v>
      </c>
      <c r="P39" t="s">
        <v>1624</v>
      </c>
      <c r="Q39" s="2">
        <v>2.5</v>
      </c>
      <c r="R39" s="2">
        <v>38</v>
      </c>
      <c r="S39" s="2">
        <v>390</v>
      </c>
      <c r="T39" t="s">
        <v>1625</v>
      </c>
      <c r="U39" s="2" t="s">
        <v>1626</v>
      </c>
      <c r="V39" s="2">
        <v>47037019300</v>
      </c>
      <c r="W39" s="2" t="s">
        <v>68</v>
      </c>
      <c r="X39" s="1">
        <v>45658</v>
      </c>
      <c r="Y39" s="2">
        <v>2762500</v>
      </c>
      <c r="Z39" s="2">
        <v>0</v>
      </c>
      <c r="AA39" s="2">
        <v>2762500</v>
      </c>
    </row>
    <row r="40" spans="1:27" x14ac:dyDescent="0.3">
      <c r="A40" s="4" t="s">
        <v>1475</v>
      </c>
      <c r="B40" s="2" t="str">
        <f>"08313033300"</f>
        <v>08313033300</v>
      </c>
      <c r="C40" s="2" t="s">
        <v>1627</v>
      </c>
      <c r="D40" t="s">
        <v>29</v>
      </c>
      <c r="E40" s="2" t="s">
        <v>30</v>
      </c>
      <c r="F40" s="2">
        <v>37206</v>
      </c>
      <c r="G40" s="2" t="s">
        <v>64</v>
      </c>
      <c r="H40" t="s">
        <v>280</v>
      </c>
      <c r="I40" s="6">
        <v>43154</v>
      </c>
      <c r="J40" s="2" t="s">
        <v>1628</v>
      </c>
      <c r="K40" s="2" t="s">
        <v>34</v>
      </c>
      <c r="L40" t="s">
        <v>343</v>
      </c>
      <c r="M40" t="s">
        <v>29</v>
      </c>
      <c r="N40" t="s">
        <v>30</v>
      </c>
      <c r="O40">
        <v>37201</v>
      </c>
      <c r="P40" t="s">
        <v>1629</v>
      </c>
      <c r="Q40" s="2">
        <v>0.17</v>
      </c>
      <c r="R40" s="2">
        <v>50</v>
      </c>
      <c r="S40" s="2">
        <v>150</v>
      </c>
      <c r="T40" t="s">
        <v>1630</v>
      </c>
      <c r="U40" s="6">
        <v>26947</v>
      </c>
      <c r="V40" s="2">
        <v>47037012200</v>
      </c>
      <c r="W40" s="2" t="s">
        <v>68</v>
      </c>
      <c r="X40" s="1">
        <v>45658</v>
      </c>
      <c r="Y40" s="2">
        <v>380000</v>
      </c>
      <c r="Z40" s="2">
        <v>0</v>
      </c>
      <c r="AA40" s="2">
        <v>380000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C8AC-0C7C-4AB1-9F51-03A4CB879F28}">
  <sheetPr>
    <tabColor rgb="FF002060"/>
  </sheetPr>
  <dimension ref="A1:AA89"/>
  <sheetViews>
    <sheetView workbookViewId="0">
      <selection sqref="A1:XFD1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4" t="s">
        <v>1631</v>
      </c>
      <c r="B2" s="2" t="str">
        <f>"05209010200"</f>
        <v>05209010200</v>
      </c>
      <c r="C2" s="2" t="s">
        <v>1632</v>
      </c>
      <c r="D2" t="s">
        <v>866</v>
      </c>
      <c r="E2" s="2" t="s">
        <v>30</v>
      </c>
      <c r="F2" s="2">
        <v>37115</v>
      </c>
      <c r="G2" s="2" t="s">
        <v>64</v>
      </c>
      <c r="H2" t="s">
        <v>32</v>
      </c>
      <c r="I2" s="6">
        <v>27410</v>
      </c>
      <c r="J2" s="2" t="s">
        <v>1633</v>
      </c>
      <c r="K2" s="2">
        <v>208</v>
      </c>
      <c r="L2" t="s">
        <v>35</v>
      </c>
      <c r="M2" t="s">
        <v>29</v>
      </c>
      <c r="N2" t="s">
        <v>30</v>
      </c>
      <c r="O2">
        <v>37219</v>
      </c>
      <c r="P2" t="s">
        <v>1634</v>
      </c>
      <c r="Q2" s="2">
        <v>0.01</v>
      </c>
      <c r="R2" s="2">
        <v>20</v>
      </c>
      <c r="S2" s="2">
        <v>20</v>
      </c>
      <c r="T2" t="s">
        <v>1635</v>
      </c>
      <c r="U2" s="6">
        <v>8393</v>
      </c>
      <c r="V2" s="2">
        <v>47037010702</v>
      </c>
      <c r="W2" s="2" t="s">
        <v>837</v>
      </c>
      <c r="X2" s="1">
        <v>45658</v>
      </c>
      <c r="Y2" s="2">
        <v>800</v>
      </c>
      <c r="Z2" s="2">
        <v>0</v>
      </c>
      <c r="AA2" s="2">
        <v>800</v>
      </c>
    </row>
    <row r="3" spans="1:27" x14ac:dyDescent="0.3">
      <c r="A3" s="4" t="s">
        <v>1631</v>
      </c>
      <c r="B3" s="2" t="str">
        <f>"05209011700"</f>
        <v>05209011700</v>
      </c>
      <c r="C3" s="2" t="s">
        <v>1632</v>
      </c>
      <c r="D3" t="s">
        <v>866</v>
      </c>
      <c r="E3" s="2" t="s">
        <v>30</v>
      </c>
      <c r="F3" s="2">
        <v>37115</v>
      </c>
      <c r="G3" s="2" t="s">
        <v>64</v>
      </c>
      <c r="H3" t="s">
        <v>32</v>
      </c>
      <c r="I3" s="6">
        <v>27431</v>
      </c>
      <c r="J3" s="2" t="s">
        <v>1636</v>
      </c>
      <c r="K3" s="2">
        <v>208</v>
      </c>
      <c r="L3" t="s">
        <v>35</v>
      </c>
      <c r="M3" t="s">
        <v>29</v>
      </c>
      <c r="N3" t="s">
        <v>30</v>
      </c>
      <c r="O3">
        <v>37219</v>
      </c>
      <c r="P3" t="s">
        <v>1637</v>
      </c>
      <c r="Q3" s="2">
        <v>0.01</v>
      </c>
      <c r="R3" s="2">
        <v>20</v>
      </c>
      <c r="S3" s="2">
        <v>20</v>
      </c>
      <c r="T3" t="s">
        <v>1638</v>
      </c>
      <c r="U3" s="6">
        <v>17051</v>
      </c>
      <c r="V3" s="2">
        <v>47037010702</v>
      </c>
      <c r="W3" s="2" t="s">
        <v>837</v>
      </c>
      <c r="X3" s="1">
        <v>45658</v>
      </c>
      <c r="Y3" s="2">
        <v>800</v>
      </c>
      <c r="Z3" s="2">
        <v>0</v>
      </c>
      <c r="AA3" s="2">
        <v>800</v>
      </c>
    </row>
    <row r="4" spans="1:27" x14ac:dyDescent="0.3">
      <c r="A4" s="4" t="s">
        <v>1631</v>
      </c>
      <c r="B4" s="2" t="str">
        <f>"07206037500"</f>
        <v>07206037500</v>
      </c>
      <c r="C4" s="2" t="s">
        <v>1639</v>
      </c>
      <c r="D4" t="s">
        <v>29</v>
      </c>
      <c r="E4" s="2" t="s">
        <v>30</v>
      </c>
      <c r="F4" s="2">
        <v>37216</v>
      </c>
      <c r="G4" s="2" t="s">
        <v>64</v>
      </c>
      <c r="H4" t="s">
        <v>32</v>
      </c>
      <c r="I4" s="6">
        <v>42639</v>
      </c>
      <c r="J4" s="2" t="s">
        <v>1640</v>
      </c>
      <c r="K4" s="2">
        <v>494</v>
      </c>
      <c r="L4" t="s">
        <v>35</v>
      </c>
      <c r="M4" t="s">
        <v>29</v>
      </c>
      <c r="N4" t="s">
        <v>30</v>
      </c>
      <c r="O4">
        <v>37219</v>
      </c>
      <c r="P4" t="s">
        <v>1641</v>
      </c>
      <c r="Q4" s="2">
        <v>0.03</v>
      </c>
      <c r="R4" s="2">
        <v>0</v>
      </c>
      <c r="S4" s="2">
        <v>33</v>
      </c>
      <c r="T4" t="s">
        <v>1642</v>
      </c>
      <c r="U4" s="6">
        <v>32017</v>
      </c>
      <c r="V4" s="2">
        <v>47037011200</v>
      </c>
      <c r="W4" s="2" t="s">
        <v>68</v>
      </c>
      <c r="X4" s="1">
        <v>45658</v>
      </c>
      <c r="Y4" s="2">
        <v>2500</v>
      </c>
      <c r="Z4" s="2">
        <v>0</v>
      </c>
      <c r="AA4" s="2">
        <v>2500</v>
      </c>
    </row>
    <row r="5" spans="1:27" x14ac:dyDescent="0.3">
      <c r="A5" s="4" t="s">
        <v>1631</v>
      </c>
      <c r="B5" s="2" t="str">
        <f>"06213001400"</f>
        <v>06213001400</v>
      </c>
      <c r="C5" s="2" t="s">
        <v>1643</v>
      </c>
      <c r="D5" t="s">
        <v>29</v>
      </c>
      <c r="E5" s="2" t="s">
        <v>30</v>
      </c>
      <c r="F5" s="2">
        <v>37216</v>
      </c>
      <c r="G5" s="2" t="s">
        <v>64</v>
      </c>
      <c r="H5" t="s">
        <v>32</v>
      </c>
      <c r="I5" s="6">
        <v>41722</v>
      </c>
      <c r="J5" s="2" t="s">
        <v>1644</v>
      </c>
      <c r="K5" s="2" t="s">
        <v>34</v>
      </c>
      <c r="L5" t="s">
        <v>35</v>
      </c>
      <c r="M5" t="s">
        <v>29</v>
      </c>
      <c r="N5" t="s">
        <v>30</v>
      </c>
      <c r="O5">
        <v>37219</v>
      </c>
      <c r="P5" t="s">
        <v>1645</v>
      </c>
      <c r="Q5" s="2">
        <v>0.04</v>
      </c>
      <c r="R5" s="2">
        <v>31</v>
      </c>
      <c r="S5" s="2">
        <v>91</v>
      </c>
      <c r="T5" t="s">
        <v>1646</v>
      </c>
      <c r="U5" s="6">
        <v>11811</v>
      </c>
      <c r="V5" s="2">
        <v>47037011100</v>
      </c>
      <c r="W5" s="2" t="s">
        <v>68</v>
      </c>
      <c r="X5" s="1">
        <v>45658</v>
      </c>
      <c r="Y5" s="2">
        <v>12200</v>
      </c>
      <c r="Z5" s="2">
        <v>0</v>
      </c>
      <c r="AA5" s="2">
        <v>12200</v>
      </c>
    </row>
    <row r="6" spans="1:27" x14ac:dyDescent="0.3">
      <c r="A6" s="4" t="s">
        <v>1631</v>
      </c>
      <c r="B6" s="2" t="str">
        <f>"07204012000"</f>
        <v>07204012000</v>
      </c>
      <c r="C6" s="2" t="s">
        <v>1647</v>
      </c>
      <c r="D6" t="s">
        <v>29</v>
      </c>
      <c r="E6" s="2" t="s">
        <v>30</v>
      </c>
      <c r="F6" s="2">
        <v>37216</v>
      </c>
      <c r="G6" s="2" t="s">
        <v>64</v>
      </c>
      <c r="H6" t="s">
        <v>99</v>
      </c>
      <c r="I6" s="6">
        <v>37658</v>
      </c>
      <c r="J6" s="2" t="s">
        <v>1648</v>
      </c>
      <c r="K6" s="2">
        <v>349</v>
      </c>
      <c r="L6" t="s">
        <v>35</v>
      </c>
      <c r="M6" t="s">
        <v>29</v>
      </c>
      <c r="N6" t="s">
        <v>30</v>
      </c>
      <c r="O6">
        <v>37219</v>
      </c>
      <c r="P6" t="s">
        <v>1649</v>
      </c>
      <c r="Q6" s="2">
        <v>0.04</v>
      </c>
      <c r="R6" s="2">
        <v>8</v>
      </c>
      <c r="S6" s="2">
        <v>200</v>
      </c>
      <c r="T6" t="s">
        <v>1650</v>
      </c>
      <c r="U6" s="6">
        <v>27663</v>
      </c>
      <c r="V6" s="2">
        <v>47037011200</v>
      </c>
      <c r="W6" s="2" t="s">
        <v>68</v>
      </c>
      <c r="X6" s="1">
        <v>45658</v>
      </c>
      <c r="Y6" s="2">
        <v>62000</v>
      </c>
      <c r="Z6" s="2">
        <v>0</v>
      </c>
      <c r="AA6" s="2">
        <v>62000</v>
      </c>
    </row>
    <row r="7" spans="1:27" x14ac:dyDescent="0.3">
      <c r="A7" s="4" t="s">
        <v>1631</v>
      </c>
      <c r="B7" s="2" t="str">
        <f>"07309025900"</f>
        <v>07309025900</v>
      </c>
      <c r="C7" s="2" t="s">
        <v>1651</v>
      </c>
      <c r="D7" t="s">
        <v>29</v>
      </c>
      <c r="E7" s="2" t="s">
        <v>30</v>
      </c>
      <c r="F7" s="2">
        <v>37216</v>
      </c>
      <c r="G7" s="2" t="s">
        <v>64</v>
      </c>
      <c r="H7" t="s">
        <v>99</v>
      </c>
      <c r="I7" s="6">
        <v>41198</v>
      </c>
      <c r="J7" s="2" t="s">
        <v>1652</v>
      </c>
      <c r="K7" s="2">
        <v>722</v>
      </c>
      <c r="L7" t="s">
        <v>35</v>
      </c>
      <c r="M7" t="s">
        <v>29</v>
      </c>
      <c r="N7" t="s">
        <v>30</v>
      </c>
      <c r="O7">
        <v>37219</v>
      </c>
      <c r="P7" t="s">
        <v>1653</v>
      </c>
      <c r="Q7" s="2">
        <v>0.05</v>
      </c>
      <c r="R7" s="2">
        <v>0</v>
      </c>
      <c r="S7" s="2">
        <v>160</v>
      </c>
      <c r="T7" t="s">
        <v>1654</v>
      </c>
      <c r="U7" s="6">
        <v>30518</v>
      </c>
      <c r="V7" s="2">
        <v>47037011500</v>
      </c>
      <c r="W7" s="2" t="s">
        <v>68</v>
      </c>
      <c r="X7" s="1">
        <v>45658</v>
      </c>
      <c r="Y7" s="2">
        <v>8000</v>
      </c>
      <c r="Z7" s="2">
        <v>0</v>
      </c>
      <c r="AA7" s="2">
        <v>8000</v>
      </c>
    </row>
    <row r="8" spans="1:27" x14ac:dyDescent="0.3">
      <c r="A8" s="4" t="s">
        <v>1631</v>
      </c>
      <c r="B8" s="2" t="str">
        <f>"05115004200"</f>
        <v>05115004200</v>
      </c>
      <c r="C8" s="2" t="s">
        <v>1655</v>
      </c>
      <c r="D8" t="s">
        <v>29</v>
      </c>
      <c r="E8" s="2" t="s">
        <v>30</v>
      </c>
      <c r="F8" s="2">
        <v>37216</v>
      </c>
      <c r="G8" s="2" t="s">
        <v>64</v>
      </c>
      <c r="H8" t="s">
        <v>99</v>
      </c>
      <c r="I8" s="6">
        <v>39652</v>
      </c>
      <c r="J8" s="2" t="s">
        <v>1656</v>
      </c>
      <c r="K8" s="2">
        <v>346</v>
      </c>
      <c r="L8" t="s">
        <v>35</v>
      </c>
      <c r="M8" t="s">
        <v>29</v>
      </c>
      <c r="N8" t="s">
        <v>30</v>
      </c>
      <c r="O8">
        <v>37219</v>
      </c>
      <c r="P8" t="s">
        <v>1657</v>
      </c>
      <c r="Q8" s="2">
        <v>0.05</v>
      </c>
      <c r="R8" s="2">
        <v>117</v>
      </c>
      <c r="S8" s="2">
        <v>22</v>
      </c>
      <c r="T8" t="s">
        <v>1658</v>
      </c>
      <c r="U8" s="6">
        <v>36581</v>
      </c>
      <c r="V8" s="2">
        <v>47037010802</v>
      </c>
      <c r="W8" s="2" t="s">
        <v>68</v>
      </c>
      <c r="X8" s="1">
        <v>45658</v>
      </c>
      <c r="Y8" s="2">
        <v>3800</v>
      </c>
      <c r="Z8" s="2">
        <v>0</v>
      </c>
      <c r="AA8" s="2">
        <v>3800</v>
      </c>
    </row>
    <row r="9" spans="1:27" x14ac:dyDescent="0.3">
      <c r="A9" s="4" t="s">
        <v>1631</v>
      </c>
      <c r="B9" s="2" t="str">
        <f>"06111008700"</f>
        <v>06111008700</v>
      </c>
      <c r="C9" s="2" t="s">
        <v>1659</v>
      </c>
      <c r="D9" t="s">
        <v>29</v>
      </c>
      <c r="E9" s="2" t="s">
        <v>30</v>
      </c>
      <c r="F9" s="2">
        <v>37216</v>
      </c>
      <c r="G9" s="2" t="s">
        <v>147</v>
      </c>
      <c r="H9" t="s">
        <v>1660</v>
      </c>
      <c r="I9" s="6">
        <v>28306</v>
      </c>
      <c r="J9" s="2" t="s">
        <v>1661</v>
      </c>
      <c r="K9" s="2">
        <v>90000</v>
      </c>
      <c r="L9" t="s">
        <v>35</v>
      </c>
      <c r="M9" t="s">
        <v>29</v>
      </c>
      <c r="N9" t="s">
        <v>30</v>
      </c>
      <c r="O9">
        <v>37219</v>
      </c>
      <c r="P9" t="s">
        <v>1662</v>
      </c>
      <c r="Q9" s="2">
        <v>1.18</v>
      </c>
      <c r="R9" s="2">
        <v>200</v>
      </c>
      <c r="S9" s="2">
        <v>250</v>
      </c>
      <c r="T9" t="s">
        <v>278</v>
      </c>
      <c r="U9" s="6">
        <v>29587</v>
      </c>
      <c r="V9" s="2">
        <v>47037011100</v>
      </c>
      <c r="W9" s="2" t="s">
        <v>68</v>
      </c>
      <c r="X9" s="1">
        <v>45658</v>
      </c>
      <c r="Y9" s="2">
        <v>2056000</v>
      </c>
      <c r="Z9" s="2">
        <v>0</v>
      </c>
      <c r="AA9" s="2">
        <v>2056000</v>
      </c>
    </row>
    <row r="10" spans="1:27" x14ac:dyDescent="0.3">
      <c r="A10" s="4" t="s">
        <v>1631</v>
      </c>
      <c r="B10" s="2" t="str">
        <f>"06107029000"</f>
        <v>06107029000</v>
      </c>
      <c r="C10" s="2" t="s">
        <v>1663</v>
      </c>
      <c r="D10" t="s">
        <v>29</v>
      </c>
      <c r="E10" s="2" t="s">
        <v>30</v>
      </c>
      <c r="F10" s="2">
        <v>37216</v>
      </c>
      <c r="G10" s="2" t="s">
        <v>901</v>
      </c>
      <c r="H10" t="s">
        <v>1664</v>
      </c>
      <c r="I10" s="6">
        <v>24521</v>
      </c>
      <c r="J10" s="2" t="s">
        <v>1665</v>
      </c>
      <c r="K10" s="2" t="s">
        <v>34</v>
      </c>
      <c r="L10" t="s">
        <v>35</v>
      </c>
      <c r="M10" t="s">
        <v>29</v>
      </c>
      <c r="N10" t="s">
        <v>30</v>
      </c>
      <c r="O10">
        <v>37219</v>
      </c>
      <c r="P10" t="s">
        <v>1666</v>
      </c>
      <c r="Q10" s="2">
        <v>1.8</v>
      </c>
      <c r="R10" s="2">
        <v>345</v>
      </c>
      <c r="S10" s="2">
        <v>234</v>
      </c>
      <c r="T10" t="s">
        <v>1665</v>
      </c>
      <c r="U10" s="6">
        <v>24521</v>
      </c>
      <c r="V10" s="2">
        <v>47037011100</v>
      </c>
      <c r="W10" s="2" t="s">
        <v>68</v>
      </c>
      <c r="X10" s="1">
        <v>45658</v>
      </c>
      <c r="Y10" s="2">
        <v>3332300</v>
      </c>
      <c r="Z10" s="2">
        <v>0</v>
      </c>
      <c r="AA10" s="2">
        <v>3332300</v>
      </c>
    </row>
    <row r="11" spans="1:27" x14ac:dyDescent="0.3">
      <c r="A11" s="4" t="s">
        <v>1631</v>
      </c>
      <c r="B11" s="2" t="str">
        <f>"07207033400"</f>
        <v>07207033400</v>
      </c>
      <c r="C11" s="2" t="s">
        <v>1667</v>
      </c>
      <c r="D11" t="s">
        <v>29</v>
      </c>
      <c r="E11" s="2" t="s">
        <v>30</v>
      </c>
      <c r="F11" s="2">
        <v>37216</v>
      </c>
      <c r="G11" s="2" t="s">
        <v>64</v>
      </c>
      <c r="H11" t="s">
        <v>1668</v>
      </c>
      <c r="I11" s="6">
        <v>28237</v>
      </c>
      <c r="J11" s="2" t="s">
        <v>1669</v>
      </c>
      <c r="K11" s="2" t="s">
        <v>34</v>
      </c>
      <c r="L11" t="s">
        <v>35</v>
      </c>
      <c r="M11" t="s">
        <v>29</v>
      </c>
      <c r="N11" t="s">
        <v>30</v>
      </c>
      <c r="O11">
        <v>37219</v>
      </c>
      <c r="P11" t="s">
        <v>1670</v>
      </c>
      <c r="Q11" s="2">
        <v>0.27</v>
      </c>
      <c r="R11" s="2">
        <v>0</v>
      </c>
      <c r="S11" s="2">
        <v>35</v>
      </c>
      <c r="T11" t="s">
        <v>1669</v>
      </c>
      <c r="U11" s="6">
        <v>28237</v>
      </c>
      <c r="V11" s="2">
        <v>47037011200</v>
      </c>
      <c r="W11" s="2" t="s">
        <v>68</v>
      </c>
      <c r="X11" s="1">
        <v>45658</v>
      </c>
      <c r="Y11" s="2">
        <v>2500</v>
      </c>
      <c r="Z11" s="2">
        <v>0</v>
      </c>
      <c r="AA11" s="2">
        <v>2500</v>
      </c>
    </row>
    <row r="12" spans="1:27" x14ac:dyDescent="0.3">
      <c r="A12" s="4" t="s">
        <v>1631</v>
      </c>
      <c r="B12" s="2" t="str">
        <f>"05108014800"</f>
        <v>05108014800</v>
      </c>
      <c r="C12" s="2" t="s">
        <v>1671</v>
      </c>
      <c r="D12" t="s">
        <v>866</v>
      </c>
      <c r="E12" s="2" t="s">
        <v>30</v>
      </c>
      <c r="F12" s="2">
        <v>37115</v>
      </c>
      <c r="G12" s="2" t="s">
        <v>152</v>
      </c>
      <c r="H12" t="s">
        <v>176</v>
      </c>
      <c r="I12" s="6">
        <v>19108</v>
      </c>
      <c r="J12" s="2" t="s">
        <v>1672</v>
      </c>
      <c r="K12" s="2" t="s">
        <v>34</v>
      </c>
      <c r="L12" t="s">
        <v>178</v>
      </c>
      <c r="M12" t="s">
        <v>29</v>
      </c>
      <c r="N12" t="s">
        <v>30</v>
      </c>
      <c r="O12">
        <v>37246</v>
      </c>
      <c r="P12" t="s">
        <v>1673</v>
      </c>
      <c r="Q12" s="2">
        <v>0.23</v>
      </c>
      <c r="R12" s="2">
        <v>75</v>
      </c>
      <c r="S12" s="2">
        <v>150</v>
      </c>
      <c r="T12" t="s">
        <v>1672</v>
      </c>
      <c r="U12" s="6">
        <v>19108</v>
      </c>
      <c r="V12" s="2">
        <v>47037010702</v>
      </c>
      <c r="W12" s="2" t="s">
        <v>837</v>
      </c>
      <c r="X12" s="1">
        <v>45658</v>
      </c>
      <c r="Y12" s="2">
        <v>78800</v>
      </c>
      <c r="Z12" s="2">
        <v>0</v>
      </c>
      <c r="AA12" s="2">
        <v>78800</v>
      </c>
    </row>
    <row r="13" spans="1:27" x14ac:dyDescent="0.3">
      <c r="A13" s="4" t="s">
        <v>1631</v>
      </c>
      <c r="B13" s="2" t="str">
        <f>"06103012800"</f>
        <v>06103012800</v>
      </c>
      <c r="C13" s="2" t="s">
        <v>1674</v>
      </c>
      <c r="D13" t="s">
        <v>29</v>
      </c>
      <c r="E13" s="2" t="s">
        <v>30</v>
      </c>
      <c r="F13" s="2">
        <v>37216</v>
      </c>
      <c r="G13" s="2" t="s">
        <v>152</v>
      </c>
      <c r="H13" t="s">
        <v>176</v>
      </c>
      <c r="I13" s="6">
        <v>17687</v>
      </c>
      <c r="J13" s="2" t="s">
        <v>1675</v>
      </c>
      <c r="K13" s="2" t="s">
        <v>34</v>
      </c>
      <c r="L13" t="s">
        <v>178</v>
      </c>
      <c r="M13" t="s">
        <v>29</v>
      </c>
      <c r="N13" t="s">
        <v>30</v>
      </c>
      <c r="O13">
        <v>37246</v>
      </c>
      <c r="P13" t="s">
        <v>1676</v>
      </c>
      <c r="Q13" s="2">
        <v>0.34</v>
      </c>
      <c r="R13" s="2">
        <v>100</v>
      </c>
      <c r="S13" s="2">
        <v>153</v>
      </c>
      <c r="T13" t="s">
        <v>1675</v>
      </c>
      <c r="U13" s="6">
        <v>17687</v>
      </c>
      <c r="V13" s="2">
        <v>47037011100</v>
      </c>
      <c r="W13" s="2" t="s">
        <v>68</v>
      </c>
      <c r="X13" s="1">
        <v>45658</v>
      </c>
      <c r="Y13" s="2">
        <v>176000</v>
      </c>
      <c r="Z13" s="2">
        <v>0</v>
      </c>
      <c r="AA13" s="2">
        <v>176000</v>
      </c>
    </row>
    <row r="14" spans="1:27" x14ac:dyDescent="0.3">
      <c r="A14" s="4" t="s">
        <v>1631</v>
      </c>
      <c r="B14" s="2" t="str">
        <f>"06106015600"</f>
        <v>06106015600</v>
      </c>
      <c r="C14" s="2" t="s">
        <v>1677</v>
      </c>
      <c r="D14" t="s">
        <v>29</v>
      </c>
      <c r="E14" s="2" t="s">
        <v>30</v>
      </c>
      <c r="F14" s="2">
        <v>37216</v>
      </c>
      <c r="G14" s="2" t="s">
        <v>152</v>
      </c>
      <c r="H14" t="s">
        <v>176</v>
      </c>
      <c r="I14" s="6">
        <v>24351</v>
      </c>
      <c r="J14" s="2" t="s">
        <v>1678</v>
      </c>
      <c r="K14" s="2" t="s">
        <v>34</v>
      </c>
      <c r="L14" t="s">
        <v>178</v>
      </c>
      <c r="M14" t="s">
        <v>29</v>
      </c>
      <c r="N14" t="s">
        <v>30</v>
      </c>
      <c r="O14">
        <v>37246</v>
      </c>
      <c r="P14" t="s">
        <v>1679</v>
      </c>
      <c r="Q14" s="2">
        <v>0.48</v>
      </c>
      <c r="R14" s="2">
        <v>102</v>
      </c>
      <c r="S14" s="2">
        <v>221</v>
      </c>
      <c r="T14" t="s">
        <v>1678</v>
      </c>
      <c r="U14" s="6">
        <v>24351</v>
      </c>
      <c r="V14" s="2">
        <v>47037011002</v>
      </c>
      <c r="W14" s="2" t="s">
        <v>68</v>
      </c>
      <c r="X14" s="1">
        <v>45658</v>
      </c>
      <c r="Y14" s="2">
        <v>160000</v>
      </c>
      <c r="Z14" s="2">
        <v>0</v>
      </c>
      <c r="AA14" s="2">
        <v>160000</v>
      </c>
    </row>
    <row r="15" spans="1:27" x14ac:dyDescent="0.3">
      <c r="A15" s="4" t="s">
        <v>1631</v>
      </c>
      <c r="B15" s="2" t="str">
        <f>"06108015600"</f>
        <v>06108015600</v>
      </c>
      <c r="C15" s="2" t="s">
        <v>1680</v>
      </c>
      <c r="D15" t="s">
        <v>29</v>
      </c>
      <c r="E15" s="2" t="s">
        <v>30</v>
      </c>
      <c r="F15" s="2">
        <v>37216</v>
      </c>
      <c r="G15" s="2" t="s">
        <v>152</v>
      </c>
      <c r="H15" t="s">
        <v>176</v>
      </c>
      <c r="I15" s="6">
        <v>19581</v>
      </c>
      <c r="J15" s="2" t="s">
        <v>1681</v>
      </c>
      <c r="K15" s="2" t="s">
        <v>34</v>
      </c>
      <c r="L15" t="s">
        <v>178</v>
      </c>
      <c r="M15" t="s">
        <v>29</v>
      </c>
      <c r="N15" t="s">
        <v>30</v>
      </c>
      <c r="O15">
        <v>37246</v>
      </c>
      <c r="P15" t="s">
        <v>1682</v>
      </c>
      <c r="Q15" s="2">
        <v>0.21</v>
      </c>
      <c r="R15" s="2">
        <v>20</v>
      </c>
      <c r="S15" s="2">
        <v>300</v>
      </c>
      <c r="T15" t="s">
        <v>1681</v>
      </c>
      <c r="U15" s="6">
        <v>19581</v>
      </c>
      <c r="V15" s="2">
        <v>47037011100</v>
      </c>
      <c r="W15" s="2" t="s">
        <v>68</v>
      </c>
      <c r="X15" s="1">
        <v>45658</v>
      </c>
      <c r="Y15" s="2">
        <v>120000</v>
      </c>
      <c r="Z15" s="2">
        <v>0</v>
      </c>
      <c r="AA15" s="2">
        <v>120000</v>
      </c>
    </row>
    <row r="16" spans="1:27" x14ac:dyDescent="0.3">
      <c r="A16" s="4" t="s">
        <v>1631</v>
      </c>
      <c r="B16" s="2" t="str">
        <f>"06115000600"</f>
        <v>06115000600</v>
      </c>
      <c r="C16" s="2" t="s">
        <v>1683</v>
      </c>
      <c r="D16" t="s">
        <v>29</v>
      </c>
      <c r="E16" s="2" t="s">
        <v>30</v>
      </c>
      <c r="F16" s="2">
        <v>37216</v>
      </c>
      <c r="G16" s="2" t="s">
        <v>152</v>
      </c>
      <c r="H16" t="s">
        <v>176</v>
      </c>
      <c r="I16" s="6">
        <v>19267</v>
      </c>
      <c r="J16" s="2" t="s">
        <v>1684</v>
      </c>
      <c r="K16" s="2" t="s">
        <v>34</v>
      </c>
      <c r="L16" t="s">
        <v>178</v>
      </c>
      <c r="M16" t="s">
        <v>29</v>
      </c>
      <c r="N16" t="s">
        <v>30</v>
      </c>
      <c r="O16">
        <v>37246</v>
      </c>
      <c r="P16" t="s">
        <v>1685</v>
      </c>
      <c r="Q16" s="2">
        <v>0.14000000000000001</v>
      </c>
      <c r="R16" s="2">
        <v>66</v>
      </c>
      <c r="S16" s="2">
        <v>90</v>
      </c>
      <c r="T16" t="s">
        <v>1684</v>
      </c>
      <c r="U16" s="6">
        <v>19267</v>
      </c>
      <c r="V16" s="2">
        <v>47037011200</v>
      </c>
      <c r="W16" s="2" t="s">
        <v>68</v>
      </c>
      <c r="X16" s="1">
        <v>45658</v>
      </c>
      <c r="Y16" s="2">
        <v>166500</v>
      </c>
      <c r="Z16" s="2">
        <v>0</v>
      </c>
      <c r="AA16" s="2">
        <v>166500</v>
      </c>
    </row>
    <row r="17" spans="1:27" x14ac:dyDescent="0.3">
      <c r="A17" s="4" t="s">
        <v>1631</v>
      </c>
      <c r="B17" s="2" t="str">
        <f>"07204021400"</f>
        <v>07204021400</v>
      </c>
      <c r="C17" s="2" t="s">
        <v>1686</v>
      </c>
      <c r="D17" t="s">
        <v>29</v>
      </c>
      <c r="E17" s="2" t="s">
        <v>30</v>
      </c>
      <c r="F17" s="2">
        <v>37216</v>
      </c>
      <c r="G17" s="2" t="s">
        <v>152</v>
      </c>
      <c r="H17" t="s">
        <v>176</v>
      </c>
      <c r="I17" s="6">
        <v>18112</v>
      </c>
      <c r="J17" s="2" t="s">
        <v>1687</v>
      </c>
      <c r="K17" s="2" t="s">
        <v>34</v>
      </c>
      <c r="L17" t="s">
        <v>178</v>
      </c>
      <c r="M17" t="s">
        <v>29</v>
      </c>
      <c r="N17" t="s">
        <v>30</v>
      </c>
      <c r="O17">
        <v>37246</v>
      </c>
      <c r="P17" t="s">
        <v>1688</v>
      </c>
      <c r="Q17" s="2">
        <v>0.22</v>
      </c>
      <c r="R17" s="2">
        <v>75</v>
      </c>
      <c r="S17" s="2">
        <v>130</v>
      </c>
      <c r="T17" t="s">
        <v>1687</v>
      </c>
      <c r="U17" s="6">
        <v>18112</v>
      </c>
      <c r="V17" s="2">
        <v>47037011200</v>
      </c>
      <c r="W17" s="2" t="s">
        <v>68</v>
      </c>
      <c r="X17" s="1">
        <v>45658</v>
      </c>
      <c r="Y17" s="2">
        <v>285000</v>
      </c>
      <c r="Z17" s="2">
        <v>0</v>
      </c>
      <c r="AA17" s="2">
        <v>285000</v>
      </c>
    </row>
    <row r="18" spans="1:27" x14ac:dyDescent="0.3">
      <c r="A18" s="4" t="s">
        <v>1631</v>
      </c>
      <c r="B18" s="2" t="str">
        <f>"07206030600"</f>
        <v>07206030600</v>
      </c>
      <c r="C18" s="2" t="s">
        <v>1689</v>
      </c>
      <c r="D18" t="s">
        <v>29</v>
      </c>
      <c r="E18" s="2" t="s">
        <v>30</v>
      </c>
      <c r="F18" s="2">
        <v>37216</v>
      </c>
      <c r="G18" s="2" t="s">
        <v>152</v>
      </c>
      <c r="H18" t="s">
        <v>176</v>
      </c>
      <c r="I18" s="6">
        <v>14472</v>
      </c>
      <c r="J18" s="2" t="s">
        <v>1690</v>
      </c>
      <c r="K18" s="2" t="s">
        <v>34</v>
      </c>
      <c r="L18" t="s">
        <v>178</v>
      </c>
      <c r="M18" t="s">
        <v>29</v>
      </c>
      <c r="N18" t="s">
        <v>30</v>
      </c>
      <c r="O18">
        <v>37246</v>
      </c>
      <c r="P18" t="s">
        <v>1691</v>
      </c>
      <c r="Q18" s="2">
        <v>0.33</v>
      </c>
      <c r="R18" s="2">
        <v>226</v>
      </c>
      <c r="S18" s="2">
        <v>87</v>
      </c>
      <c r="T18" t="s">
        <v>1692</v>
      </c>
      <c r="U18" s="6">
        <v>42983</v>
      </c>
      <c r="V18" s="2">
        <v>47037011200</v>
      </c>
      <c r="W18" s="2" t="s">
        <v>68</v>
      </c>
      <c r="X18" s="1">
        <v>45658</v>
      </c>
      <c r="Y18" s="2">
        <v>31000</v>
      </c>
      <c r="Z18" s="2">
        <v>0</v>
      </c>
      <c r="AA18" s="2">
        <v>31000</v>
      </c>
    </row>
    <row r="19" spans="1:27" x14ac:dyDescent="0.3">
      <c r="A19" s="4" t="s">
        <v>1631</v>
      </c>
      <c r="B19" s="2" t="str">
        <f>"07202006100"</f>
        <v>07202006100</v>
      </c>
      <c r="C19" s="2" t="s">
        <v>1693</v>
      </c>
      <c r="D19" t="s">
        <v>29</v>
      </c>
      <c r="E19" s="2" t="s">
        <v>30</v>
      </c>
      <c r="F19" s="2">
        <v>37216</v>
      </c>
      <c r="G19" s="2" t="s">
        <v>152</v>
      </c>
      <c r="H19" t="s">
        <v>176</v>
      </c>
      <c r="I19" s="6">
        <v>17300</v>
      </c>
      <c r="J19" s="2" t="s">
        <v>1694</v>
      </c>
      <c r="K19" s="2" t="s">
        <v>34</v>
      </c>
      <c r="L19" t="s">
        <v>178</v>
      </c>
      <c r="M19" t="s">
        <v>29</v>
      </c>
      <c r="N19" t="s">
        <v>30</v>
      </c>
      <c r="O19">
        <v>37246</v>
      </c>
      <c r="P19" t="s">
        <v>1695</v>
      </c>
      <c r="Q19" s="2">
        <v>1.69</v>
      </c>
      <c r="R19" s="2">
        <v>505</v>
      </c>
      <c r="S19" s="2">
        <v>100</v>
      </c>
      <c r="T19" t="s">
        <v>1694</v>
      </c>
      <c r="U19" s="6">
        <v>17300</v>
      </c>
      <c r="V19" s="2">
        <v>47037011200</v>
      </c>
      <c r="W19" s="2" t="s">
        <v>68</v>
      </c>
      <c r="X19" s="1">
        <v>45658</v>
      </c>
      <c r="Y19" s="2">
        <v>405600</v>
      </c>
      <c r="Z19" s="2">
        <v>0</v>
      </c>
      <c r="AA19" s="2">
        <v>405600</v>
      </c>
    </row>
    <row r="20" spans="1:27" x14ac:dyDescent="0.3">
      <c r="A20" s="4" t="s">
        <v>1631</v>
      </c>
      <c r="B20" s="2" t="str">
        <f>"05100013200"</f>
        <v>05100013200</v>
      </c>
      <c r="C20" s="2" t="s">
        <v>1696</v>
      </c>
      <c r="D20" t="s">
        <v>866</v>
      </c>
      <c r="E20" s="2" t="s">
        <v>30</v>
      </c>
      <c r="F20" s="2">
        <v>37115</v>
      </c>
      <c r="G20" s="2" t="s">
        <v>152</v>
      </c>
      <c r="H20" t="s">
        <v>176</v>
      </c>
      <c r="I20" s="6">
        <v>21487</v>
      </c>
      <c r="J20" s="2" t="s">
        <v>1697</v>
      </c>
      <c r="K20" s="2" t="s">
        <v>34</v>
      </c>
      <c r="L20" t="s">
        <v>178</v>
      </c>
      <c r="M20" t="s">
        <v>29</v>
      </c>
      <c r="N20" t="s">
        <v>30</v>
      </c>
      <c r="O20">
        <v>37246</v>
      </c>
      <c r="P20" t="s">
        <v>1698</v>
      </c>
      <c r="Q20" s="2">
        <v>1.1499999999999999</v>
      </c>
      <c r="R20" s="2">
        <v>55</v>
      </c>
      <c r="S20" s="2">
        <v>310</v>
      </c>
      <c r="T20" t="s">
        <v>1697</v>
      </c>
      <c r="U20" s="6">
        <v>21487</v>
      </c>
      <c r="V20" s="2">
        <v>47037010802</v>
      </c>
      <c r="W20" s="2" t="s">
        <v>68</v>
      </c>
      <c r="X20" s="1">
        <v>45658</v>
      </c>
      <c r="Y20" s="2">
        <v>86300</v>
      </c>
      <c r="Z20" s="2">
        <v>0</v>
      </c>
      <c r="AA20" s="2">
        <v>86300</v>
      </c>
    </row>
    <row r="21" spans="1:27" x14ac:dyDescent="0.3">
      <c r="A21" s="4" t="s">
        <v>1631</v>
      </c>
      <c r="B21" s="2" t="str">
        <f>"05114000100"</f>
        <v>05114000100</v>
      </c>
      <c r="C21" s="2" t="s">
        <v>1699</v>
      </c>
      <c r="D21" t="s">
        <v>866</v>
      </c>
      <c r="E21" s="2" t="s">
        <v>30</v>
      </c>
      <c r="F21" s="2">
        <v>37115</v>
      </c>
      <c r="G21" s="2" t="s">
        <v>64</v>
      </c>
      <c r="H21" t="s">
        <v>176</v>
      </c>
      <c r="I21" s="6">
        <v>29896</v>
      </c>
      <c r="J21" s="2" t="s">
        <v>1700</v>
      </c>
      <c r="K21" s="2">
        <v>48000</v>
      </c>
      <c r="L21" t="s">
        <v>178</v>
      </c>
      <c r="M21" t="s">
        <v>29</v>
      </c>
      <c r="N21" t="s">
        <v>30</v>
      </c>
      <c r="O21">
        <v>37246</v>
      </c>
      <c r="P21" t="s">
        <v>1701</v>
      </c>
      <c r="Q21" s="2">
        <v>2.96</v>
      </c>
      <c r="R21" s="2">
        <v>290</v>
      </c>
      <c r="S21" s="2">
        <v>438</v>
      </c>
      <c r="T21" t="s">
        <v>1702</v>
      </c>
      <c r="U21" s="6">
        <v>29385</v>
      </c>
      <c r="V21" s="2">
        <v>47037010802</v>
      </c>
      <c r="W21" s="2" t="s">
        <v>68</v>
      </c>
      <c r="X21" s="1">
        <v>45658</v>
      </c>
      <c r="Y21" s="2">
        <v>222000</v>
      </c>
      <c r="Z21" s="2">
        <v>0</v>
      </c>
      <c r="AA21" s="2">
        <v>222000</v>
      </c>
    </row>
    <row r="22" spans="1:27" x14ac:dyDescent="0.3">
      <c r="A22" s="4" t="s">
        <v>1631</v>
      </c>
      <c r="B22" s="2" t="str">
        <f>"05201030400"</f>
        <v>05201030400</v>
      </c>
      <c r="C22" s="2" t="s">
        <v>1703</v>
      </c>
      <c r="D22" t="s">
        <v>866</v>
      </c>
      <c r="E22" s="2" t="s">
        <v>30</v>
      </c>
      <c r="F22" s="2">
        <v>37115</v>
      </c>
      <c r="G22" s="2" t="s">
        <v>64</v>
      </c>
      <c r="H22" t="s">
        <v>211</v>
      </c>
      <c r="I22" s="6">
        <v>32926</v>
      </c>
      <c r="J22" s="2" t="s">
        <v>1704</v>
      </c>
      <c r="K22" s="2">
        <v>213</v>
      </c>
      <c r="L22" t="s">
        <v>35</v>
      </c>
      <c r="M22" t="s">
        <v>29</v>
      </c>
      <c r="N22" t="s">
        <v>30</v>
      </c>
      <c r="O22">
        <v>37219</v>
      </c>
      <c r="P22" t="s">
        <v>1705</v>
      </c>
      <c r="Q22" s="2">
        <v>0.14000000000000001</v>
      </c>
      <c r="R22" s="2">
        <v>50</v>
      </c>
      <c r="S22" s="2">
        <v>250</v>
      </c>
      <c r="T22" t="s">
        <v>1706</v>
      </c>
      <c r="U22" s="6">
        <v>27081</v>
      </c>
      <c r="V22" s="2">
        <v>47037010701</v>
      </c>
      <c r="W22" s="2" t="s">
        <v>837</v>
      </c>
      <c r="X22" s="1">
        <v>45658</v>
      </c>
      <c r="Y22" s="2">
        <v>4500</v>
      </c>
      <c r="Z22" s="2">
        <v>0</v>
      </c>
      <c r="AA22" s="2">
        <v>4500</v>
      </c>
    </row>
    <row r="23" spans="1:27" x14ac:dyDescent="0.3">
      <c r="A23" s="4" t="s">
        <v>1631</v>
      </c>
      <c r="B23" s="2" t="str">
        <f>"05205013200"</f>
        <v>05205013200</v>
      </c>
      <c r="C23" s="2" t="s">
        <v>1707</v>
      </c>
      <c r="D23" t="s">
        <v>866</v>
      </c>
      <c r="E23" s="2" t="s">
        <v>30</v>
      </c>
      <c r="F23" s="2">
        <v>37115</v>
      </c>
      <c r="G23" s="2" t="s">
        <v>64</v>
      </c>
      <c r="H23" t="s">
        <v>211</v>
      </c>
      <c r="I23" s="6">
        <v>42139</v>
      </c>
      <c r="J23" s="2" t="s">
        <v>1708</v>
      </c>
      <c r="K23" s="2">
        <v>908</v>
      </c>
      <c r="L23" t="s">
        <v>35</v>
      </c>
      <c r="M23" t="s">
        <v>29</v>
      </c>
      <c r="N23" t="s">
        <v>30</v>
      </c>
      <c r="O23">
        <v>37219</v>
      </c>
      <c r="P23" t="s">
        <v>1709</v>
      </c>
      <c r="Q23" s="2">
        <v>0.11</v>
      </c>
      <c r="R23" s="2">
        <v>50</v>
      </c>
      <c r="S23" s="2">
        <v>100</v>
      </c>
      <c r="T23" t="s">
        <v>1710</v>
      </c>
      <c r="U23" s="6">
        <v>14577</v>
      </c>
      <c r="V23" s="2">
        <v>47037010701</v>
      </c>
      <c r="W23" s="2" t="s">
        <v>837</v>
      </c>
      <c r="X23" s="1">
        <v>45658</v>
      </c>
      <c r="Y23" s="2">
        <v>22500</v>
      </c>
      <c r="Z23" s="2">
        <v>0</v>
      </c>
      <c r="AA23" s="2">
        <v>22500</v>
      </c>
    </row>
    <row r="24" spans="1:27" x14ac:dyDescent="0.3">
      <c r="A24" s="4" t="s">
        <v>1631</v>
      </c>
      <c r="B24" s="2" t="str">
        <f>"05205013300"</f>
        <v>05205013300</v>
      </c>
      <c r="C24" s="2" t="s">
        <v>1711</v>
      </c>
      <c r="D24" t="s">
        <v>866</v>
      </c>
      <c r="E24" s="2" t="s">
        <v>30</v>
      </c>
      <c r="F24" s="2">
        <v>37115</v>
      </c>
      <c r="G24" s="2" t="s">
        <v>64</v>
      </c>
      <c r="H24" t="s">
        <v>211</v>
      </c>
      <c r="I24" s="6">
        <v>32926</v>
      </c>
      <c r="J24" s="2" t="s">
        <v>1712</v>
      </c>
      <c r="K24" s="2">
        <v>239</v>
      </c>
      <c r="L24" t="s">
        <v>35</v>
      </c>
      <c r="M24" t="s">
        <v>29</v>
      </c>
      <c r="N24" t="s">
        <v>30</v>
      </c>
      <c r="O24">
        <v>37219</v>
      </c>
      <c r="P24" t="s">
        <v>1713</v>
      </c>
      <c r="Q24" s="2">
        <v>7.0000000000000007E-2</v>
      </c>
      <c r="R24" s="2">
        <v>50</v>
      </c>
      <c r="S24" s="2">
        <v>100</v>
      </c>
      <c r="T24" t="s">
        <v>1706</v>
      </c>
      <c r="U24" s="6">
        <v>27081</v>
      </c>
      <c r="V24" s="2">
        <v>47037010701</v>
      </c>
      <c r="W24" s="2" t="s">
        <v>837</v>
      </c>
      <c r="X24" s="1">
        <v>45658</v>
      </c>
      <c r="Y24" s="2">
        <v>20300</v>
      </c>
      <c r="Z24" s="2">
        <v>0</v>
      </c>
      <c r="AA24" s="2">
        <v>20300</v>
      </c>
    </row>
    <row r="25" spans="1:27" x14ac:dyDescent="0.3">
      <c r="A25" s="4" t="s">
        <v>1631</v>
      </c>
      <c r="B25" s="2" t="str">
        <f>"05205013500"</f>
        <v>05205013500</v>
      </c>
      <c r="C25" s="2" t="s">
        <v>1714</v>
      </c>
      <c r="D25" t="s">
        <v>866</v>
      </c>
      <c r="E25" s="2" t="s">
        <v>30</v>
      </c>
      <c r="F25" s="2">
        <v>37115</v>
      </c>
      <c r="G25" s="2" t="s">
        <v>64</v>
      </c>
      <c r="H25" t="s">
        <v>211</v>
      </c>
      <c r="I25" s="6">
        <v>41648</v>
      </c>
      <c r="J25" s="2" t="s">
        <v>1715</v>
      </c>
      <c r="K25" s="2">
        <v>539</v>
      </c>
      <c r="L25" t="s">
        <v>35</v>
      </c>
      <c r="M25" t="s">
        <v>29</v>
      </c>
      <c r="N25" t="s">
        <v>30</v>
      </c>
      <c r="O25">
        <v>37219</v>
      </c>
      <c r="P25" t="s">
        <v>1716</v>
      </c>
      <c r="Q25" s="2">
        <v>0.13</v>
      </c>
      <c r="R25" s="2">
        <v>50</v>
      </c>
      <c r="S25" s="2">
        <v>110</v>
      </c>
      <c r="T25" t="s">
        <v>1717</v>
      </c>
      <c r="U25" s="6">
        <v>19051</v>
      </c>
      <c r="V25" s="2">
        <v>47037010701</v>
      </c>
      <c r="W25" s="2" t="s">
        <v>837</v>
      </c>
      <c r="X25" s="1">
        <v>45658</v>
      </c>
      <c r="Y25" s="2">
        <v>18000</v>
      </c>
      <c r="Z25" s="2">
        <v>0</v>
      </c>
      <c r="AA25" s="2">
        <v>18000</v>
      </c>
    </row>
    <row r="26" spans="1:27" x14ac:dyDescent="0.3">
      <c r="A26" s="4" t="s">
        <v>1631</v>
      </c>
      <c r="B26" s="2" t="str">
        <f>"05205015900"</f>
        <v>05205015900</v>
      </c>
      <c r="C26" s="2" t="s">
        <v>1718</v>
      </c>
      <c r="D26" t="s">
        <v>866</v>
      </c>
      <c r="E26" s="2" t="s">
        <v>30</v>
      </c>
      <c r="F26" s="2">
        <v>37115</v>
      </c>
      <c r="G26" s="2" t="s">
        <v>64</v>
      </c>
      <c r="H26" t="s">
        <v>211</v>
      </c>
      <c r="I26" s="6">
        <v>32926</v>
      </c>
      <c r="J26" s="2" t="s">
        <v>1719</v>
      </c>
      <c r="K26" s="2">
        <v>209</v>
      </c>
      <c r="L26" t="s">
        <v>35</v>
      </c>
      <c r="M26" t="s">
        <v>29</v>
      </c>
      <c r="N26" t="s">
        <v>30</v>
      </c>
      <c r="O26">
        <v>37219</v>
      </c>
      <c r="P26" t="s">
        <v>1720</v>
      </c>
      <c r="Q26" s="2">
        <v>0.13</v>
      </c>
      <c r="R26" s="2">
        <v>70</v>
      </c>
      <c r="S26" s="2">
        <v>100</v>
      </c>
      <c r="T26" t="s">
        <v>1706</v>
      </c>
      <c r="U26" s="6">
        <v>27081</v>
      </c>
      <c r="V26" s="2">
        <v>47037010701</v>
      </c>
      <c r="W26" s="2" t="s">
        <v>837</v>
      </c>
      <c r="X26" s="1">
        <v>45658</v>
      </c>
      <c r="Y26" s="2">
        <v>18000</v>
      </c>
      <c r="Z26" s="2">
        <v>0</v>
      </c>
      <c r="AA26" s="2">
        <v>18000</v>
      </c>
    </row>
    <row r="27" spans="1:27" x14ac:dyDescent="0.3">
      <c r="A27" s="4" t="s">
        <v>1631</v>
      </c>
      <c r="B27" s="2" t="str">
        <f>"05205016100"</f>
        <v>05205016100</v>
      </c>
      <c r="C27" s="2" t="s">
        <v>1718</v>
      </c>
      <c r="D27" t="s">
        <v>866</v>
      </c>
      <c r="E27" s="2" t="s">
        <v>30</v>
      </c>
      <c r="F27" s="2">
        <v>37115</v>
      </c>
      <c r="G27" s="2" t="s">
        <v>64</v>
      </c>
      <c r="H27" t="s">
        <v>211</v>
      </c>
      <c r="I27" s="6">
        <v>32926</v>
      </c>
      <c r="J27" s="2" t="s">
        <v>1721</v>
      </c>
      <c r="K27" s="2">
        <v>209</v>
      </c>
      <c r="L27" t="s">
        <v>35</v>
      </c>
      <c r="M27" t="s">
        <v>29</v>
      </c>
      <c r="N27" t="s">
        <v>30</v>
      </c>
      <c r="O27">
        <v>37219</v>
      </c>
      <c r="P27" t="s">
        <v>1722</v>
      </c>
      <c r="Q27" s="2">
        <v>0.12</v>
      </c>
      <c r="R27" s="2">
        <v>70</v>
      </c>
      <c r="S27" s="2">
        <v>90</v>
      </c>
      <c r="T27" t="s">
        <v>1706</v>
      </c>
      <c r="U27" s="6">
        <v>27081</v>
      </c>
      <c r="V27" s="2">
        <v>47037010701</v>
      </c>
      <c r="W27" s="2" t="s">
        <v>837</v>
      </c>
      <c r="X27" s="1">
        <v>45658</v>
      </c>
      <c r="Y27" s="2">
        <v>18000</v>
      </c>
      <c r="Z27" s="2">
        <v>0</v>
      </c>
      <c r="AA27" s="2">
        <v>18000</v>
      </c>
    </row>
    <row r="28" spans="1:27" x14ac:dyDescent="0.3">
      <c r="A28" s="4" t="s">
        <v>1631</v>
      </c>
      <c r="B28" s="2" t="str">
        <f>"05205016200"</f>
        <v>05205016200</v>
      </c>
      <c r="C28" s="2" t="s">
        <v>1718</v>
      </c>
      <c r="D28" t="s">
        <v>866</v>
      </c>
      <c r="E28" s="2" t="s">
        <v>30</v>
      </c>
      <c r="F28" s="2">
        <v>37115</v>
      </c>
      <c r="G28" s="2" t="s">
        <v>64</v>
      </c>
      <c r="H28" t="s">
        <v>211</v>
      </c>
      <c r="I28" s="6">
        <v>27431</v>
      </c>
      <c r="J28" s="2" t="s">
        <v>1723</v>
      </c>
      <c r="K28" s="2">
        <v>208</v>
      </c>
      <c r="L28" t="s">
        <v>35</v>
      </c>
      <c r="M28" t="s">
        <v>29</v>
      </c>
      <c r="N28" t="s">
        <v>30</v>
      </c>
      <c r="O28">
        <v>37219</v>
      </c>
      <c r="P28" t="s">
        <v>1724</v>
      </c>
      <c r="Q28" s="2">
        <v>0.16</v>
      </c>
      <c r="R28" s="2">
        <v>80</v>
      </c>
      <c r="S28" s="2">
        <v>95</v>
      </c>
      <c r="T28" t="s">
        <v>1725</v>
      </c>
      <c r="U28" s="6">
        <v>13858</v>
      </c>
      <c r="V28" s="2">
        <v>47037010701</v>
      </c>
      <c r="W28" s="2" t="s">
        <v>837</v>
      </c>
      <c r="X28" s="1">
        <v>45658</v>
      </c>
      <c r="Y28" s="2">
        <v>18000</v>
      </c>
      <c r="Z28" s="2">
        <v>0</v>
      </c>
      <c r="AA28" s="2">
        <v>18000</v>
      </c>
    </row>
    <row r="29" spans="1:27" x14ac:dyDescent="0.3">
      <c r="A29" s="4" t="s">
        <v>1631</v>
      </c>
      <c r="B29" s="2" t="str">
        <f>"05205016300"</f>
        <v>05205016300</v>
      </c>
      <c r="C29" s="2" t="s">
        <v>1718</v>
      </c>
      <c r="D29" t="s">
        <v>866</v>
      </c>
      <c r="E29" s="2" t="s">
        <v>30</v>
      </c>
      <c r="F29" s="2">
        <v>37115</v>
      </c>
      <c r="G29" s="2" t="s">
        <v>64</v>
      </c>
      <c r="H29" t="s">
        <v>211</v>
      </c>
      <c r="I29" s="6">
        <v>32926</v>
      </c>
      <c r="J29" s="2" t="s">
        <v>1726</v>
      </c>
      <c r="K29" s="2">
        <v>209</v>
      </c>
      <c r="L29" t="s">
        <v>35</v>
      </c>
      <c r="M29" t="s">
        <v>29</v>
      </c>
      <c r="N29" t="s">
        <v>30</v>
      </c>
      <c r="O29">
        <v>37219</v>
      </c>
      <c r="P29" t="s">
        <v>1727</v>
      </c>
      <c r="Q29" s="2">
        <v>0.11</v>
      </c>
      <c r="R29" s="2">
        <v>50</v>
      </c>
      <c r="S29" s="2">
        <v>105</v>
      </c>
      <c r="T29" t="s">
        <v>1706</v>
      </c>
      <c r="U29" s="6">
        <v>27081</v>
      </c>
      <c r="V29" s="2">
        <v>47037010701</v>
      </c>
      <c r="W29" s="2" t="s">
        <v>837</v>
      </c>
      <c r="X29" s="1">
        <v>45658</v>
      </c>
      <c r="Y29" s="2">
        <v>18000</v>
      </c>
      <c r="Z29" s="2">
        <v>0</v>
      </c>
      <c r="AA29" s="2">
        <v>18000</v>
      </c>
    </row>
    <row r="30" spans="1:27" x14ac:dyDescent="0.3">
      <c r="A30" s="4" t="s">
        <v>1631</v>
      </c>
      <c r="B30" s="2" t="str">
        <f>"07309026000"</f>
        <v>07309026000</v>
      </c>
      <c r="C30" s="2" t="s">
        <v>1651</v>
      </c>
      <c r="D30" t="s">
        <v>29</v>
      </c>
      <c r="E30" s="2" t="s">
        <v>30</v>
      </c>
      <c r="F30" s="2">
        <v>37216</v>
      </c>
      <c r="G30" s="2" t="s">
        <v>64</v>
      </c>
      <c r="H30" t="s">
        <v>211</v>
      </c>
      <c r="I30" s="6">
        <v>37578</v>
      </c>
      <c r="J30" s="2" t="s">
        <v>1728</v>
      </c>
      <c r="K30" s="2">
        <v>303</v>
      </c>
      <c r="L30" t="s">
        <v>35</v>
      </c>
      <c r="M30" t="s">
        <v>29</v>
      </c>
      <c r="N30" t="s">
        <v>30</v>
      </c>
      <c r="O30">
        <v>37219</v>
      </c>
      <c r="P30" t="s">
        <v>1729</v>
      </c>
      <c r="Q30" s="2">
        <v>0.05</v>
      </c>
      <c r="R30" s="2">
        <v>0</v>
      </c>
      <c r="S30" s="2">
        <v>98</v>
      </c>
      <c r="T30" t="s">
        <v>1654</v>
      </c>
      <c r="U30" s="6">
        <v>30518</v>
      </c>
      <c r="V30" s="2">
        <v>47037011500</v>
      </c>
      <c r="W30" s="2" t="s">
        <v>68</v>
      </c>
      <c r="X30" s="1">
        <v>45658</v>
      </c>
      <c r="Y30" s="2">
        <v>8000</v>
      </c>
      <c r="Z30" s="2">
        <v>0</v>
      </c>
      <c r="AA30" s="2">
        <v>8000</v>
      </c>
    </row>
    <row r="31" spans="1:27" x14ac:dyDescent="0.3">
      <c r="A31" s="4" t="s">
        <v>1631</v>
      </c>
      <c r="B31" s="2" t="str">
        <f>"07309024000"</f>
        <v>07309024000</v>
      </c>
      <c r="C31" s="2" t="s">
        <v>1651</v>
      </c>
      <c r="D31" t="s">
        <v>29</v>
      </c>
      <c r="E31" s="2" t="s">
        <v>30</v>
      </c>
      <c r="F31" s="2">
        <v>37216</v>
      </c>
      <c r="G31" s="2" t="s">
        <v>64</v>
      </c>
      <c r="H31" t="s">
        <v>211</v>
      </c>
      <c r="I31" s="6">
        <v>38275</v>
      </c>
      <c r="J31" s="2" t="s">
        <v>1730</v>
      </c>
      <c r="K31" s="2">
        <v>1550</v>
      </c>
      <c r="L31" t="s">
        <v>35</v>
      </c>
      <c r="M31" t="s">
        <v>29</v>
      </c>
      <c r="N31" t="s">
        <v>30</v>
      </c>
      <c r="O31">
        <v>37219</v>
      </c>
      <c r="P31" t="s">
        <v>1731</v>
      </c>
      <c r="Q31" s="2">
        <v>0.24</v>
      </c>
      <c r="R31" s="2">
        <v>37</v>
      </c>
      <c r="S31" s="2">
        <v>249</v>
      </c>
      <c r="T31" t="s">
        <v>1654</v>
      </c>
      <c r="U31" s="6">
        <v>30518</v>
      </c>
      <c r="V31" s="2">
        <v>47037011500</v>
      </c>
      <c r="W31" s="2" t="s">
        <v>68</v>
      </c>
      <c r="X31" s="1">
        <v>45658</v>
      </c>
      <c r="Y31" s="2">
        <v>12500</v>
      </c>
      <c r="Z31" s="2">
        <v>0</v>
      </c>
      <c r="AA31" s="2">
        <v>12500</v>
      </c>
    </row>
    <row r="32" spans="1:27" x14ac:dyDescent="0.3">
      <c r="A32" s="4" t="s">
        <v>1631</v>
      </c>
      <c r="B32" s="2" t="str">
        <f>"05201030300"</f>
        <v>05201030300</v>
      </c>
      <c r="C32" s="2" t="s">
        <v>1703</v>
      </c>
      <c r="D32" t="s">
        <v>866</v>
      </c>
      <c r="E32" s="2" t="s">
        <v>30</v>
      </c>
      <c r="F32" s="2">
        <v>37115</v>
      </c>
      <c r="G32" s="2" t="s">
        <v>64</v>
      </c>
      <c r="H32" t="s">
        <v>211</v>
      </c>
      <c r="I32" s="6">
        <v>40800</v>
      </c>
      <c r="J32" s="2" t="s">
        <v>1732</v>
      </c>
      <c r="K32" s="2">
        <v>422</v>
      </c>
      <c r="L32" t="s">
        <v>35</v>
      </c>
      <c r="M32" t="s">
        <v>29</v>
      </c>
      <c r="N32" t="s">
        <v>30</v>
      </c>
      <c r="O32">
        <v>37219</v>
      </c>
      <c r="P32" t="s">
        <v>1733</v>
      </c>
      <c r="Q32" s="2">
        <v>0.28000000000000003</v>
      </c>
      <c r="R32" s="2">
        <v>95</v>
      </c>
      <c r="S32" s="2">
        <v>125</v>
      </c>
      <c r="T32" t="s">
        <v>1734</v>
      </c>
      <c r="U32" s="6">
        <v>15261</v>
      </c>
      <c r="V32" s="2">
        <v>47037010701</v>
      </c>
      <c r="W32" s="2" t="s">
        <v>837</v>
      </c>
      <c r="X32" s="1">
        <v>45658</v>
      </c>
      <c r="Y32" s="2">
        <v>5200</v>
      </c>
      <c r="Z32" s="2">
        <v>0</v>
      </c>
      <c r="AA32" s="2">
        <v>5200</v>
      </c>
    </row>
    <row r="33" spans="1:27" x14ac:dyDescent="0.3">
      <c r="A33" s="4" t="s">
        <v>1631</v>
      </c>
      <c r="B33" s="2" t="str">
        <f>"05205016600"</f>
        <v>05205016600</v>
      </c>
      <c r="C33" s="2" t="s">
        <v>1718</v>
      </c>
      <c r="D33" t="s">
        <v>866</v>
      </c>
      <c r="E33" s="2" t="s">
        <v>30</v>
      </c>
      <c r="F33" s="2">
        <v>37115</v>
      </c>
      <c r="G33" s="2" t="s">
        <v>64</v>
      </c>
      <c r="H33" t="s">
        <v>211</v>
      </c>
      <c r="I33" s="6">
        <v>39617</v>
      </c>
      <c r="J33" s="2" t="s">
        <v>1735</v>
      </c>
      <c r="K33" s="2" t="s">
        <v>34</v>
      </c>
      <c r="L33" t="s">
        <v>35</v>
      </c>
      <c r="M33" t="s">
        <v>29</v>
      </c>
      <c r="N33" t="s">
        <v>30</v>
      </c>
      <c r="O33">
        <v>37219</v>
      </c>
      <c r="P33" t="s">
        <v>1736</v>
      </c>
      <c r="Q33" s="2">
        <v>0.2</v>
      </c>
      <c r="R33" s="2">
        <v>50</v>
      </c>
      <c r="S33" s="2">
        <v>200</v>
      </c>
      <c r="T33" t="s">
        <v>1737</v>
      </c>
      <c r="U33" s="6">
        <v>26161</v>
      </c>
      <c r="V33" s="2">
        <v>47037010701</v>
      </c>
      <c r="W33" s="2" t="s">
        <v>837</v>
      </c>
      <c r="X33" s="1">
        <v>45658</v>
      </c>
      <c r="Y33" s="2">
        <v>18000</v>
      </c>
      <c r="Z33" s="2">
        <v>0</v>
      </c>
      <c r="AA33" s="2">
        <v>18000</v>
      </c>
    </row>
    <row r="34" spans="1:27" x14ac:dyDescent="0.3">
      <c r="A34" s="4" t="s">
        <v>1631</v>
      </c>
      <c r="B34" s="2" t="str">
        <f>"07211027800"</f>
        <v>07211027800</v>
      </c>
      <c r="C34" s="2" t="s">
        <v>1738</v>
      </c>
      <c r="D34" t="s">
        <v>29</v>
      </c>
      <c r="E34" s="2" t="s">
        <v>30</v>
      </c>
      <c r="F34" s="2">
        <v>37216</v>
      </c>
      <c r="G34" s="2" t="s">
        <v>64</v>
      </c>
      <c r="H34" t="s">
        <v>1739</v>
      </c>
      <c r="I34" s="6">
        <v>27108</v>
      </c>
      <c r="J34" s="2" t="s">
        <v>1740</v>
      </c>
      <c r="K34" s="2" t="s">
        <v>34</v>
      </c>
      <c r="L34" t="s">
        <v>35</v>
      </c>
      <c r="M34" t="s">
        <v>29</v>
      </c>
      <c r="N34" t="s">
        <v>30</v>
      </c>
      <c r="O34">
        <v>37219</v>
      </c>
      <c r="P34" t="s">
        <v>1741</v>
      </c>
      <c r="Q34" s="2">
        <v>0.16</v>
      </c>
      <c r="R34" s="2">
        <v>50</v>
      </c>
      <c r="S34" s="2">
        <v>150</v>
      </c>
      <c r="T34" t="s">
        <v>1740</v>
      </c>
      <c r="U34" s="6">
        <v>27108</v>
      </c>
      <c r="V34" s="2">
        <v>47037011400</v>
      </c>
      <c r="W34" s="2" t="s">
        <v>68</v>
      </c>
      <c r="X34" s="1">
        <v>45658</v>
      </c>
      <c r="Y34" s="2">
        <v>300000</v>
      </c>
      <c r="Z34" s="2">
        <v>0</v>
      </c>
      <c r="AA34" s="2">
        <v>300000</v>
      </c>
    </row>
    <row r="35" spans="1:27" x14ac:dyDescent="0.3">
      <c r="A35" s="4" t="s">
        <v>1631</v>
      </c>
      <c r="B35" s="2" t="str">
        <f>"07215006900"</f>
        <v>07215006900</v>
      </c>
      <c r="C35" s="2" t="s">
        <v>1738</v>
      </c>
      <c r="D35" t="s">
        <v>29</v>
      </c>
      <c r="E35" s="2" t="s">
        <v>30</v>
      </c>
      <c r="F35" s="2">
        <v>37216</v>
      </c>
      <c r="G35" s="2" t="s">
        <v>64</v>
      </c>
      <c r="H35" t="s">
        <v>1739</v>
      </c>
      <c r="I35" s="6">
        <v>27108</v>
      </c>
      <c r="J35" s="2" t="s">
        <v>1742</v>
      </c>
      <c r="K35" s="2" t="s">
        <v>34</v>
      </c>
      <c r="L35" t="s">
        <v>35</v>
      </c>
      <c r="M35" t="s">
        <v>29</v>
      </c>
      <c r="N35" t="s">
        <v>30</v>
      </c>
      <c r="O35">
        <v>37219</v>
      </c>
      <c r="P35" t="s">
        <v>1743</v>
      </c>
      <c r="Q35" s="2">
        <v>0.17</v>
      </c>
      <c r="R35" s="2">
        <v>50</v>
      </c>
      <c r="S35" s="2">
        <v>150</v>
      </c>
      <c r="T35" t="s">
        <v>1742</v>
      </c>
      <c r="U35" s="6">
        <v>27108</v>
      </c>
      <c r="V35" s="2">
        <v>47037011400</v>
      </c>
      <c r="W35" s="2" t="s">
        <v>68</v>
      </c>
      <c r="X35" s="1">
        <v>45658</v>
      </c>
      <c r="Y35" s="2">
        <v>300000</v>
      </c>
      <c r="Z35" s="2">
        <v>0</v>
      </c>
      <c r="AA35" s="2">
        <v>300000</v>
      </c>
    </row>
    <row r="36" spans="1:27" x14ac:dyDescent="0.3">
      <c r="A36" s="4" t="s">
        <v>1631</v>
      </c>
      <c r="B36" s="2" t="str">
        <f>"07215032400"</f>
        <v>07215032400</v>
      </c>
      <c r="C36" s="2" t="s">
        <v>1744</v>
      </c>
      <c r="D36" t="s">
        <v>29</v>
      </c>
      <c r="E36" s="2" t="s">
        <v>30</v>
      </c>
      <c r="F36" s="2">
        <v>37216</v>
      </c>
      <c r="G36" s="2" t="s">
        <v>200</v>
      </c>
      <c r="H36" t="s">
        <v>1739</v>
      </c>
      <c r="I36" s="6">
        <v>25262</v>
      </c>
      <c r="J36" s="2" t="s">
        <v>1745</v>
      </c>
      <c r="K36" s="2" t="s">
        <v>34</v>
      </c>
      <c r="L36" t="s">
        <v>35</v>
      </c>
      <c r="M36" t="s">
        <v>29</v>
      </c>
      <c r="N36" t="s">
        <v>30</v>
      </c>
      <c r="O36">
        <v>37219</v>
      </c>
      <c r="P36" t="s">
        <v>1746</v>
      </c>
      <c r="Q36" s="2">
        <v>18.38</v>
      </c>
      <c r="R36" s="2">
        <v>0</v>
      </c>
      <c r="S36" s="2">
        <v>0</v>
      </c>
      <c r="T36" t="s">
        <v>1745</v>
      </c>
      <c r="U36" s="6">
        <v>25262</v>
      </c>
      <c r="V36" s="2">
        <v>47037011400</v>
      </c>
      <c r="W36" s="2" t="s">
        <v>68</v>
      </c>
      <c r="X36" s="1">
        <v>45658</v>
      </c>
      <c r="Y36" s="2">
        <v>1799300</v>
      </c>
      <c r="Z36" s="2">
        <v>0</v>
      </c>
      <c r="AA36" s="2">
        <v>1799300</v>
      </c>
    </row>
    <row r="37" spans="1:27" x14ac:dyDescent="0.3">
      <c r="A37" s="4" t="s">
        <v>1631</v>
      </c>
      <c r="B37" s="2" t="str">
        <f>"07211034800"</f>
        <v>07211034800</v>
      </c>
      <c r="C37" s="2" t="s">
        <v>1747</v>
      </c>
      <c r="D37" t="s">
        <v>29</v>
      </c>
      <c r="E37" s="2" t="s">
        <v>30</v>
      </c>
      <c r="F37" s="2">
        <v>37216</v>
      </c>
      <c r="G37" s="2" t="s">
        <v>64</v>
      </c>
      <c r="H37" t="s">
        <v>1748</v>
      </c>
      <c r="I37" s="6">
        <v>27415</v>
      </c>
      <c r="J37" s="2" t="s">
        <v>1749</v>
      </c>
      <c r="K37" s="2">
        <v>514</v>
      </c>
      <c r="L37" t="s">
        <v>35</v>
      </c>
      <c r="M37" t="s">
        <v>29</v>
      </c>
      <c r="N37" t="s">
        <v>30</v>
      </c>
      <c r="O37">
        <v>37219</v>
      </c>
      <c r="P37" t="s">
        <v>1750</v>
      </c>
      <c r="Q37" s="2">
        <v>0.28000000000000003</v>
      </c>
      <c r="R37" s="2">
        <v>75</v>
      </c>
      <c r="S37" s="2">
        <v>158</v>
      </c>
      <c r="T37" t="s">
        <v>1751</v>
      </c>
      <c r="U37" s="6">
        <v>14220</v>
      </c>
      <c r="V37" s="2">
        <v>47037011400</v>
      </c>
      <c r="W37" s="2" t="s">
        <v>68</v>
      </c>
      <c r="X37" s="1">
        <v>45658</v>
      </c>
      <c r="Y37" s="2">
        <v>300000</v>
      </c>
      <c r="Z37" s="2">
        <v>0</v>
      </c>
      <c r="AA37" s="2">
        <v>300000</v>
      </c>
    </row>
    <row r="38" spans="1:27" x14ac:dyDescent="0.3">
      <c r="A38" s="4" t="s">
        <v>1631</v>
      </c>
      <c r="B38" s="2" t="str">
        <f>"06114020400"</f>
        <v>06114020400</v>
      </c>
      <c r="C38" s="2" t="s">
        <v>1752</v>
      </c>
      <c r="D38" t="s">
        <v>29</v>
      </c>
      <c r="E38" s="2" t="s">
        <v>30</v>
      </c>
      <c r="F38" s="2">
        <v>37216</v>
      </c>
      <c r="G38" s="2" t="s">
        <v>64</v>
      </c>
      <c r="H38" t="s">
        <v>237</v>
      </c>
      <c r="I38" s="6">
        <v>28438</v>
      </c>
      <c r="J38" s="2" t="s">
        <v>1753</v>
      </c>
      <c r="K38" s="2" t="s">
        <v>34</v>
      </c>
      <c r="L38" t="s">
        <v>35</v>
      </c>
      <c r="M38" t="s">
        <v>29</v>
      </c>
      <c r="N38" t="s">
        <v>30</v>
      </c>
      <c r="O38">
        <v>37219</v>
      </c>
      <c r="P38" t="s">
        <v>1754</v>
      </c>
      <c r="Q38" s="2">
        <v>0.03</v>
      </c>
      <c r="R38" s="2">
        <v>0</v>
      </c>
      <c r="S38" s="2">
        <v>76</v>
      </c>
      <c r="T38" t="s">
        <v>1753</v>
      </c>
      <c r="U38" s="6">
        <v>28438</v>
      </c>
      <c r="V38" s="2">
        <v>47037011200</v>
      </c>
      <c r="W38" s="2" t="s">
        <v>68</v>
      </c>
      <c r="X38" s="1">
        <v>45658</v>
      </c>
      <c r="Y38" s="2">
        <v>700</v>
      </c>
      <c r="Z38" s="2">
        <v>0</v>
      </c>
      <c r="AA38" s="2">
        <v>700</v>
      </c>
    </row>
    <row r="39" spans="1:27" x14ac:dyDescent="0.3">
      <c r="A39" s="4" t="s">
        <v>1631</v>
      </c>
      <c r="B39" s="2" t="str">
        <f>"06104002501"</f>
        <v>06104002501</v>
      </c>
      <c r="C39" s="2" t="s">
        <v>1755</v>
      </c>
      <c r="D39" t="s">
        <v>29</v>
      </c>
      <c r="E39" s="2" t="s">
        <v>30</v>
      </c>
      <c r="F39" s="2">
        <v>37216</v>
      </c>
      <c r="G39" s="2" t="s">
        <v>64</v>
      </c>
      <c r="H39" t="s">
        <v>237</v>
      </c>
      <c r="I39" s="6">
        <v>27116</v>
      </c>
      <c r="J39" s="2" t="s">
        <v>1756</v>
      </c>
      <c r="K39" s="2">
        <v>300</v>
      </c>
      <c r="L39" t="s">
        <v>35</v>
      </c>
      <c r="M39" t="s">
        <v>29</v>
      </c>
      <c r="N39" t="s">
        <v>30</v>
      </c>
      <c r="O39">
        <v>37219</v>
      </c>
      <c r="P39" t="s">
        <v>1757</v>
      </c>
      <c r="Q39" s="2">
        <v>0.12</v>
      </c>
      <c r="R39" s="2">
        <v>103</v>
      </c>
      <c r="S39" s="2">
        <v>88</v>
      </c>
      <c r="T39" t="s">
        <v>1758</v>
      </c>
      <c r="U39" s="6">
        <v>30851</v>
      </c>
      <c r="V39" s="2">
        <v>47037011100</v>
      </c>
      <c r="W39" s="2" t="s">
        <v>68</v>
      </c>
      <c r="X39" s="1">
        <v>45658</v>
      </c>
      <c r="Y39" s="2">
        <v>10000</v>
      </c>
      <c r="Z39" s="2">
        <v>0</v>
      </c>
      <c r="AA39" s="2">
        <v>10000</v>
      </c>
    </row>
    <row r="40" spans="1:27" x14ac:dyDescent="0.3">
      <c r="A40" s="4" t="s">
        <v>1631</v>
      </c>
      <c r="B40" s="2" t="str">
        <f>"07208005900"</f>
        <v>07208005900</v>
      </c>
      <c r="C40" s="2" t="s">
        <v>1759</v>
      </c>
      <c r="D40" t="s">
        <v>29</v>
      </c>
      <c r="E40" s="2" t="s">
        <v>30</v>
      </c>
      <c r="F40" s="2">
        <v>37216</v>
      </c>
      <c r="G40" s="2" t="s">
        <v>253</v>
      </c>
      <c r="H40" t="s">
        <v>1760</v>
      </c>
      <c r="I40" s="6">
        <v>20204</v>
      </c>
      <c r="J40" s="2" t="s">
        <v>1761</v>
      </c>
      <c r="K40" s="2" t="s">
        <v>34</v>
      </c>
      <c r="L40" t="s">
        <v>35</v>
      </c>
      <c r="M40" t="s">
        <v>29</v>
      </c>
      <c r="N40" t="s">
        <v>30</v>
      </c>
      <c r="O40">
        <v>37219</v>
      </c>
      <c r="P40" t="s">
        <v>1762</v>
      </c>
      <c r="Q40" s="2">
        <v>13.5</v>
      </c>
      <c r="R40" s="2">
        <v>0</v>
      </c>
      <c r="S40" s="2">
        <v>0</v>
      </c>
      <c r="T40" t="s">
        <v>1763</v>
      </c>
      <c r="U40" s="6">
        <v>36594</v>
      </c>
      <c r="V40" s="2">
        <v>47037011500</v>
      </c>
      <c r="W40" s="2" t="s">
        <v>68</v>
      </c>
      <c r="X40" s="1">
        <v>45658</v>
      </c>
      <c r="Y40" s="2">
        <v>1080000</v>
      </c>
      <c r="Z40" s="2">
        <v>0</v>
      </c>
      <c r="AA40" s="2">
        <v>1080000</v>
      </c>
    </row>
    <row r="41" spans="1:27" x14ac:dyDescent="0.3">
      <c r="A41" s="4" t="s">
        <v>1631</v>
      </c>
      <c r="B41" s="2" t="str">
        <f>"06116008300"</f>
        <v>06116008300</v>
      </c>
      <c r="C41" s="2" t="s">
        <v>1764</v>
      </c>
      <c r="D41" t="s">
        <v>29</v>
      </c>
      <c r="E41" s="2" t="s">
        <v>30</v>
      </c>
      <c r="F41" s="2">
        <v>37216</v>
      </c>
      <c r="G41" s="2" t="s">
        <v>253</v>
      </c>
      <c r="H41" t="s">
        <v>1765</v>
      </c>
      <c r="I41" s="6">
        <v>13041</v>
      </c>
      <c r="J41" s="2" t="s">
        <v>1766</v>
      </c>
      <c r="K41" s="2" t="s">
        <v>34</v>
      </c>
      <c r="L41" t="s">
        <v>35</v>
      </c>
      <c r="M41" t="s">
        <v>29</v>
      </c>
      <c r="N41" t="s">
        <v>30</v>
      </c>
      <c r="O41">
        <v>37219</v>
      </c>
      <c r="P41" t="s">
        <v>1767</v>
      </c>
      <c r="Q41" s="2">
        <v>5.8</v>
      </c>
      <c r="R41" s="2">
        <v>0</v>
      </c>
      <c r="S41" s="2">
        <v>0</v>
      </c>
      <c r="T41" t="s">
        <v>1766</v>
      </c>
      <c r="U41" s="6">
        <v>13041</v>
      </c>
      <c r="V41" s="2">
        <v>47037011100</v>
      </c>
      <c r="W41" s="2" t="s">
        <v>68</v>
      </c>
      <c r="X41" s="1">
        <v>45658</v>
      </c>
      <c r="Y41" s="2">
        <v>2388200</v>
      </c>
      <c r="Z41" s="2">
        <v>0</v>
      </c>
      <c r="AA41" s="2">
        <v>2388200</v>
      </c>
    </row>
    <row r="42" spans="1:27" x14ac:dyDescent="0.3">
      <c r="A42" s="4" t="s">
        <v>1631</v>
      </c>
      <c r="B42" s="2" t="str">
        <f>"06100000700"</f>
        <v>06100000700</v>
      </c>
      <c r="C42" s="2" t="s">
        <v>1768</v>
      </c>
      <c r="D42" t="s">
        <v>29</v>
      </c>
      <c r="E42" s="2" t="s">
        <v>30</v>
      </c>
      <c r="F42" s="2">
        <v>37216</v>
      </c>
      <c r="G42" s="2" t="s">
        <v>152</v>
      </c>
      <c r="H42" t="s">
        <v>1769</v>
      </c>
      <c r="I42" s="6">
        <v>27794</v>
      </c>
      <c r="J42" s="2" t="s">
        <v>1382</v>
      </c>
      <c r="K42" s="2" t="s">
        <v>34</v>
      </c>
      <c r="L42" t="s">
        <v>35</v>
      </c>
      <c r="M42" t="s">
        <v>29</v>
      </c>
      <c r="N42" t="s">
        <v>30</v>
      </c>
      <c r="O42">
        <v>37219</v>
      </c>
      <c r="P42" t="s">
        <v>1770</v>
      </c>
      <c r="Q42" s="2">
        <v>17.670000000000002</v>
      </c>
      <c r="R42" s="2">
        <v>0</v>
      </c>
      <c r="S42" s="2">
        <v>0</v>
      </c>
      <c r="T42" t="s">
        <v>198</v>
      </c>
      <c r="U42" s="6">
        <v>37235</v>
      </c>
      <c r="V42" s="2">
        <v>47037011002</v>
      </c>
      <c r="W42" s="2" t="s">
        <v>68</v>
      </c>
      <c r="X42" s="1">
        <v>45658</v>
      </c>
      <c r="Y42" s="2">
        <v>848200</v>
      </c>
      <c r="Z42" s="2">
        <v>0</v>
      </c>
      <c r="AA42" s="2">
        <v>848200</v>
      </c>
    </row>
    <row r="43" spans="1:27" x14ac:dyDescent="0.3">
      <c r="A43" s="4" t="s">
        <v>1631</v>
      </c>
      <c r="B43" s="2" t="str">
        <f>"07211042300"</f>
        <v>07211042300</v>
      </c>
      <c r="C43" s="2" t="s">
        <v>1771</v>
      </c>
      <c r="D43" t="s">
        <v>29</v>
      </c>
      <c r="E43" s="2" t="s">
        <v>30</v>
      </c>
      <c r="F43" s="2">
        <v>37216</v>
      </c>
      <c r="G43" s="2" t="s">
        <v>253</v>
      </c>
      <c r="H43" t="s">
        <v>1772</v>
      </c>
      <c r="I43" s="6">
        <v>10789</v>
      </c>
      <c r="J43" s="2" t="s">
        <v>1773</v>
      </c>
      <c r="K43" s="2" t="s">
        <v>34</v>
      </c>
      <c r="L43" t="s">
        <v>35</v>
      </c>
      <c r="M43" t="s">
        <v>29</v>
      </c>
      <c r="N43" t="s">
        <v>30</v>
      </c>
      <c r="O43">
        <v>37219</v>
      </c>
      <c r="P43" t="s">
        <v>1774</v>
      </c>
      <c r="Q43" s="2">
        <v>4.9400000000000004</v>
      </c>
      <c r="R43" s="2">
        <v>0</v>
      </c>
      <c r="S43" s="2">
        <v>0</v>
      </c>
      <c r="T43" t="s">
        <v>1773</v>
      </c>
      <c r="U43" s="6">
        <v>10789</v>
      </c>
      <c r="V43" s="2">
        <v>47037011400</v>
      </c>
      <c r="W43" s="2" t="s">
        <v>68</v>
      </c>
      <c r="X43" s="1">
        <v>45658</v>
      </c>
      <c r="Y43" s="2">
        <v>1279500</v>
      </c>
      <c r="Z43" s="2">
        <v>0</v>
      </c>
      <c r="AA43" s="2">
        <v>1279500</v>
      </c>
    </row>
    <row r="44" spans="1:27" x14ac:dyDescent="0.3">
      <c r="A44" s="4" t="s">
        <v>1631</v>
      </c>
      <c r="B44" s="2" t="str">
        <f>"06107027400"</f>
        <v>06107027400</v>
      </c>
      <c r="C44" s="2" t="s">
        <v>1775</v>
      </c>
      <c r="D44" t="s">
        <v>29</v>
      </c>
      <c r="E44" s="2" t="s">
        <v>30</v>
      </c>
      <c r="F44" s="2">
        <v>37216</v>
      </c>
      <c r="G44" s="2" t="s">
        <v>253</v>
      </c>
      <c r="H44" t="s">
        <v>1776</v>
      </c>
      <c r="I44" s="6">
        <v>11081</v>
      </c>
      <c r="J44" s="2" t="s">
        <v>1777</v>
      </c>
      <c r="K44" s="2" t="s">
        <v>34</v>
      </c>
      <c r="L44" t="s">
        <v>35</v>
      </c>
      <c r="M44" t="s">
        <v>29</v>
      </c>
      <c r="N44" t="s">
        <v>30</v>
      </c>
      <c r="O44">
        <v>37219</v>
      </c>
      <c r="P44" t="s">
        <v>1778</v>
      </c>
      <c r="Q44" s="2">
        <v>20.6</v>
      </c>
      <c r="R44" s="2">
        <v>0</v>
      </c>
      <c r="S44" s="2">
        <v>0</v>
      </c>
      <c r="T44" t="s">
        <v>278</v>
      </c>
      <c r="U44" s="6">
        <v>36581</v>
      </c>
      <c r="V44" s="2">
        <v>47037011100</v>
      </c>
      <c r="W44" s="2" t="s">
        <v>68</v>
      </c>
      <c r="X44" s="1">
        <v>45658</v>
      </c>
      <c r="Y44" s="2">
        <v>22433400</v>
      </c>
      <c r="Z44" s="2">
        <v>0</v>
      </c>
      <c r="AA44" s="2">
        <v>22433400</v>
      </c>
    </row>
    <row r="45" spans="1:27" x14ac:dyDescent="0.3">
      <c r="A45" s="4" t="s">
        <v>1631</v>
      </c>
      <c r="B45" s="2" t="str">
        <f>"07202010400"</f>
        <v>07202010400</v>
      </c>
      <c r="C45" s="2" t="s">
        <v>1779</v>
      </c>
      <c r="D45" t="s">
        <v>29</v>
      </c>
      <c r="E45" s="2" t="s">
        <v>30</v>
      </c>
      <c r="F45" s="2">
        <v>37216</v>
      </c>
      <c r="G45" s="2" t="s">
        <v>253</v>
      </c>
      <c r="H45" t="s">
        <v>1780</v>
      </c>
      <c r="I45" s="6">
        <v>8344</v>
      </c>
      <c r="J45" s="2" t="s">
        <v>1781</v>
      </c>
      <c r="K45" s="2" t="s">
        <v>34</v>
      </c>
      <c r="L45" t="s">
        <v>35</v>
      </c>
      <c r="M45" t="s">
        <v>29</v>
      </c>
      <c r="N45" t="s">
        <v>30</v>
      </c>
      <c r="O45">
        <v>37219</v>
      </c>
      <c r="P45" t="s">
        <v>1782</v>
      </c>
      <c r="Q45" s="2">
        <v>3.41</v>
      </c>
      <c r="R45" s="2">
        <v>0</v>
      </c>
      <c r="S45" s="2">
        <v>0</v>
      </c>
      <c r="T45" t="s">
        <v>1781</v>
      </c>
      <c r="U45" s="6">
        <v>8344</v>
      </c>
      <c r="V45" s="2">
        <v>47037011200</v>
      </c>
      <c r="W45" s="2" t="s">
        <v>68</v>
      </c>
      <c r="X45" s="1">
        <v>45658</v>
      </c>
      <c r="Y45" s="2">
        <v>5513300</v>
      </c>
      <c r="Z45" s="2">
        <v>0</v>
      </c>
      <c r="AA45" s="2">
        <v>5513300</v>
      </c>
    </row>
    <row r="46" spans="1:27" x14ac:dyDescent="0.3">
      <c r="A46" s="4" t="s">
        <v>1631</v>
      </c>
      <c r="B46" s="2" t="str">
        <f>"07212024300"</f>
        <v>07212024300</v>
      </c>
      <c r="C46" s="2" t="s">
        <v>1783</v>
      </c>
      <c r="D46" t="s">
        <v>29</v>
      </c>
      <c r="E46" s="2" t="s">
        <v>30</v>
      </c>
      <c r="F46" s="2">
        <v>37216</v>
      </c>
      <c r="G46" s="2" t="s">
        <v>253</v>
      </c>
      <c r="H46" t="s">
        <v>1784</v>
      </c>
      <c r="I46" s="6">
        <v>21782</v>
      </c>
      <c r="J46" s="2" t="s">
        <v>1785</v>
      </c>
      <c r="K46" s="2" t="s">
        <v>34</v>
      </c>
      <c r="L46" t="s">
        <v>35</v>
      </c>
      <c r="M46" t="s">
        <v>29</v>
      </c>
      <c r="N46" t="s">
        <v>30</v>
      </c>
      <c r="O46">
        <v>37219</v>
      </c>
      <c r="P46" t="s">
        <v>1786</v>
      </c>
      <c r="Q46" s="2">
        <v>29.23</v>
      </c>
      <c r="R46" s="2">
        <v>0</v>
      </c>
      <c r="S46" s="2">
        <v>0</v>
      </c>
      <c r="T46" t="s">
        <v>1785</v>
      </c>
      <c r="U46" s="6">
        <v>21782</v>
      </c>
      <c r="V46" s="2">
        <v>47037011500</v>
      </c>
      <c r="W46" s="2" t="s">
        <v>68</v>
      </c>
      <c r="X46" s="1">
        <v>45658</v>
      </c>
      <c r="Y46" s="2">
        <v>2338400</v>
      </c>
      <c r="Z46" s="2">
        <v>0</v>
      </c>
      <c r="AA46" s="2">
        <v>2338400</v>
      </c>
    </row>
    <row r="47" spans="1:27" x14ac:dyDescent="0.3">
      <c r="A47" s="4" t="s">
        <v>1631</v>
      </c>
      <c r="B47" s="2" t="str">
        <f>"05201028800"</f>
        <v>05201028800</v>
      </c>
      <c r="C47" s="2" t="s">
        <v>1787</v>
      </c>
      <c r="D47" t="s">
        <v>866</v>
      </c>
      <c r="E47" s="2" t="s">
        <v>30</v>
      </c>
      <c r="F47" s="2">
        <v>37115</v>
      </c>
      <c r="G47" s="2" t="s">
        <v>64</v>
      </c>
      <c r="H47" t="s">
        <v>280</v>
      </c>
      <c r="I47" s="6">
        <v>41410</v>
      </c>
      <c r="J47" s="2" t="s">
        <v>1788</v>
      </c>
      <c r="K47" s="2" t="s">
        <v>34</v>
      </c>
      <c r="L47" t="s">
        <v>35</v>
      </c>
      <c r="M47" t="s">
        <v>29</v>
      </c>
      <c r="N47" t="s">
        <v>30</v>
      </c>
      <c r="O47">
        <v>37219</v>
      </c>
      <c r="P47" t="s">
        <v>1789</v>
      </c>
      <c r="Q47" s="2">
        <v>0.44</v>
      </c>
      <c r="R47" s="2">
        <v>100</v>
      </c>
      <c r="S47" s="2">
        <v>200</v>
      </c>
      <c r="T47" t="s">
        <v>1790</v>
      </c>
      <c r="U47" s="6">
        <v>26256</v>
      </c>
      <c r="V47" s="2">
        <v>47037010701</v>
      </c>
      <c r="W47" s="2" t="s">
        <v>837</v>
      </c>
      <c r="X47" s="1">
        <v>45658</v>
      </c>
      <c r="Y47" s="2">
        <v>11700</v>
      </c>
      <c r="Z47" s="2">
        <v>0</v>
      </c>
      <c r="AA47" s="2">
        <v>11700</v>
      </c>
    </row>
    <row r="48" spans="1:27" x14ac:dyDescent="0.3">
      <c r="A48" s="4" t="s">
        <v>1631</v>
      </c>
      <c r="B48" s="2" t="str">
        <f>"05201026800"</f>
        <v>05201026800</v>
      </c>
      <c r="C48" s="2" t="s">
        <v>1791</v>
      </c>
      <c r="D48" t="s">
        <v>866</v>
      </c>
      <c r="E48" s="2" t="s">
        <v>30</v>
      </c>
      <c r="F48" s="2">
        <v>37115</v>
      </c>
      <c r="G48" s="2" t="s">
        <v>64</v>
      </c>
      <c r="H48" t="s">
        <v>280</v>
      </c>
      <c r="I48" s="6">
        <v>42536</v>
      </c>
      <c r="J48" s="2" t="s">
        <v>1792</v>
      </c>
      <c r="K48" s="2">
        <v>0</v>
      </c>
      <c r="L48" t="s">
        <v>343</v>
      </c>
      <c r="M48" t="s">
        <v>29</v>
      </c>
      <c r="N48" t="s">
        <v>30</v>
      </c>
      <c r="O48">
        <v>37201</v>
      </c>
      <c r="P48" t="s">
        <v>1793</v>
      </c>
      <c r="Q48" s="2">
        <v>0.16</v>
      </c>
      <c r="R48" s="2">
        <v>50</v>
      </c>
      <c r="S48" s="2">
        <v>145</v>
      </c>
      <c r="T48" t="s">
        <v>1794</v>
      </c>
      <c r="U48" s="6">
        <v>27058</v>
      </c>
      <c r="V48" s="2">
        <v>47037010701</v>
      </c>
      <c r="W48" s="2" t="s">
        <v>837</v>
      </c>
      <c r="X48" s="1">
        <v>45658</v>
      </c>
      <c r="Y48" s="2">
        <v>9000</v>
      </c>
      <c r="Z48" s="2">
        <v>0</v>
      </c>
      <c r="AA48" s="2">
        <v>9000</v>
      </c>
    </row>
    <row r="49" spans="1:27" x14ac:dyDescent="0.3">
      <c r="A49" s="4" t="s">
        <v>1631</v>
      </c>
      <c r="B49" s="2" t="str">
        <f>"05201026900"</f>
        <v>05201026900</v>
      </c>
      <c r="C49" s="2" t="s">
        <v>1791</v>
      </c>
      <c r="D49" t="s">
        <v>866</v>
      </c>
      <c r="E49" s="2" t="s">
        <v>30</v>
      </c>
      <c r="F49" s="2">
        <v>37115</v>
      </c>
      <c r="G49" s="2" t="s">
        <v>64</v>
      </c>
      <c r="H49" t="s">
        <v>280</v>
      </c>
      <c r="I49" s="6">
        <v>42536</v>
      </c>
      <c r="J49" s="2" t="s">
        <v>1792</v>
      </c>
      <c r="K49" s="2">
        <v>0</v>
      </c>
      <c r="L49" t="s">
        <v>343</v>
      </c>
      <c r="M49" t="s">
        <v>29</v>
      </c>
      <c r="N49" t="s">
        <v>30</v>
      </c>
      <c r="O49">
        <v>37201</v>
      </c>
      <c r="P49" t="s">
        <v>1795</v>
      </c>
      <c r="Q49" s="2">
        <v>0.16</v>
      </c>
      <c r="R49" s="2">
        <v>50</v>
      </c>
      <c r="S49" s="2">
        <v>145</v>
      </c>
      <c r="T49" t="s">
        <v>1794</v>
      </c>
      <c r="U49" s="6">
        <v>27058</v>
      </c>
      <c r="V49" s="2">
        <v>47037010701</v>
      </c>
      <c r="W49" s="2" t="s">
        <v>837</v>
      </c>
      <c r="X49" s="1">
        <v>45658</v>
      </c>
      <c r="Y49" s="2">
        <v>9000</v>
      </c>
      <c r="Z49" s="2">
        <v>0</v>
      </c>
      <c r="AA49" s="2">
        <v>9000</v>
      </c>
    </row>
    <row r="50" spans="1:27" x14ac:dyDescent="0.3">
      <c r="A50" s="4" t="s">
        <v>1631</v>
      </c>
      <c r="B50" s="2" t="str">
        <f>"05201028600"</f>
        <v>05201028600</v>
      </c>
      <c r="C50" s="2" t="s">
        <v>1796</v>
      </c>
      <c r="D50" t="s">
        <v>866</v>
      </c>
      <c r="E50" s="2" t="s">
        <v>30</v>
      </c>
      <c r="F50" s="2">
        <v>37115</v>
      </c>
      <c r="G50" s="2" t="s">
        <v>64</v>
      </c>
      <c r="H50" t="s">
        <v>280</v>
      </c>
      <c r="I50" s="6">
        <v>41402</v>
      </c>
      <c r="J50" s="2" t="s">
        <v>1797</v>
      </c>
      <c r="K50" s="2">
        <v>0</v>
      </c>
      <c r="L50" t="s">
        <v>35</v>
      </c>
      <c r="M50" t="s">
        <v>29</v>
      </c>
      <c r="N50" t="s">
        <v>30</v>
      </c>
      <c r="O50">
        <v>37219</v>
      </c>
      <c r="P50" t="s">
        <v>1798</v>
      </c>
      <c r="Q50" s="2">
        <v>0.67</v>
      </c>
      <c r="R50" s="2">
        <v>150</v>
      </c>
      <c r="S50" s="2">
        <v>200</v>
      </c>
      <c r="T50" t="s">
        <v>1799</v>
      </c>
      <c r="U50" s="6">
        <v>26368</v>
      </c>
      <c r="V50" s="2">
        <v>47037010701</v>
      </c>
      <c r="W50" s="2" t="s">
        <v>837</v>
      </c>
      <c r="X50" s="1">
        <v>45658</v>
      </c>
      <c r="Y50" s="2">
        <v>12600</v>
      </c>
      <c r="Z50" s="2">
        <v>0</v>
      </c>
      <c r="AA50" s="2">
        <v>12600</v>
      </c>
    </row>
    <row r="51" spans="1:27" x14ac:dyDescent="0.3">
      <c r="A51" s="4" t="s">
        <v>1631</v>
      </c>
      <c r="B51" s="2" t="str">
        <f>"05201028500"</f>
        <v>05201028500</v>
      </c>
      <c r="C51" s="2" t="s">
        <v>1800</v>
      </c>
      <c r="D51" t="s">
        <v>866</v>
      </c>
      <c r="E51" s="2" t="s">
        <v>30</v>
      </c>
      <c r="F51" s="2">
        <v>37115</v>
      </c>
      <c r="G51" s="2" t="s">
        <v>64</v>
      </c>
      <c r="H51" t="s">
        <v>280</v>
      </c>
      <c r="I51" s="6">
        <v>41378</v>
      </c>
      <c r="J51" s="2" t="s">
        <v>1801</v>
      </c>
      <c r="K51" s="2">
        <v>0</v>
      </c>
      <c r="L51" t="s">
        <v>35</v>
      </c>
      <c r="M51" t="s">
        <v>29</v>
      </c>
      <c r="N51" t="s">
        <v>30</v>
      </c>
      <c r="O51">
        <v>37219</v>
      </c>
      <c r="P51" t="s">
        <v>1802</v>
      </c>
      <c r="Q51" s="2">
        <v>0.23</v>
      </c>
      <c r="R51" s="2">
        <v>50</v>
      </c>
      <c r="S51" s="2">
        <v>200</v>
      </c>
      <c r="T51" t="s">
        <v>1803</v>
      </c>
      <c r="U51" s="6">
        <v>26501</v>
      </c>
      <c r="V51" s="2">
        <v>47037010701</v>
      </c>
      <c r="W51" s="2" t="s">
        <v>837</v>
      </c>
      <c r="X51" s="1">
        <v>45658</v>
      </c>
      <c r="Y51" s="2">
        <v>10400</v>
      </c>
      <c r="Z51" s="2">
        <v>0</v>
      </c>
      <c r="AA51" s="2">
        <v>10400</v>
      </c>
    </row>
    <row r="52" spans="1:27" x14ac:dyDescent="0.3">
      <c r="A52" s="4" t="s">
        <v>1631</v>
      </c>
      <c r="B52" s="2" t="str">
        <f>"05201028300"</f>
        <v>05201028300</v>
      </c>
      <c r="C52" s="2" t="s">
        <v>1804</v>
      </c>
      <c r="D52" t="s">
        <v>866</v>
      </c>
      <c r="E52" s="2" t="s">
        <v>30</v>
      </c>
      <c r="F52" s="2">
        <v>37115</v>
      </c>
      <c r="G52" s="2" t="s">
        <v>64</v>
      </c>
      <c r="H52" t="s">
        <v>280</v>
      </c>
      <c r="I52" s="6">
        <v>41410</v>
      </c>
      <c r="J52" s="2" t="s">
        <v>1805</v>
      </c>
      <c r="K52" s="2" t="s">
        <v>34</v>
      </c>
      <c r="L52" t="s">
        <v>35</v>
      </c>
      <c r="M52" t="s">
        <v>29</v>
      </c>
      <c r="N52" t="s">
        <v>30</v>
      </c>
      <c r="O52">
        <v>37219</v>
      </c>
      <c r="P52" t="s">
        <v>1806</v>
      </c>
      <c r="Q52" s="2">
        <v>0.24</v>
      </c>
      <c r="R52" s="2">
        <v>50</v>
      </c>
      <c r="S52" s="2">
        <v>200</v>
      </c>
      <c r="T52" t="s">
        <v>1807</v>
      </c>
      <c r="U52" s="6">
        <v>23881</v>
      </c>
      <c r="V52" s="2">
        <v>47037010701</v>
      </c>
      <c r="W52" s="2" t="s">
        <v>837</v>
      </c>
      <c r="X52" s="1">
        <v>45658</v>
      </c>
      <c r="Y52" s="2">
        <v>103500</v>
      </c>
      <c r="Z52" s="2">
        <v>0</v>
      </c>
      <c r="AA52" s="2">
        <v>103500</v>
      </c>
    </row>
    <row r="53" spans="1:27" x14ac:dyDescent="0.3">
      <c r="A53" s="4" t="s">
        <v>1631</v>
      </c>
      <c r="B53" s="2" t="str">
        <f>"05205018100"</f>
        <v>05205018100</v>
      </c>
      <c r="C53" s="2" t="s">
        <v>1808</v>
      </c>
      <c r="D53" t="s">
        <v>866</v>
      </c>
      <c r="E53" s="2" t="s">
        <v>30</v>
      </c>
      <c r="F53" s="2">
        <v>37115</v>
      </c>
      <c r="G53" s="2" t="s">
        <v>64</v>
      </c>
      <c r="H53" t="s">
        <v>280</v>
      </c>
      <c r="I53" s="6">
        <v>41395</v>
      </c>
      <c r="J53" s="2" t="s">
        <v>1809</v>
      </c>
      <c r="K53" s="2" t="s">
        <v>34</v>
      </c>
      <c r="L53" t="s">
        <v>35</v>
      </c>
      <c r="M53" t="s">
        <v>29</v>
      </c>
      <c r="N53" t="s">
        <v>30</v>
      </c>
      <c r="O53">
        <v>37219</v>
      </c>
      <c r="P53" t="s">
        <v>1810</v>
      </c>
      <c r="Q53" s="2">
        <v>0.23</v>
      </c>
      <c r="R53" s="2">
        <v>56</v>
      </c>
      <c r="S53" s="2">
        <v>204</v>
      </c>
      <c r="T53" t="s">
        <v>1811</v>
      </c>
      <c r="U53" s="6">
        <v>22730</v>
      </c>
      <c r="V53" s="2">
        <v>47037010701</v>
      </c>
      <c r="W53" s="2" t="s">
        <v>837</v>
      </c>
      <c r="X53" s="1">
        <v>45658</v>
      </c>
      <c r="Y53" s="2">
        <v>103500</v>
      </c>
      <c r="Z53" s="2">
        <v>0</v>
      </c>
      <c r="AA53" s="2">
        <v>103500</v>
      </c>
    </row>
    <row r="54" spans="1:27" x14ac:dyDescent="0.3">
      <c r="A54" s="4" t="s">
        <v>1631</v>
      </c>
      <c r="B54" s="2" t="str">
        <f>"05205018000"</f>
        <v>05205018000</v>
      </c>
      <c r="C54" s="2" t="s">
        <v>1812</v>
      </c>
      <c r="D54" t="s">
        <v>866</v>
      </c>
      <c r="E54" s="2" t="s">
        <v>30</v>
      </c>
      <c r="F54" s="2">
        <v>37115</v>
      </c>
      <c r="G54" s="2" t="s">
        <v>64</v>
      </c>
      <c r="H54" t="s">
        <v>280</v>
      </c>
      <c r="I54" s="6">
        <v>41338</v>
      </c>
      <c r="J54" s="2" t="s">
        <v>1813</v>
      </c>
      <c r="K54" s="2">
        <v>0</v>
      </c>
      <c r="L54" t="s">
        <v>35</v>
      </c>
      <c r="M54" t="s">
        <v>29</v>
      </c>
      <c r="N54" t="s">
        <v>30</v>
      </c>
      <c r="O54">
        <v>37219</v>
      </c>
      <c r="P54" t="s">
        <v>1814</v>
      </c>
      <c r="Q54" s="2">
        <v>0.28999999999999998</v>
      </c>
      <c r="R54" s="2">
        <v>56</v>
      </c>
      <c r="S54" s="2">
        <v>254</v>
      </c>
      <c r="T54" t="s">
        <v>1815</v>
      </c>
      <c r="U54" s="6">
        <v>22571</v>
      </c>
      <c r="V54" s="2">
        <v>47037010701</v>
      </c>
      <c r="W54" s="2" t="s">
        <v>837</v>
      </c>
      <c r="X54" s="1">
        <v>45658</v>
      </c>
      <c r="Y54" s="2">
        <v>103500</v>
      </c>
      <c r="Z54" s="2">
        <v>0</v>
      </c>
      <c r="AA54" s="2">
        <v>103500</v>
      </c>
    </row>
    <row r="55" spans="1:27" x14ac:dyDescent="0.3">
      <c r="A55" s="4" t="s">
        <v>1631</v>
      </c>
      <c r="B55" s="2" t="str">
        <f>"05108007200"</f>
        <v>05108007200</v>
      </c>
      <c r="C55" s="2" t="s">
        <v>1816</v>
      </c>
      <c r="D55" t="s">
        <v>866</v>
      </c>
      <c r="E55" s="2" t="s">
        <v>30</v>
      </c>
      <c r="F55" s="2">
        <v>37115</v>
      </c>
      <c r="G55" s="2" t="s">
        <v>64</v>
      </c>
      <c r="H55" t="s">
        <v>280</v>
      </c>
      <c r="I55" s="6">
        <v>40956</v>
      </c>
      <c r="J55" s="2" t="s">
        <v>1817</v>
      </c>
      <c r="K55" s="2">
        <v>0</v>
      </c>
      <c r="L55" t="s">
        <v>35</v>
      </c>
      <c r="M55" t="s">
        <v>29</v>
      </c>
      <c r="N55" t="s">
        <v>30</v>
      </c>
      <c r="O55">
        <v>37219</v>
      </c>
      <c r="P55" t="s">
        <v>1818</v>
      </c>
      <c r="Q55" s="2">
        <v>0.28999999999999998</v>
      </c>
      <c r="R55" s="2">
        <v>60</v>
      </c>
      <c r="S55" s="2">
        <v>201</v>
      </c>
      <c r="T55" t="s">
        <v>1819</v>
      </c>
      <c r="U55" s="6">
        <v>11010</v>
      </c>
      <c r="V55" s="2">
        <v>47037010701</v>
      </c>
      <c r="W55" s="2" t="s">
        <v>837</v>
      </c>
      <c r="X55" s="1">
        <v>45658</v>
      </c>
      <c r="Y55" s="2">
        <v>103500</v>
      </c>
      <c r="Z55" s="2">
        <v>0</v>
      </c>
      <c r="AA55" s="2">
        <v>103500</v>
      </c>
    </row>
    <row r="56" spans="1:27" x14ac:dyDescent="0.3">
      <c r="A56" s="4" t="s">
        <v>1631</v>
      </c>
      <c r="B56" s="2" t="str">
        <f>"05205006100"</f>
        <v>05205006100</v>
      </c>
      <c r="C56" s="2" t="s">
        <v>1820</v>
      </c>
      <c r="D56" t="s">
        <v>866</v>
      </c>
      <c r="E56" s="2" t="s">
        <v>30</v>
      </c>
      <c r="F56" s="2">
        <v>37115</v>
      </c>
      <c r="G56" s="2" t="s">
        <v>64</v>
      </c>
      <c r="H56" t="s">
        <v>280</v>
      </c>
      <c r="I56" s="6">
        <v>41142</v>
      </c>
      <c r="J56" s="2" t="s">
        <v>1821</v>
      </c>
      <c r="K56" s="2">
        <v>48000</v>
      </c>
      <c r="L56" t="s">
        <v>35</v>
      </c>
      <c r="M56" t="s">
        <v>29</v>
      </c>
      <c r="N56" t="s">
        <v>30</v>
      </c>
      <c r="O56">
        <v>37219</v>
      </c>
      <c r="P56" t="s">
        <v>1822</v>
      </c>
      <c r="Q56" s="2">
        <v>0.31</v>
      </c>
      <c r="R56" s="2">
        <v>60</v>
      </c>
      <c r="S56" s="2">
        <v>224</v>
      </c>
      <c r="T56" t="s">
        <v>1823</v>
      </c>
      <c r="U56" s="6">
        <v>26653</v>
      </c>
      <c r="V56" s="2">
        <v>47037010701</v>
      </c>
      <c r="W56" s="2" t="s">
        <v>837</v>
      </c>
      <c r="X56" s="1">
        <v>45658</v>
      </c>
      <c r="Y56" s="2">
        <v>103500</v>
      </c>
      <c r="Z56" s="2">
        <v>0</v>
      </c>
      <c r="AA56" s="2">
        <v>103500</v>
      </c>
    </row>
    <row r="57" spans="1:27" x14ac:dyDescent="0.3">
      <c r="A57" s="4" t="s">
        <v>1631</v>
      </c>
      <c r="B57" s="2" t="str">
        <f>"05205012800"</f>
        <v>05205012800</v>
      </c>
      <c r="C57" s="2" t="s">
        <v>1824</v>
      </c>
      <c r="D57" t="s">
        <v>866</v>
      </c>
      <c r="E57" s="2" t="s">
        <v>30</v>
      </c>
      <c r="F57" s="2">
        <v>37115</v>
      </c>
      <c r="G57" s="2" t="s">
        <v>64</v>
      </c>
      <c r="H57" t="s">
        <v>280</v>
      </c>
      <c r="I57" s="6">
        <v>41334</v>
      </c>
      <c r="J57" s="2" t="s">
        <v>1825</v>
      </c>
      <c r="K57" s="2">
        <v>0</v>
      </c>
      <c r="L57" t="s">
        <v>35</v>
      </c>
      <c r="M57" t="s">
        <v>29</v>
      </c>
      <c r="N57" t="s">
        <v>30</v>
      </c>
      <c r="O57">
        <v>37219</v>
      </c>
      <c r="P57" t="s">
        <v>1826</v>
      </c>
      <c r="Q57" s="2">
        <v>0.11</v>
      </c>
      <c r="R57" s="2">
        <v>50</v>
      </c>
      <c r="S57" s="2">
        <v>100</v>
      </c>
      <c r="T57" t="s">
        <v>1827</v>
      </c>
      <c r="U57" s="6">
        <v>14490</v>
      </c>
      <c r="V57" s="2">
        <v>47037010701</v>
      </c>
      <c r="W57" s="2" t="s">
        <v>837</v>
      </c>
      <c r="X57" s="1">
        <v>45658</v>
      </c>
      <c r="Y57" s="2">
        <v>90000</v>
      </c>
      <c r="Z57" s="2">
        <v>0</v>
      </c>
      <c r="AA57" s="2">
        <v>90000</v>
      </c>
    </row>
    <row r="58" spans="1:27" x14ac:dyDescent="0.3">
      <c r="A58" s="4" t="s">
        <v>1631</v>
      </c>
      <c r="B58" s="2" t="str">
        <f>"05205012900"</f>
        <v>05205012900</v>
      </c>
      <c r="C58" s="2" t="s">
        <v>1828</v>
      </c>
      <c r="D58" t="s">
        <v>866</v>
      </c>
      <c r="E58" s="2" t="s">
        <v>30</v>
      </c>
      <c r="F58" s="2">
        <v>37115</v>
      </c>
      <c r="G58" s="2" t="s">
        <v>64</v>
      </c>
      <c r="H58" t="s">
        <v>280</v>
      </c>
      <c r="I58" s="6">
        <v>41334</v>
      </c>
      <c r="J58" s="2" t="s">
        <v>1825</v>
      </c>
      <c r="K58" s="2">
        <v>0</v>
      </c>
      <c r="L58" t="s">
        <v>35</v>
      </c>
      <c r="M58" t="s">
        <v>29</v>
      </c>
      <c r="N58" t="s">
        <v>30</v>
      </c>
      <c r="O58">
        <v>37219</v>
      </c>
      <c r="P58" t="s">
        <v>1829</v>
      </c>
      <c r="Q58" s="2">
        <v>0.11</v>
      </c>
      <c r="R58" s="2">
        <v>50</v>
      </c>
      <c r="S58" s="2">
        <v>100</v>
      </c>
      <c r="T58" t="s">
        <v>1830</v>
      </c>
      <c r="U58" s="6">
        <v>14461</v>
      </c>
      <c r="V58" s="2">
        <v>47037010701</v>
      </c>
      <c r="W58" s="2" t="s">
        <v>837</v>
      </c>
      <c r="X58" s="1">
        <v>45658</v>
      </c>
      <c r="Y58" s="2">
        <v>90000</v>
      </c>
      <c r="Z58" s="2">
        <v>0</v>
      </c>
      <c r="AA58" s="2">
        <v>90000</v>
      </c>
    </row>
    <row r="59" spans="1:27" x14ac:dyDescent="0.3">
      <c r="A59" s="4" t="s">
        <v>1631</v>
      </c>
      <c r="B59" s="2" t="str">
        <f>"05205012400"</f>
        <v>05205012400</v>
      </c>
      <c r="C59" s="2" t="s">
        <v>1831</v>
      </c>
      <c r="D59" t="s">
        <v>866</v>
      </c>
      <c r="E59" s="2" t="s">
        <v>30</v>
      </c>
      <c r="F59" s="2">
        <v>37115</v>
      </c>
      <c r="G59" s="2" t="s">
        <v>64</v>
      </c>
      <c r="H59" t="s">
        <v>280</v>
      </c>
      <c r="I59" s="6">
        <v>41345</v>
      </c>
      <c r="J59" s="2" t="s">
        <v>1832</v>
      </c>
      <c r="K59" s="2">
        <v>0</v>
      </c>
      <c r="L59" t="s">
        <v>35</v>
      </c>
      <c r="M59" t="s">
        <v>29</v>
      </c>
      <c r="N59" t="s">
        <v>30</v>
      </c>
      <c r="O59">
        <v>37219</v>
      </c>
      <c r="P59" t="s">
        <v>1833</v>
      </c>
      <c r="Q59" s="2">
        <v>0.14000000000000001</v>
      </c>
      <c r="R59" s="2">
        <v>50</v>
      </c>
      <c r="S59" s="2">
        <v>129</v>
      </c>
      <c r="T59" t="s">
        <v>1834</v>
      </c>
      <c r="U59" s="6">
        <v>17625</v>
      </c>
      <c r="V59" s="2">
        <v>47037010701</v>
      </c>
      <c r="W59" s="2" t="s">
        <v>837</v>
      </c>
      <c r="X59" s="1">
        <v>45658</v>
      </c>
      <c r="Y59" s="2">
        <v>90000</v>
      </c>
      <c r="Z59" s="2">
        <v>0</v>
      </c>
      <c r="AA59" s="2">
        <v>90000</v>
      </c>
    </row>
    <row r="60" spans="1:27" x14ac:dyDescent="0.3">
      <c r="A60" s="4" t="s">
        <v>1631</v>
      </c>
      <c r="B60" s="2" t="str">
        <f>"05205014000"</f>
        <v>05205014000</v>
      </c>
      <c r="C60" s="2" t="s">
        <v>1835</v>
      </c>
      <c r="D60" t="s">
        <v>866</v>
      </c>
      <c r="E60" s="2" t="s">
        <v>30</v>
      </c>
      <c r="F60" s="2">
        <v>37115</v>
      </c>
      <c r="G60" s="2" t="s">
        <v>64</v>
      </c>
      <c r="H60" t="s">
        <v>280</v>
      </c>
      <c r="I60" s="6">
        <v>41402</v>
      </c>
      <c r="J60" s="2" t="s">
        <v>1836</v>
      </c>
      <c r="K60" s="2">
        <v>0</v>
      </c>
      <c r="L60" t="s">
        <v>35</v>
      </c>
      <c r="M60" t="s">
        <v>29</v>
      </c>
      <c r="N60" t="s">
        <v>30</v>
      </c>
      <c r="O60">
        <v>37219</v>
      </c>
      <c r="P60" t="s">
        <v>1837</v>
      </c>
      <c r="Q60" s="2">
        <v>0.13</v>
      </c>
      <c r="R60" s="2">
        <v>50</v>
      </c>
      <c r="S60" s="2">
        <v>110</v>
      </c>
      <c r="T60" t="s">
        <v>1838</v>
      </c>
      <c r="U60" s="6">
        <v>26789</v>
      </c>
      <c r="V60" s="2">
        <v>47037010701</v>
      </c>
      <c r="W60" s="2" t="s">
        <v>837</v>
      </c>
      <c r="X60" s="1">
        <v>45658</v>
      </c>
      <c r="Y60" s="2">
        <v>90000</v>
      </c>
      <c r="Z60" s="2">
        <v>0</v>
      </c>
      <c r="AA60" s="2">
        <v>90000</v>
      </c>
    </row>
    <row r="61" spans="1:27" x14ac:dyDescent="0.3">
      <c r="A61" s="4" t="s">
        <v>1631</v>
      </c>
      <c r="B61" s="2" t="str">
        <f>"05205013900"</f>
        <v>05205013900</v>
      </c>
      <c r="C61" s="2" t="s">
        <v>1839</v>
      </c>
      <c r="D61" t="s">
        <v>866</v>
      </c>
      <c r="E61" s="2" t="s">
        <v>30</v>
      </c>
      <c r="F61" s="2">
        <v>37115</v>
      </c>
      <c r="G61" s="2" t="s">
        <v>64</v>
      </c>
      <c r="H61" t="s">
        <v>280</v>
      </c>
      <c r="I61" s="6">
        <v>41393</v>
      </c>
      <c r="J61" s="2" t="s">
        <v>1840</v>
      </c>
      <c r="K61" s="2" t="s">
        <v>34</v>
      </c>
      <c r="L61" t="s">
        <v>35</v>
      </c>
      <c r="M61" t="s">
        <v>29</v>
      </c>
      <c r="N61" t="s">
        <v>30</v>
      </c>
      <c r="O61">
        <v>37219</v>
      </c>
      <c r="P61" t="s">
        <v>1841</v>
      </c>
      <c r="Q61" s="2">
        <v>0.13</v>
      </c>
      <c r="R61" s="2">
        <v>50</v>
      </c>
      <c r="S61" s="2">
        <v>110</v>
      </c>
      <c r="T61" t="s">
        <v>1842</v>
      </c>
      <c r="U61" s="6">
        <v>22671</v>
      </c>
      <c r="V61" s="2">
        <v>47037010701</v>
      </c>
      <c r="W61" s="2" t="s">
        <v>837</v>
      </c>
      <c r="X61" s="1">
        <v>45658</v>
      </c>
      <c r="Y61" s="2">
        <v>90000</v>
      </c>
      <c r="Z61" s="2">
        <v>0</v>
      </c>
      <c r="AA61" s="2">
        <v>90000</v>
      </c>
    </row>
    <row r="62" spans="1:27" x14ac:dyDescent="0.3">
      <c r="A62" s="4" t="s">
        <v>1631</v>
      </c>
      <c r="B62" s="2" t="str">
        <f>"05205013400"</f>
        <v>05205013400</v>
      </c>
      <c r="C62" s="2" t="s">
        <v>1843</v>
      </c>
      <c r="D62" t="s">
        <v>866</v>
      </c>
      <c r="E62" s="2" t="s">
        <v>30</v>
      </c>
      <c r="F62" s="2">
        <v>37115</v>
      </c>
      <c r="G62" s="2" t="s">
        <v>64</v>
      </c>
      <c r="H62" t="s">
        <v>280</v>
      </c>
      <c r="I62" s="6">
        <v>43052</v>
      </c>
      <c r="J62" s="2" t="s">
        <v>1844</v>
      </c>
      <c r="K62" s="2">
        <v>0</v>
      </c>
      <c r="L62" t="s">
        <v>35</v>
      </c>
      <c r="M62" t="s">
        <v>29</v>
      </c>
      <c r="N62" t="s">
        <v>30</v>
      </c>
      <c r="O62">
        <v>37219</v>
      </c>
      <c r="P62" t="s">
        <v>1845</v>
      </c>
      <c r="Q62" s="2">
        <v>0.05</v>
      </c>
      <c r="R62" s="2">
        <v>140</v>
      </c>
      <c r="S62" s="2">
        <v>38</v>
      </c>
      <c r="T62" t="s">
        <v>1846</v>
      </c>
      <c r="U62" s="6">
        <v>27417</v>
      </c>
      <c r="V62" s="2">
        <v>47037010701</v>
      </c>
      <c r="W62" s="2" t="s">
        <v>837</v>
      </c>
      <c r="X62" s="1">
        <v>45658</v>
      </c>
      <c r="Y62" s="2">
        <v>20300</v>
      </c>
      <c r="Z62" s="2">
        <v>0</v>
      </c>
      <c r="AA62" s="2">
        <v>20300</v>
      </c>
    </row>
    <row r="63" spans="1:27" x14ac:dyDescent="0.3">
      <c r="A63" s="4" t="s">
        <v>1631</v>
      </c>
      <c r="B63" s="2" t="str">
        <f>"05205013800"</f>
        <v>05205013800</v>
      </c>
      <c r="C63" s="2" t="s">
        <v>1847</v>
      </c>
      <c r="D63" t="s">
        <v>866</v>
      </c>
      <c r="E63" s="2" t="s">
        <v>30</v>
      </c>
      <c r="F63" s="2">
        <v>37115</v>
      </c>
      <c r="G63" s="2" t="s">
        <v>64</v>
      </c>
      <c r="H63" t="s">
        <v>280</v>
      </c>
      <c r="I63" s="6">
        <v>41337</v>
      </c>
      <c r="J63" s="2" t="s">
        <v>1848</v>
      </c>
      <c r="K63" s="2">
        <v>0</v>
      </c>
      <c r="L63" t="s">
        <v>35</v>
      </c>
      <c r="M63" t="s">
        <v>29</v>
      </c>
      <c r="N63" t="s">
        <v>30</v>
      </c>
      <c r="O63">
        <v>37219</v>
      </c>
      <c r="P63" t="s">
        <v>1849</v>
      </c>
      <c r="Q63" s="2">
        <v>0.13</v>
      </c>
      <c r="R63" s="2">
        <v>50</v>
      </c>
      <c r="S63" s="2">
        <v>110</v>
      </c>
      <c r="T63" t="s">
        <v>1850</v>
      </c>
      <c r="U63" s="6">
        <v>25294</v>
      </c>
      <c r="V63" s="2">
        <v>47037010701</v>
      </c>
      <c r="W63" s="2" t="s">
        <v>837</v>
      </c>
      <c r="X63" s="1">
        <v>45658</v>
      </c>
      <c r="Y63" s="2">
        <v>90000</v>
      </c>
      <c r="Z63" s="2">
        <v>0</v>
      </c>
      <c r="AA63" s="2">
        <v>90000</v>
      </c>
    </row>
    <row r="64" spans="1:27" x14ac:dyDescent="0.3">
      <c r="A64" s="4" t="s">
        <v>1631</v>
      </c>
      <c r="B64" s="2" t="str">
        <f>"05205013700"</f>
        <v>05205013700</v>
      </c>
      <c r="C64" s="2" t="s">
        <v>1851</v>
      </c>
      <c r="D64" t="s">
        <v>866</v>
      </c>
      <c r="E64" s="2" t="s">
        <v>30</v>
      </c>
      <c r="F64" s="2">
        <v>37115</v>
      </c>
      <c r="G64" s="2" t="s">
        <v>64</v>
      </c>
      <c r="H64" t="s">
        <v>280</v>
      </c>
      <c r="I64" s="6">
        <v>41337</v>
      </c>
      <c r="J64" s="2" t="s">
        <v>1848</v>
      </c>
      <c r="K64" s="2">
        <v>0</v>
      </c>
      <c r="L64" t="s">
        <v>35</v>
      </c>
      <c r="M64" t="s">
        <v>29</v>
      </c>
      <c r="N64" t="s">
        <v>30</v>
      </c>
      <c r="O64">
        <v>37219</v>
      </c>
      <c r="P64" t="s">
        <v>1852</v>
      </c>
      <c r="Q64" s="2">
        <v>0.13</v>
      </c>
      <c r="R64" s="2">
        <v>50</v>
      </c>
      <c r="S64" s="2">
        <v>110</v>
      </c>
      <c r="T64" t="s">
        <v>1853</v>
      </c>
      <c r="U64" s="6">
        <v>26787</v>
      </c>
      <c r="V64" s="2">
        <v>47037010701</v>
      </c>
      <c r="W64" s="2" t="s">
        <v>837</v>
      </c>
      <c r="X64" s="1">
        <v>45658</v>
      </c>
      <c r="Y64" s="2">
        <v>90000</v>
      </c>
      <c r="Z64" s="2">
        <v>0</v>
      </c>
      <c r="AA64" s="2">
        <v>90000</v>
      </c>
    </row>
    <row r="65" spans="1:27" x14ac:dyDescent="0.3">
      <c r="A65" s="4" t="s">
        <v>1631</v>
      </c>
      <c r="B65" s="2" t="str">
        <f>"05205015300"</f>
        <v>05205015300</v>
      </c>
      <c r="C65" s="2" t="s">
        <v>1718</v>
      </c>
      <c r="D65" t="s">
        <v>866</v>
      </c>
      <c r="E65" s="2" t="s">
        <v>30</v>
      </c>
      <c r="F65" s="2">
        <v>37115</v>
      </c>
      <c r="G65" s="2" t="s">
        <v>64</v>
      </c>
      <c r="H65" t="s">
        <v>280</v>
      </c>
      <c r="I65" s="6">
        <v>43420</v>
      </c>
      <c r="J65" s="2" t="s">
        <v>1854</v>
      </c>
      <c r="K65" s="2" t="s">
        <v>34</v>
      </c>
      <c r="L65" t="s">
        <v>315</v>
      </c>
      <c r="M65" t="s">
        <v>29</v>
      </c>
      <c r="N65" t="s">
        <v>30</v>
      </c>
      <c r="O65">
        <v>37208</v>
      </c>
      <c r="P65" t="s">
        <v>1855</v>
      </c>
      <c r="Q65" s="2">
        <v>0.13</v>
      </c>
      <c r="R65" s="2">
        <v>50</v>
      </c>
      <c r="S65" s="2">
        <v>110</v>
      </c>
      <c r="T65" t="s">
        <v>1856</v>
      </c>
      <c r="U65" s="6">
        <v>19246</v>
      </c>
      <c r="V65" s="2">
        <v>47037010701</v>
      </c>
      <c r="W65" s="2" t="s">
        <v>837</v>
      </c>
      <c r="X65" s="1">
        <v>45658</v>
      </c>
      <c r="Y65" s="2">
        <v>18000</v>
      </c>
      <c r="Z65" s="2">
        <v>0</v>
      </c>
      <c r="AA65" s="2">
        <v>18000</v>
      </c>
    </row>
    <row r="66" spans="1:27" x14ac:dyDescent="0.3">
      <c r="A66" s="4" t="s">
        <v>1631</v>
      </c>
      <c r="B66" s="2" t="str">
        <f>"05116001300"</f>
        <v>05116001300</v>
      </c>
      <c r="C66" s="2" t="s">
        <v>1857</v>
      </c>
      <c r="D66" t="s">
        <v>29</v>
      </c>
      <c r="E66" s="2" t="s">
        <v>30</v>
      </c>
      <c r="F66" s="2">
        <v>37216</v>
      </c>
      <c r="G66" s="2" t="s">
        <v>64</v>
      </c>
      <c r="H66" t="s">
        <v>280</v>
      </c>
      <c r="I66" s="6">
        <v>41704</v>
      </c>
      <c r="J66" s="2" t="s">
        <v>1858</v>
      </c>
      <c r="K66" s="2">
        <v>0</v>
      </c>
      <c r="L66" t="s">
        <v>35</v>
      </c>
      <c r="M66" t="s">
        <v>29</v>
      </c>
      <c r="N66" t="s">
        <v>30</v>
      </c>
      <c r="O66">
        <v>37219</v>
      </c>
      <c r="P66" t="s">
        <v>1859</v>
      </c>
      <c r="Q66" s="2">
        <v>0.86</v>
      </c>
      <c r="R66" s="2">
        <v>25</v>
      </c>
      <c r="S66" s="2">
        <v>385</v>
      </c>
      <c r="T66" t="s">
        <v>1860</v>
      </c>
      <c r="U66" s="6">
        <v>29657</v>
      </c>
      <c r="V66" s="2">
        <v>47037010702</v>
      </c>
      <c r="W66" s="2" t="s">
        <v>68</v>
      </c>
      <c r="X66" s="1">
        <v>45658</v>
      </c>
      <c r="Y66" s="2">
        <v>13500</v>
      </c>
      <c r="Z66" s="2">
        <v>0</v>
      </c>
      <c r="AA66" s="2">
        <v>13500</v>
      </c>
    </row>
    <row r="67" spans="1:27" x14ac:dyDescent="0.3">
      <c r="A67" s="4" t="s">
        <v>1631</v>
      </c>
      <c r="B67" s="2" t="str">
        <f>"06103000300"</f>
        <v>06103000300</v>
      </c>
      <c r="C67" s="2" t="s">
        <v>1861</v>
      </c>
      <c r="D67" t="s">
        <v>29</v>
      </c>
      <c r="E67" s="2" t="s">
        <v>30</v>
      </c>
      <c r="F67" s="2">
        <v>37216</v>
      </c>
      <c r="G67" s="2" t="s">
        <v>64</v>
      </c>
      <c r="H67" t="s">
        <v>280</v>
      </c>
      <c r="I67" s="6">
        <v>42142</v>
      </c>
      <c r="J67" s="2" t="s">
        <v>1862</v>
      </c>
      <c r="K67" s="2">
        <v>0</v>
      </c>
      <c r="L67" t="s">
        <v>35</v>
      </c>
      <c r="M67" t="s">
        <v>29</v>
      </c>
      <c r="N67" t="s">
        <v>30</v>
      </c>
      <c r="O67">
        <v>37219</v>
      </c>
      <c r="P67" t="s">
        <v>1863</v>
      </c>
      <c r="Q67" s="2">
        <v>0.99</v>
      </c>
      <c r="R67" s="2">
        <v>135</v>
      </c>
      <c r="S67" s="2">
        <v>382</v>
      </c>
      <c r="T67" t="s">
        <v>1864</v>
      </c>
      <c r="U67" s="6">
        <v>27248</v>
      </c>
      <c r="V67" s="2">
        <v>47037011002</v>
      </c>
      <c r="W67" s="2" t="s">
        <v>68</v>
      </c>
      <c r="X67" s="1">
        <v>45658</v>
      </c>
      <c r="Y67" s="2">
        <v>92000</v>
      </c>
      <c r="Z67" s="2">
        <v>0</v>
      </c>
      <c r="AA67" s="2">
        <v>92000</v>
      </c>
    </row>
    <row r="68" spans="1:27" x14ac:dyDescent="0.3">
      <c r="A68" s="4" t="s">
        <v>1631</v>
      </c>
      <c r="B68" s="2" t="str">
        <f>"06114020100"</f>
        <v>06114020100</v>
      </c>
      <c r="C68" s="2" t="s">
        <v>1865</v>
      </c>
      <c r="D68" t="s">
        <v>29</v>
      </c>
      <c r="E68" s="2" t="s">
        <v>30</v>
      </c>
      <c r="F68" s="2">
        <v>37216</v>
      </c>
      <c r="G68" s="2" t="s">
        <v>64</v>
      </c>
      <c r="H68" t="s">
        <v>280</v>
      </c>
      <c r="I68" s="6">
        <v>43690</v>
      </c>
      <c r="J68" s="2" t="s">
        <v>1866</v>
      </c>
      <c r="K68" s="2" t="s">
        <v>34</v>
      </c>
      <c r="L68" t="s">
        <v>315</v>
      </c>
      <c r="M68" t="s">
        <v>29</v>
      </c>
      <c r="N68" t="s">
        <v>30</v>
      </c>
      <c r="O68">
        <v>37208</v>
      </c>
      <c r="P68" t="s">
        <v>1867</v>
      </c>
      <c r="Q68" s="2">
        <v>0.34</v>
      </c>
      <c r="R68" s="2">
        <v>50</v>
      </c>
      <c r="S68" s="2">
        <v>300</v>
      </c>
      <c r="T68" t="s">
        <v>1868</v>
      </c>
      <c r="U68" s="6">
        <v>28447</v>
      </c>
      <c r="V68" s="2">
        <v>47037011002</v>
      </c>
      <c r="W68" s="2" t="s">
        <v>68</v>
      </c>
      <c r="X68" s="1">
        <v>45658</v>
      </c>
      <c r="Y68" s="2">
        <v>68000</v>
      </c>
      <c r="Z68" s="2">
        <v>0</v>
      </c>
      <c r="AA68" s="2">
        <v>68000</v>
      </c>
    </row>
    <row r="69" spans="1:27" x14ac:dyDescent="0.3">
      <c r="A69" s="4" t="s">
        <v>1631</v>
      </c>
      <c r="B69" s="2" t="str">
        <f>"07310006900"</f>
        <v>07310006900</v>
      </c>
      <c r="C69" s="2" t="s">
        <v>1869</v>
      </c>
      <c r="D69" t="s">
        <v>29</v>
      </c>
      <c r="E69" s="2" t="s">
        <v>30</v>
      </c>
      <c r="F69" s="2">
        <v>37216</v>
      </c>
      <c r="G69" s="2" t="s">
        <v>64</v>
      </c>
      <c r="H69" t="s">
        <v>280</v>
      </c>
      <c r="I69" s="6">
        <v>41353</v>
      </c>
      <c r="J69" s="2" t="s">
        <v>1870</v>
      </c>
      <c r="K69" s="2">
        <v>0</v>
      </c>
      <c r="L69" t="s">
        <v>35</v>
      </c>
      <c r="M69" t="s">
        <v>29</v>
      </c>
      <c r="N69" t="s">
        <v>30</v>
      </c>
      <c r="O69">
        <v>37219</v>
      </c>
      <c r="P69" t="s">
        <v>1871</v>
      </c>
      <c r="Q69" s="2">
        <v>0.34</v>
      </c>
      <c r="R69" s="2">
        <v>38</v>
      </c>
      <c r="S69" s="2">
        <v>163</v>
      </c>
      <c r="T69" t="s">
        <v>1872</v>
      </c>
      <c r="U69" s="6">
        <v>27936</v>
      </c>
      <c r="V69" s="2">
        <v>47037011500</v>
      </c>
      <c r="W69" s="2" t="s">
        <v>68</v>
      </c>
      <c r="X69" s="1">
        <v>45658</v>
      </c>
      <c r="Y69" s="2">
        <v>150000</v>
      </c>
      <c r="Z69" s="2">
        <v>0</v>
      </c>
      <c r="AA69" s="2">
        <v>150000</v>
      </c>
    </row>
    <row r="70" spans="1:27" x14ac:dyDescent="0.3">
      <c r="A70" s="4" t="s">
        <v>1631</v>
      </c>
      <c r="B70" s="2" t="str">
        <f>"07310006500"</f>
        <v>07310006500</v>
      </c>
      <c r="C70" s="2" t="s">
        <v>1873</v>
      </c>
      <c r="D70" t="s">
        <v>29</v>
      </c>
      <c r="E70" s="2" t="s">
        <v>30</v>
      </c>
      <c r="F70" s="2">
        <v>37216</v>
      </c>
      <c r="G70" s="2" t="s">
        <v>64</v>
      </c>
      <c r="H70" t="s">
        <v>280</v>
      </c>
      <c r="I70" s="6">
        <v>41341</v>
      </c>
      <c r="J70" s="2" t="s">
        <v>1874</v>
      </c>
      <c r="K70" s="2">
        <v>0</v>
      </c>
      <c r="L70" t="s">
        <v>35</v>
      </c>
      <c r="M70" t="s">
        <v>29</v>
      </c>
      <c r="N70" t="s">
        <v>30</v>
      </c>
      <c r="O70">
        <v>37219</v>
      </c>
      <c r="P70" t="s">
        <v>1875</v>
      </c>
      <c r="Q70" s="2">
        <v>0.23</v>
      </c>
      <c r="R70" s="2">
        <v>81</v>
      </c>
      <c r="S70" s="2">
        <v>131</v>
      </c>
      <c r="T70" t="s">
        <v>1872</v>
      </c>
      <c r="U70" s="6">
        <v>27936</v>
      </c>
      <c r="V70" s="2">
        <v>47037011500</v>
      </c>
      <c r="W70" s="2" t="s">
        <v>68</v>
      </c>
      <c r="X70" s="1">
        <v>45658</v>
      </c>
      <c r="Y70" s="2">
        <v>300000</v>
      </c>
      <c r="Z70" s="2">
        <v>0</v>
      </c>
      <c r="AA70" s="2">
        <v>300000</v>
      </c>
    </row>
    <row r="71" spans="1:27" x14ac:dyDescent="0.3">
      <c r="A71" s="4" t="s">
        <v>1631</v>
      </c>
      <c r="B71" s="2" t="str">
        <f>"07310006600"</f>
        <v>07310006600</v>
      </c>
      <c r="C71" s="2" t="s">
        <v>1876</v>
      </c>
      <c r="D71" t="s">
        <v>29</v>
      </c>
      <c r="E71" s="2" t="s">
        <v>30</v>
      </c>
      <c r="F71" s="2">
        <v>37216</v>
      </c>
      <c r="G71" s="2" t="s">
        <v>64</v>
      </c>
      <c r="H71" t="s">
        <v>280</v>
      </c>
      <c r="I71" s="6">
        <v>41786</v>
      </c>
      <c r="J71" s="2" t="s">
        <v>1877</v>
      </c>
      <c r="K71" s="2">
        <v>0</v>
      </c>
      <c r="L71" t="s">
        <v>35</v>
      </c>
      <c r="M71" t="s">
        <v>29</v>
      </c>
      <c r="N71" t="s">
        <v>30</v>
      </c>
      <c r="O71">
        <v>37219</v>
      </c>
      <c r="P71" t="s">
        <v>1878</v>
      </c>
      <c r="Q71" s="2">
        <v>0.27</v>
      </c>
      <c r="R71" s="2">
        <v>42</v>
      </c>
      <c r="S71" s="2">
        <v>133</v>
      </c>
      <c r="T71" t="s">
        <v>1872</v>
      </c>
      <c r="U71" s="6">
        <v>27936</v>
      </c>
      <c r="V71" s="2">
        <v>47037011500</v>
      </c>
      <c r="W71" s="2" t="s">
        <v>68</v>
      </c>
      <c r="X71" s="1">
        <v>45658</v>
      </c>
      <c r="Y71" s="2">
        <v>300000</v>
      </c>
      <c r="Z71" s="2">
        <v>0</v>
      </c>
      <c r="AA71" s="2">
        <v>300000</v>
      </c>
    </row>
    <row r="72" spans="1:27" x14ac:dyDescent="0.3">
      <c r="A72" s="4" t="s">
        <v>1631</v>
      </c>
      <c r="B72" s="2" t="str">
        <f>"05201030700"</f>
        <v>05201030700</v>
      </c>
      <c r="C72" s="2" t="s">
        <v>1879</v>
      </c>
      <c r="D72" t="s">
        <v>866</v>
      </c>
      <c r="E72" s="2" t="s">
        <v>30</v>
      </c>
      <c r="F72" s="2">
        <v>37115</v>
      </c>
      <c r="G72" s="2" t="s">
        <v>64</v>
      </c>
      <c r="H72" t="s">
        <v>280</v>
      </c>
      <c r="I72" s="6">
        <v>41338</v>
      </c>
      <c r="J72" s="2" t="s">
        <v>1880</v>
      </c>
      <c r="K72" s="2">
        <v>0</v>
      </c>
      <c r="L72" t="s">
        <v>35</v>
      </c>
      <c r="M72" t="s">
        <v>29</v>
      </c>
      <c r="N72" t="s">
        <v>30</v>
      </c>
      <c r="O72">
        <v>37219</v>
      </c>
      <c r="P72" t="s">
        <v>1881</v>
      </c>
      <c r="Q72" s="2">
        <v>0.14000000000000001</v>
      </c>
      <c r="R72" s="2">
        <v>50</v>
      </c>
      <c r="S72" s="2">
        <v>125</v>
      </c>
      <c r="T72" t="s">
        <v>1882</v>
      </c>
      <c r="U72" s="6">
        <v>23904</v>
      </c>
      <c r="V72" s="2">
        <v>47037010701</v>
      </c>
      <c r="W72" s="2" t="s">
        <v>837</v>
      </c>
      <c r="X72" s="1">
        <v>45658</v>
      </c>
      <c r="Y72" s="2">
        <v>45000</v>
      </c>
      <c r="Z72" s="2">
        <v>0</v>
      </c>
      <c r="AA72" s="2">
        <v>45000</v>
      </c>
    </row>
    <row r="73" spans="1:27" x14ac:dyDescent="0.3">
      <c r="A73" s="4" t="s">
        <v>1631</v>
      </c>
      <c r="B73" s="2" t="str">
        <f>"05205017900"</f>
        <v>05205017900</v>
      </c>
      <c r="C73" s="2" t="s">
        <v>1883</v>
      </c>
      <c r="D73" t="s">
        <v>866</v>
      </c>
      <c r="E73" s="2" t="s">
        <v>30</v>
      </c>
      <c r="F73" s="2">
        <v>37115</v>
      </c>
      <c r="G73" s="2" t="s">
        <v>64</v>
      </c>
      <c r="H73" t="s">
        <v>280</v>
      </c>
      <c r="I73" s="6">
        <v>41402</v>
      </c>
      <c r="J73" s="2" t="s">
        <v>1884</v>
      </c>
      <c r="K73" s="2">
        <v>0</v>
      </c>
      <c r="L73" t="s">
        <v>35</v>
      </c>
      <c r="M73" t="s">
        <v>29</v>
      </c>
      <c r="N73" t="s">
        <v>30</v>
      </c>
      <c r="O73">
        <v>37219</v>
      </c>
      <c r="P73" t="s">
        <v>1885</v>
      </c>
      <c r="Q73" s="2">
        <v>0.89</v>
      </c>
      <c r="R73" s="2">
        <v>100</v>
      </c>
      <c r="S73" s="2">
        <v>359</v>
      </c>
      <c r="T73" t="s">
        <v>1886</v>
      </c>
      <c r="U73" s="6">
        <v>18139</v>
      </c>
      <c r="V73" s="2">
        <v>47037010701</v>
      </c>
      <c r="W73" s="2" t="s">
        <v>837</v>
      </c>
      <c r="X73" s="1">
        <v>45658</v>
      </c>
      <c r="Y73" s="2">
        <v>135000</v>
      </c>
      <c r="Z73" s="2">
        <v>0</v>
      </c>
      <c r="AA73" s="2">
        <v>135000</v>
      </c>
    </row>
    <row r="74" spans="1:27" x14ac:dyDescent="0.3">
      <c r="A74" s="4" t="s">
        <v>1631</v>
      </c>
      <c r="B74" s="2" t="str">
        <f>"05205017800"</f>
        <v>05205017800</v>
      </c>
      <c r="C74" s="2" t="s">
        <v>1887</v>
      </c>
      <c r="D74" t="s">
        <v>866</v>
      </c>
      <c r="E74" s="2" t="s">
        <v>30</v>
      </c>
      <c r="F74" s="2">
        <v>37115</v>
      </c>
      <c r="G74" s="2" t="s">
        <v>64</v>
      </c>
      <c r="H74" t="s">
        <v>280</v>
      </c>
      <c r="I74" s="6">
        <v>43052</v>
      </c>
      <c r="J74" s="2" t="s">
        <v>1888</v>
      </c>
      <c r="K74" s="2">
        <v>0</v>
      </c>
      <c r="L74" t="s">
        <v>35</v>
      </c>
      <c r="M74" t="s">
        <v>29</v>
      </c>
      <c r="N74" t="s">
        <v>30</v>
      </c>
      <c r="O74">
        <v>37219</v>
      </c>
      <c r="P74" t="s">
        <v>1889</v>
      </c>
      <c r="Q74" s="2">
        <v>0.54</v>
      </c>
      <c r="R74" s="2">
        <v>100</v>
      </c>
      <c r="S74" s="2">
        <v>259</v>
      </c>
      <c r="T74" t="s">
        <v>1890</v>
      </c>
      <c r="U74" s="6">
        <v>26171</v>
      </c>
      <c r="V74" s="2">
        <v>47037010701</v>
      </c>
      <c r="W74" s="2" t="s">
        <v>837</v>
      </c>
      <c r="X74" s="1">
        <v>45658</v>
      </c>
      <c r="Y74" s="2">
        <v>117000</v>
      </c>
      <c r="Z74" s="2">
        <v>0</v>
      </c>
      <c r="AA74" s="2">
        <v>117000</v>
      </c>
    </row>
    <row r="75" spans="1:27" x14ac:dyDescent="0.3">
      <c r="A75" s="4" t="s">
        <v>1631</v>
      </c>
      <c r="B75" s="2" t="str">
        <f>"05108007100"</f>
        <v>05108007100</v>
      </c>
      <c r="C75" s="2" t="s">
        <v>1891</v>
      </c>
      <c r="D75" t="s">
        <v>866</v>
      </c>
      <c r="E75" s="2" t="s">
        <v>30</v>
      </c>
      <c r="F75" s="2">
        <v>37115</v>
      </c>
      <c r="G75" s="2" t="s">
        <v>64</v>
      </c>
      <c r="H75" t="s">
        <v>280</v>
      </c>
      <c r="I75" s="6">
        <v>40897</v>
      </c>
      <c r="J75" s="2" t="s">
        <v>1892</v>
      </c>
      <c r="K75" s="2">
        <v>0</v>
      </c>
      <c r="L75" t="s">
        <v>35</v>
      </c>
      <c r="M75" t="s">
        <v>29</v>
      </c>
      <c r="N75" t="s">
        <v>30</v>
      </c>
      <c r="O75">
        <v>37219</v>
      </c>
      <c r="P75" t="s">
        <v>1893</v>
      </c>
      <c r="Q75" s="2">
        <v>0.28999999999999998</v>
      </c>
      <c r="R75" s="2">
        <v>60</v>
      </c>
      <c r="S75" s="2">
        <v>204</v>
      </c>
      <c r="T75" t="s">
        <v>1894</v>
      </c>
      <c r="U75" s="6">
        <v>21697</v>
      </c>
      <c r="V75" s="2">
        <v>47037010701</v>
      </c>
      <c r="W75" s="2" t="s">
        <v>837</v>
      </c>
      <c r="X75" s="1">
        <v>45658</v>
      </c>
      <c r="Y75" s="2">
        <v>103500</v>
      </c>
      <c r="Z75" s="2">
        <v>0</v>
      </c>
      <c r="AA75" s="2">
        <v>103500</v>
      </c>
    </row>
    <row r="76" spans="1:27" x14ac:dyDescent="0.3">
      <c r="A76" s="4" t="s">
        <v>1631</v>
      </c>
      <c r="B76" s="2" t="str">
        <f>"05205005800"</f>
        <v>05205005800</v>
      </c>
      <c r="C76" s="2" t="s">
        <v>1895</v>
      </c>
      <c r="D76" t="s">
        <v>866</v>
      </c>
      <c r="E76" s="2" t="s">
        <v>30</v>
      </c>
      <c r="F76" s="2">
        <v>37115</v>
      </c>
      <c r="G76" s="2" t="s">
        <v>64</v>
      </c>
      <c r="H76" t="s">
        <v>280</v>
      </c>
      <c r="I76" s="6">
        <v>40947</v>
      </c>
      <c r="J76" s="2" t="s">
        <v>1896</v>
      </c>
      <c r="K76" s="2">
        <v>0</v>
      </c>
      <c r="L76" t="s">
        <v>35</v>
      </c>
      <c r="M76" t="s">
        <v>29</v>
      </c>
      <c r="N76" t="s">
        <v>30</v>
      </c>
      <c r="O76">
        <v>37219</v>
      </c>
      <c r="P76" t="s">
        <v>1897</v>
      </c>
      <c r="Q76" s="2">
        <v>0.33</v>
      </c>
      <c r="R76" s="2">
        <v>60</v>
      </c>
      <c r="S76" s="2">
        <v>207</v>
      </c>
      <c r="T76" t="s">
        <v>1898</v>
      </c>
      <c r="U76" s="6">
        <v>25106</v>
      </c>
      <c r="V76" s="2">
        <v>47037010701</v>
      </c>
      <c r="W76" s="2" t="s">
        <v>837</v>
      </c>
      <c r="X76" s="1">
        <v>45658</v>
      </c>
      <c r="Y76" s="2">
        <v>103500</v>
      </c>
      <c r="Z76" s="2">
        <v>0</v>
      </c>
      <c r="AA76" s="2">
        <v>103500</v>
      </c>
    </row>
    <row r="77" spans="1:27" x14ac:dyDescent="0.3">
      <c r="A77" s="4" t="s">
        <v>1631</v>
      </c>
      <c r="B77" s="2" t="str">
        <f>"05205005900"</f>
        <v>05205005900</v>
      </c>
      <c r="C77" s="2" t="s">
        <v>1899</v>
      </c>
      <c r="D77" t="s">
        <v>866</v>
      </c>
      <c r="E77" s="2" t="s">
        <v>30</v>
      </c>
      <c r="F77" s="2">
        <v>37115</v>
      </c>
      <c r="G77" s="2" t="s">
        <v>64</v>
      </c>
      <c r="H77" t="s">
        <v>280</v>
      </c>
      <c r="I77" s="6">
        <v>41018</v>
      </c>
      <c r="J77" s="2" t="s">
        <v>1900</v>
      </c>
      <c r="K77" s="2">
        <v>0</v>
      </c>
      <c r="L77" t="s">
        <v>35</v>
      </c>
      <c r="M77" t="s">
        <v>29</v>
      </c>
      <c r="N77" t="s">
        <v>30</v>
      </c>
      <c r="O77">
        <v>37219</v>
      </c>
      <c r="P77" t="s">
        <v>1901</v>
      </c>
      <c r="Q77" s="2">
        <v>0.31</v>
      </c>
      <c r="R77" s="2">
        <v>60</v>
      </c>
      <c r="S77" s="2">
        <v>238</v>
      </c>
      <c r="T77" t="s">
        <v>1902</v>
      </c>
      <c r="U77" s="6">
        <v>23118</v>
      </c>
      <c r="V77" s="2">
        <v>47037010701</v>
      </c>
      <c r="W77" s="2" t="s">
        <v>837</v>
      </c>
      <c r="X77" s="1">
        <v>45658</v>
      </c>
      <c r="Y77" s="2">
        <v>103500</v>
      </c>
      <c r="Z77" s="2">
        <v>0</v>
      </c>
      <c r="AA77" s="2">
        <v>103500</v>
      </c>
    </row>
    <row r="78" spans="1:27" x14ac:dyDescent="0.3">
      <c r="A78" s="4" t="s">
        <v>1631</v>
      </c>
      <c r="B78" s="2" t="str">
        <f>"05205006000"</f>
        <v>05205006000</v>
      </c>
      <c r="C78" s="2" t="s">
        <v>1903</v>
      </c>
      <c r="D78" t="s">
        <v>866</v>
      </c>
      <c r="E78" s="2" t="s">
        <v>30</v>
      </c>
      <c r="F78" s="2">
        <v>37115</v>
      </c>
      <c r="G78" s="2" t="s">
        <v>64</v>
      </c>
      <c r="H78" t="s">
        <v>280</v>
      </c>
      <c r="I78" s="6">
        <v>40940</v>
      </c>
      <c r="J78" s="2" t="s">
        <v>1904</v>
      </c>
      <c r="K78" s="2">
        <v>0</v>
      </c>
      <c r="L78" t="s">
        <v>35</v>
      </c>
      <c r="M78" t="s">
        <v>29</v>
      </c>
      <c r="N78" t="s">
        <v>30</v>
      </c>
      <c r="O78">
        <v>37219</v>
      </c>
      <c r="P78" t="s">
        <v>1905</v>
      </c>
      <c r="Q78" s="2">
        <v>0.34</v>
      </c>
      <c r="R78" s="2">
        <v>60</v>
      </c>
      <c r="S78" s="2">
        <v>238</v>
      </c>
      <c r="T78" t="s">
        <v>1906</v>
      </c>
      <c r="U78" s="6">
        <v>26753</v>
      </c>
      <c r="V78" s="2">
        <v>47037010701</v>
      </c>
      <c r="W78" s="2" t="s">
        <v>837</v>
      </c>
      <c r="X78" s="1">
        <v>45658</v>
      </c>
      <c r="Y78" s="2">
        <v>103500</v>
      </c>
      <c r="Z78" s="2">
        <v>0</v>
      </c>
      <c r="AA78" s="2">
        <v>103500</v>
      </c>
    </row>
    <row r="79" spans="1:27" x14ac:dyDescent="0.3">
      <c r="A79" s="4" t="s">
        <v>1631</v>
      </c>
      <c r="B79" s="2" t="str">
        <f>"07306004700"</f>
        <v>07306004700</v>
      </c>
      <c r="C79" s="2" t="s">
        <v>1907</v>
      </c>
      <c r="D79" t="s">
        <v>29</v>
      </c>
      <c r="E79" s="2" t="s">
        <v>30</v>
      </c>
      <c r="F79" s="2">
        <v>37216</v>
      </c>
      <c r="G79" s="2" t="s">
        <v>64</v>
      </c>
      <c r="H79" t="s">
        <v>280</v>
      </c>
      <c r="I79" s="6">
        <v>40911</v>
      </c>
      <c r="J79" s="2" t="s">
        <v>1908</v>
      </c>
      <c r="K79" s="2">
        <v>0</v>
      </c>
      <c r="L79" t="s">
        <v>35</v>
      </c>
      <c r="M79" t="s">
        <v>29</v>
      </c>
      <c r="N79" t="s">
        <v>30</v>
      </c>
      <c r="O79">
        <v>37219</v>
      </c>
      <c r="P79" t="s">
        <v>1909</v>
      </c>
      <c r="Q79" s="2">
        <v>0.48</v>
      </c>
      <c r="R79" s="2">
        <v>80</v>
      </c>
      <c r="S79" s="2">
        <v>238</v>
      </c>
      <c r="T79" t="s">
        <v>1872</v>
      </c>
      <c r="U79" s="6">
        <v>27936</v>
      </c>
      <c r="V79" s="2">
        <v>47037011500</v>
      </c>
      <c r="W79" s="2" t="s">
        <v>68</v>
      </c>
      <c r="X79" s="1">
        <v>45658</v>
      </c>
      <c r="Y79" s="2">
        <v>366000</v>
      </c>
      <c r="Z79" s="2">
        <v>0</v>
      </c>
      <c r="AA79" s="2">
        <v>366000</v>
      </c>
    </row>
    <row r="80" spans="1:27" x14ac:dyDescent="0.3">
      <c r="A80" s="4" t="s">
        <v>1631</v>
      </c>
      <c r="B80" s="2" t="str">
        <f>"07306004600"</f>
        <v>07306004600</v>
      </c>
      <c r="C80" s="2" t="s">
        <v>1910</v>
      </c>
      <c r="D80" t="s">
        <v>29</v>
      </c>
      <c r="E80" s="2" t="s">
        <v>30</v>
      </c>
      <c r="F80" s="2">
        <v>37216</v>
      </c>
      <c r="G80" s="2" t="s">
        <v>64</v>
      </c>
      <c r="H80" t="s">
        <v>280</v>
      </c>
      <c r="I80" s="6">
        <v>40917</v>
      </c>
      <c r="J80" s="2" t="s">
        <v>1911</v>
      </c>
      <c r="K80" s="2">
        <v>0</v>
      </c>
      <c r="L80" t="s">
        <v>35</v>
      </c>
      <c r="M80" t="s">
        <v>29</v>
      </c>
      <c r="N80" t="s">
        <v>30</v>
      </c>
      <c r="O80">
        <v>37219</v>
      </c>
      <c r="P80" t="s">
        <v>1912</v>
      </c>
      <c r="Q80" s="2">
        <v>0.34</v>
      </c>
      <c r="R80" s="2">
        <v>80</v>
      </c>
      <c r="S80" s="2">
        <v>182</v>
      </c>
      <c r="T80" t="s">
        <v>1872</v>
      </c>
      <c r="U80" s="6">
        <v>27936</v>
      </c>
      <c r="V80" s="2">
        <v>47037011500</v>
      </c>
      <c r="W80" s="2" t="s">
        <v>68</v>
      </c>
      <c r="X80" s="1">
        <v>45658</v>
      </c>
      <c r="Y80" s="2">
        <v>318300</v>
      </c>
      <c r="Z80" s="2">
        <v>0</v>
      </c>
      <c r="AA80" s="2">
        <v>318300</v>
      </c>
    </row>
    <row r="81" spans="1:27" x14ac:dyDescent="0.3">
      <c r="A81" s="4" t="s">
        <v>1631</v>
      </c>
      <c r="B81" s="2" t="str">
        <f>"05205027000"</f>
        <v>05205027000</v>
      </c>
      <c r="C81" s="2" t="s">
        <v>1913</v>
      </c>
      <c r="D81" t="s">
        <v>866</v>
      </c>
      <c r="E81" s="2" t="s">
        <v>30</v>
      </c>
      <c r="F81" s="2">
        <v>37115</v>
      </c>
      <c r="G81" s="2" t="s">
        <v>64</v>
      </c>
      <c r="H81" t="s">
        <v>280</v>
      </c>
      <c r="I81" s="6">
        <v>34249</v>
      </c>
      <c r="J81" s="2" t="s">
        <v>1914</v>
      </c>
      <c r="K81" s="2">
        <v>0</v>
      </c>
      <c r="L81" t="s">
        <v>35</v>
      </c>
      <c r="M81" t="s">
        <v>29</v>
      </c>
      <c r="N81" t="s">
        <v>30</v>
      </c>
      <c r="O81">
        <v>37219</v>
      </c>
      <c r="P81" t="s">
        <v>1915</v>
      </c>
      <c r="Q81" s="2">
        <v>4.58</v>
      </c>
      <c r="R81" s="2">
        <v>0</v>
      </c>
      <c r="S81" s="2">
        <v>0</v>
      </c>
      <c r="T81" t="s">
        <v>278</v>
      </c>
      <c r="U81" s="6">
        <v>36591</v>
      </c>
      <c r="V81" s="2">
        <v>47037010701</v>
      </c>
      <c r="W81" s="2" t="s">
        <v>837</v>
      </c>
      <c r="X81" s="1">
        <v>45658</v>
      </c>
      <c r="Y81" s="2">
        <v>162700</v>
      </c>
      <c r="Z81" s="2">
        <v>0</v>
      </c>
      <c r="AA81" s="2">
        <v>162700</v>
      </c>
    </row>
    <row r="82" spans="1:27" x14ac:dyDescent="0.3">
      <c r="A82" s="4" t="s">
        <v>1631</v>
      </c>
      <c r="B82" s="2" t="str">
        <f>"05205016800"</f>
        <v>05205016800</v>
      </c>
      <c r="C82" s="2" t="s">
        <v>1916</v>
      </c>
      <c r="D82" t="s">
        <v>866</v>
      </c>
      <c r="E82" s="2" t="s">
        <v>30</v>
      </c>
      <c r="F82" s="2">
        <v>37115</v>
      </c>
      <c r="G82" s="2" t="s">
        <v>64</v>
      </c>
      <c r="H82" t="s">
        <v>280</v>
      </c>
      <c r="I82" s="6">
        <v>43052</v>
      </c>
      <c r="J82" s="2" t="s">
        <v>1888</v>
      </c>
      <c r="K82" s="2">
        <v>0</v>
      </c>
      <c r="L82" t="s">
        <v>35</v>
      </c>
      <c r="M82" t="s">
        <v>29</v>
      </c>
      <c r="N82" t="s">
        <v>30</v>
      </c>
      <c r="O82">
        <v>37219</v>
      </c>
      <c r="P82" t="s">
        <v>1917</v>
      </c>
      <c r="Q82" s="2">
        <v>6.22</v>
      </c>
      <c r="R82" s="2">
        <v>0</v>
      </c>
      <c r="S82" s="2">
        <v>0</v>
      </c>
      <c r="T82" t="s">
        <v>1918</v>
      </c>
      <c r="U82" s="6">
        <v>33849</v>
      </c>
      <c r="V82" s="2">
        <v>47037010701</v>
      </c>
      <c r="W82" s="2" t="s">
        <v>837</v>
      </c>
      <c r="X82" s="1">
        <v>45658</v>
      </c>
      <c r="Y82" s="2">
        <v>221700</v>
      </c>
      <c r="Z82" s="2">
        <v>0</v>
      </c>
      <c r="AA82" s="2">
        <v>221700</v>
      </c>
    </row>
    <row r="83" spans="1:27" x14ac:dyDescent="0.3">
      <c r="A83" s="4" t="s">
        <v>1631</v>
      </c>
      <c r="B83" s="2" t="str">
        <f>"06213013500"</f>
        <v>06213013500</v>
      </c>
      <c r="C83" s="2" t="s">
        <v>1919</v>
      </c>
      <c r="D83" t="s">
        <v>29</v>
      </c>
      <c r="E83" s="2" t="s">
        <v>30</v>
      </c>
      <c r="F83" s="2">
        <v>37216</v>
      </c>
      <c r="G83" s="2" t="s">
        <v>152</v>
      </c>
      <c r="H83" t="s">
        <v>280</v>
      </c>
      <c r="I83" s="6">
        <v>24470</v>
      </c>
      <c r="J83" s="2" t="s">
        <v>1920</v>
      </c>
      <c r="K83" s="2" t="s">
        <v>34</v>
      </c>
      <c r="L83" t="s">
        <v>35</v>
      </c>
      <c r="M83" t="s">
        <v>29</v>
      </c>
      <c r="N83" t="s">
        <v>30</v>
      </c>
      <c r="O83">
        <v>37219</v>
      </c>
      <c r="P83" t="s">
        <v>1921</v>
      </c>
      <c r="Q83" s="2">
        <v>0.49</v>
      </c>
      <c r="R83" s="2">
        <v>80</v>
      </c>
      <c r="S83" s="2">
        <v>140</v>
      </c>
      <c r="T83" t="s">
        <v>1920</v>
      </c>
      <c r="U83" s="6">
        <v>24470</v>
      </c>
      <c r="V83" s="2">
        <v>47037011100</v>
      </c>
      <c r="W83" s="2" t="s">
        <v>68</v>
      </c>
      <c r="X83" s="1">
        <v>45658</v>
      </c>
      <c r="Y83" s="2">
        <v>270000</v>
      </c>
      <c r="Z83" s="2">
        <v>0</v>
      </c>
      <c r="AA83" s="2">
        <v>270000</v>
      </c>
    </row>
    <row r="84" spans="1:27" x14ac:dyDescent="0.3">
      <c r="A84" s="4" t="s">
        <v>1631</v>
      </c>
      <c r="B84" s="2" t="str">
        <f>"05201033200"</f>
        <v>05201033200</v>
      </c>
      <c r="C84" s="2" t="s">
        <v>1922</v>
      </c>
      <c r="D84" t="s">
        <v>866</v>
      </c>
      <c r="E84" s="2" t="s">
        <v>30</v>
      </c>
      <c r="F84" s="2">
        <v>37115</v>
      </c>
      <c r="G84" s="2" t="s">
        <v>64</v>
      </c>
      <c r="H84" t="s">
        <v>379</v>
      </c>
      <c r="I84" s="6">
        <v>44250</v>
      </c>
      <c r="J84" s="2" t="s">
        <v>1923</v>
      </c>
      <c r="K84" s="2" t="s">
        <v>34</v>
      </c>
      <c r="L84" t="s">
        <v>315</v>
      </c>
      <c r="M84" t="s">
        <v>29</v>
      </c>
      <c r="N84" t="s">
        <v>30</v>
      </c>
      <c r="O84">
        <v>37208</v>
      </c>
      <c r="P84" t="s">
        <v>1924</v>
      </c>
      <c r="Q84" s="2">
        <v>0.23</v>
      </c>
      <c r="R84" s="2">
        <v>50</v>
      </c>
      <c r="S84" s="2">
        <v>200</v>
      </c>
      <c r="T84" t="s">
        <v>1925</v>
      </c>
      <c r="U84" s="6">
        <v>28587</v>
      </c>
      <c r="V84" s="2">
        <v>47037010701</v>
      </c>
      <c r="W84" s="2" t="s">
        <v>837</v>
      </c>
      <c r="X84" s="1">
        <v>45658</v>
      </c>
      <c r="Y84" s="2">
        <v>10400</v>
      </c>
      <c r="Z84" s="2">
        <v>0</v>
      </c>
      <c r="AA84" s="2">
        <v>10400</v>
      </c>
    </row>
    <row r="85" spans="1:27" x14ac:dyDescent="0.3">
      <c r="A85" s="4" t="s">
        <v>1631</v>
      </c>
      <c r="B85" s="2" t="str">
        <f>"05201033100"</f>
        <v>05201033100</v>
      </c>
      <c r="C85" s="2" t="s">
        <v>1926</v>
      </c>
      <c r="D85" t="s">
        <v>866</v>
      </c>
      <c r="E85" s="2" t="s">
        <v>30</v>
      </c>
      <c r="F85" s="2">
        <v>37115</v>
      </c>
      <c r="G85" s="2" t="s">
        <v>64</v>
      </c>
      <c r="H85" t="s">
        <v>379</v>
      </c>
      <c r="I85" s="6">
        <v>44250</v>
      </c>
      <c r="J85" s="2" t="s">
        <v>1927</v>
      </c>
      <c r="K85" s="2" t="s">
        <v>34</v>
      </c>
      <c r="L85" t="s">
        <v>315</v>
      </c>
      <c r="M85" t="s">
        <v>29</v>
      </c>
      <c r="N85" t="s">
        <v>30</v>
      </c>
      <c r="O85">
        <v>37208</v>
      </c>
      <c r="P85" t="s">
        <v>1928</v>
      </c>
      <c r="Q85" s="2">
        <v>0.23</v>
      </c>
      <c r="R85" s="2">
        <v>50</v>
      </c>
      <c r="S85" s="2">
        <v>200</v>
      </c>
      <c r="T85" t="s">
        <v>1925</v>
      </c>
      <c r="U85" s="6">
        <v>28587</v>
      </c>
      <c r="V85" s="2">
        <v>47037010701</v>
      </c>
      <c r="W85" s="2" t="s">
        <v>837</v>
      </c>
      <c r="X85" s="1">
        <v>45658</v>
      </c>
      <c r="Y85" s="2">
        <v>10400</v>
      </c>
      <c r="Z85" s="2">
        <v>0</v>
      </c>
      <c r="AA85" s="2">
        <v>10400</v>
      </c>
    </row>
    <row r="86" spans="1:27" x14ac:dyDescent="0.3">
      <c r="A86" s="4" t="s">
        <v>1631</v>
      </c>
      <c r="B86" s="2" t="str">
        <f>"05201028700"</f>
        <v>05201028700</v>
      </c>
      <c r="C86" s="2" t="s">
        <v>1929</v>
      </c>
      <c r="D86" t="s">
        <v>866</v>
      </c>
      <c r="E86" s="2" t="s">
        <v>30</v>
      </c>
      <c r="F86" s="2">
        <v>37115</v>
      </c>
      <c r="G86" s="2" t="s">
        <v>64</v>
      </c>
      <c r="H86" t="s">
        <v>379</v>
      </c>
      <c r="I86" s="6">
        <v>44250</v>
      </c>
      <c r="J86" s="2" t="s">
        <v>1930</v>
      </c>
      <c r="K86" s="2" t="s">
        <v>34</v>
      </c>
      <c r="L86" t="s">
        <v>315</v>
      </c>
      <c r="M86" t="s">
        <v>29</v>
      </c>
      <c r="N86" t="s">
        <v>30</v>
      </c>
      <c r="O86">
        <v>37208</v>
      </c>
      <c r="P86" t="s">
        <v>1931</v>
      </c>
      <c r="Q86" s="2">
        <v>0.23</v>
      </c>
      <c r="R86" s="2">
        <v>50</v>
      </c>
      <c r="S86" s="2">
        <v>200</v>
      </c>
      <c r="T86" t="s">
        <v>1925</v>
      </c>
      <c r="U86" s="6">
        <v>28587</v>
      </c>
      <c r="V86" s="2">
        <v>47037010701</v>
      </c>
      <c r="W86" s="2" t="s">
        <v>837</v>
      </c>
      <c r="X86" s="1">
        <v>45658</v>
      </c>
      <c r="Y86" s="2">
        <v>10400</v>
      </c>
      <c r="Z86" s="2">
        <v>0</v>
      </c>
      <c r="AA86" s="2">
        <v>10400</v>
      </c>
    </row>
    <row r="87" spans="1:27" x14ac:dyDescent="0.3">
      <c r="A87" s="4" t="s">
        <v>1631</v>
      </c>
      <c r="B87" s="2" t="str">
        <f>"06114019900"</f>
        <v>06114019900</v>
      </c>
      <c r="C87" s="2" t="s">
        <v>1932</v>
      </c>
      <c r="D87" t="s">
        <v>29</v>
      </c>
      <c r="E87" s="2" t="s">
        <v>30</v>
      </c>
      <c r="F87" s="2">
        <v>37216</v>
      </c>
      <c r="G87" s="2" t="s">
        <v>64</v>
      </c>
      <c r="H87" t="s">
        <v>379</v>
      </c>
      <c r="I87" s="6">
        <v>43679</v>
      </c>
      <c r="J87" s="2" t="s">
        <v>1933</v>
      </c>
      <c r="K87" s="2">
        <v>0</v>
      </c>
      <c r="L87" t="s">
        <v>1934</v>
      </c>
      <c r="M87" t="s">
        <v>29</v>
      </c>
      <c r="N87" t="s">
        <v>30</v>
      </c>
      <c r="O87">
        <v>37208</v>
      </c>
      <c r="P87" t="s">
        <v>1935</v>
      </c>
      <c r="Q87" s="2">
        <v>0.34</v>
      </c>
      <c r="R87" s="2">
        <v>50</v>
      </c>
      <c r="S87" s="2">
        <v>300</v>
      </c>
      <c r="T87" t="s">
        <v>1868</v>
      </c>
      <c r="U87" s="6">
        <v>28447</v>
      </c>
      <c r="V87" s="2">
        <v>47037011002</v>
      </c>
      <c r="W87" s="2" t="s">
        <v>68</v>
      </c>
      <c r="X87" s="1">
        <v>45658</v>
      </c>
      <c r="Y87" s="2">
        <v>136000</v>
      </c>
      <c r="Z87" s="2">
        <v>0</v>
      </c>
      <c r="AA87" s="2">
        <v>136000</v>
      </c>
    </row>
    <row r="88" spans="1:27" x14ac:dyDescent="0.3">
      <c r="A88" s="4" t="s">
        <v>1631</v>
      </c>
      <c r="B88" s="2" t="str">
        <f>"06114020000"</f>
        <v>06114020000</v>
      </c>
      <c r="C88" s="2" t="s">
        <v>1936</v>
      </c>
      <c r="D88" t="s">
        <v>29</v>
      </c>
      <c r="E88" s="2" t="s">
        <v>30</v>
      </c>
      <c r="F88" s="2">
        <v>37216</v>
      </c>
      <c r="G88" s="2" t="s">
        <v>64</v>
      </c>
      <c r="H88" t="s">
        <v>379</v>
      </c>
      <c r="I88" s="6">
        <v>43679</v>
      </c>
      <c r="J88" s="2" t="s">
        <v>1937</v>
      </c>
      <c r="K88" s="2" t="s">
        <v>34</v>
      </c>
      <c r="L88" t="s">
        <v>1104</v>
      </c>
      <c r="M88" t="s">
        <v>29</v>
      </c>
      <c r="N88" t="s">
        <v>30</v>
      </c>
      <c r="O88">
        <v>37208</v>
      </c>
      <c r="P88" t="s">
        <v>1938</v>
      </c>
      <c r="Q88" s="2">
        <v>0.34</v>
      </c>
      <c r="R88" s="2">
        <v>50</v>
      </c>
      <c r="S88" s="2">
        <v>300</v>
      </c>
      <c r="T88" t="s">
        <v>1868</v>
      </c>
      <c r="U88" s="6">
        <v>28447</v>
      </c>
      <c r="V88" s="2">
        <v>47037011002</v>
      </c>
      <c r="W88" s="2" t="s">
        <v>68</v>
      </c>
      <c r="X88" s="1">
        <v>45658</v>
      </c>
      <c r="Y88" s="2">
        <v>68000</v>
      </c>
      <c r="Z88" s="2">
        <v>0</v>
      </c>
      <c r="AA88" s="2">
        <v>68000</v>
      </c>
    </row>
    <row r="89" spans="1:27" x14ac:dyDescent="0.3">
      <c r="A89" s="4" t="s">
        <v>1631</v>
      </c>
      <c r="B89" s="2" t="str">
        <f>"06116019500"</f>
        <v>06116019500</v>
      </c>
      <c r="C89" s="2" t="s">
        <v>1939</v>
      </c>
      <c r="D89" t="s">
        <v>29</v>
      </c>
      <c r="E89" s="2" t="s">
        <v>30</v>
      </c>
      <c r="F89" s="2">
        <v>37216</v>
      </c>
      <c r="G89" s="2" t="s">
        <v>194</v>
      </c>
      <c r="H89" t="s">
        <v>379</v>
      </c>
      <c r="I89" s="6">
        <v>45555</v>
      </c>
      <c r="J89" s="2" t="s">
        <v>1940</v>
      </c>
      <c r="K89" s="2" t="s">
        <v>34</v>
      </c>
      <c r="L89" t="s">
        <v>315</v>
      </c>
      <c r="M89" t="s">
        <v>29</v>
      </c>
      <c r="N89" t="s">
        <v>30</v>
      </c>
      <c r="O89">
        <v>37208</v>
      </c>
      <c r="P89" t="s">
        <v>1941</v>
      </c>
      <c r="Q89" s="2">
        <v>0.35</v>
      </c>
      <c r="R89" s="2">
        <v>50</v>
      </c>
      <c r="S89" s="2">
        <v>282</v>
      </c>
      <c r="T89" t="s">
        <v>1942</v>
      </c>
      <c r="U89" s="6">
        <v>21956</v>
      </c>
      <c r="V89" s="2">
        <v>47037011100</v>
      </c>
      <c r="W89" s="2" t="s">
        <v>68</v>
      </c>
      <c r="X89" s="1">
        <v>45658</v>
      </c>
      <c r="Y89" s="2">
        <v>439500</v>
      </c>
      <c r="Z89" s="2">
        <v>67500</v>
      </c>
      <c r="AA89" s="2">
        <v>372000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D9DC9-C78E-433F-BC6F-50835B6758F3}">
  <sheetPr>
    <tabColor rgb="FF002060"/>
  </sheetPr>
  <dimension ref="A1:AA13"/>
  <sheetViews>
    <sheetView workbookViewId="0">
      <selection activeCell="F19" sqref="F19"/>
    </sheetView>
  </sheetViews>
  <sheetFormatPr defaultRowHeight="14.4" x14ac:dyDescent="0.3"/>
  <cols>
    <col min="1" max="1" width="15.6640625" style="3" customWidth="1"/>
    <col min="2" max="2" width="15.6640625" style="2" customWidth="1"/>
    <col min="3" max="3" width="30.6640625" style="2" customWidth="1"/>
    <col min="4" max="4" width="20.6640625" customWidth="1"/>
    <col min="5" max="6" width="15.6640625" style="2" customWidth="1"/>
    <col min="7" max="7" width="50.6640625" style="2" customWidth="1"/>
    <col min="8" max="8" width="40.6640625" customWidth="1"/>
    <col min="9" max="9" width="10.6640625" style="2" customWidth="1"/>
    <col min="10" max="10" width="20.6640625" style="2" customWidth="1"/>
    <col min="11" max="11" width="8.88671875" style="2"/>
    <col min="12" max="12" width="20.6640625" customWidth="1"/>
    <col min="17" max="19" width="8.88671875" style="2"/>
    <col min="21" max="21" width="15.6640625" style="2" customWidth="1"/>
    <col min="22" max="22" width="20.6640625" style="2" customWidth="1"/>
    <col min="23" max="23" width="8.88671875" style="2"/>
    <col min="25" max="25" width="8.88671875" style="2"/>
    <col min="26" max="26" width="15.6640625" style="2" customWidth="1"/>
    <col min="27" max="27" width="20.6640625" style="2" customWidth="1"/>
  </cols>
  <sheetData>
    <row r="1" spans="1:27" s="9" customFormat="1" x14ac:dyDescent="0.3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8" t="s">
        <v>25</v>
      </c>
      <c r="AA1" s="8" t="s">
        <v>26</v>
      </c>
    </row>
    <row r="2" spans="1:27" x14ac:dyDescent="0.3">
      <c r="A2" s="4" t="s">
        <v>1943</v>
      </c>
      <c r="B2" s="2" t="str">
        <f>"16400030900"</f>
        <v>16400030900</v>
      </c>
      <c r="C2" s="2" t="s">
        <v>1944</v>
      </c>
      <c r="D2" t="s">
        <v>1945</v>
      </c>
      <c r="E2" s="2" t="s">
        <v>30</v>
      </c>
      <c r="F2" s="2">
        <v>37013</v>
      </c>
      <c r="G2" s="2" t="s">
        <v>64</v>
      </c>
      <c r="H2" t="s">
        <v>32</v>
      </c>
      <c r="I2" s="6">
        <v>39293</v>
      </c>
      <c r="J2" s="2" t="s">
        <v>1946</v>
      </c>
      <c r="K2" s="2">
        <v>0</v>
      </c>
      <c r="L2" t="s">
        <v>35</v>
      </c>
      <c r="M2" t="s">
        <v>29</v>
      </c>
      <c r="N2" t="s">
        <v>30</v>
      </c>
      <c r="O2">
        <v>37219</v>
      </c>
      <c r="P2" t="s">
        <v>1947</v>
      </c>
      <c r="Q2" s="2">
        <v>3</v>
      </c>
      <c r="R2" s="2">
        <v>0</v>
      </c>
      <c r="S2" s="2">
        <v>0</v>
      </c>
      <c r="T2" t="s">
        <v>1946</v>
      </c>
      <c r="U2" s="6">
        <v>39293</v>
      </c>
      <c r="V2" s="2">
        <v>47037015631</v>
      </c>
      <c r="W2" s="2" t="s">
        <v>68</v>
      </c>
      <c r="X2" s="1">
        <v>45658</v>
      </c>
      <c r="Y2" s="2">
        <v>311100</v>
      </c>
      <c r="Z2" s="2">
        <v>0</v>
      </c>
      <c r="AA2" s="2">
        <v>311100</v>
      </c>
    </row>
    <row r="3" spans="1:27" x14ac:dyDescent="0.3">
      <c r="A3" s="4" t="s">
        <v>1943</v>
      </c>
      <c r="B3" s="2" t="str">
        <f>"15000013400"</f>
        <v>15000013400</v>
      </c>
      <c r="C3" s="2" t="s">
        <v>1948</v>
      </c>
      <c r="D3" t="s">
        <v>1945</v>
      </c>
      <c r="E3" s="2" t="s">
        <v>30</v>
      </c>
      <c r="F3" s="2">
        <v>37013</v>
      </c>
      <c r="G3" s="2" t="s">
        <v>1949</v>
      </c>
      <c r="H3" t="s">
        <v>32</v>
      </c>
      <c r="I3" s="6">
        <v>45490</v>
      </c>
      <c r="J3" s="2" t="s">
        <v>1950</v>
      </c>
      <c r="K3" s="2">
        <v>0</v>
      </c>
      <c r="L3" t="s">
        <v>85</v>
      </c>
      <c r="M3" t="s">
        <v>29</v>
      </c>
      <c r="N3" t="s">
        <v>30</v>
      </c>
      <c r="O3">
        <v>37219</v>
      </c>
      <c r="P3" t="s">
        <v>1951</v>
      </c>
      <c r="Q3" s="2">
        <v>3.7</v>
      </c>
      <c r="R3" s="2">
        <v>647</v>
      </c>
      <c r="S3" s="2">
        <v>0</v>
      </c>
      <c r="T3" t="s">
        <v>1952</v>
      </c>
      <c r="U3" s="6">
        <v>43130</v>
      </c>
      <c r="V3" s="2">
        <v>47037015631</v>
      </c>
      <c r="W3" s="2" t="s">
        <v>68</v>
      </c>
      <c r="X3" s="1">
        <v>45658</v>
      </c>
      <c r="Y3" s="2">
        <v>1311700</v>
      </c>
      <c r="Z3" s="2">
        <v>731400</v>
      </c>
      <c r="AA3" s="2">
        <v>580300</v>
      </c>
    </row>
    <row r="4" spans="1:27" x14ac:dyDescent="0.3">
      <c r="A4" s="4" t="s">
        <v>1943</v>
      </c>
      <c r="B4" s="2" t="str">
        <f>"15000011800"</f>
        <v>15000011800</v>
      </c>
      <c r="C4" s="2" t="s">
        <v>1953</v>
      </c>
      <c r="D4" t="s">
        <v>1945</v>
      </c>
      <c r="E4" s="2" t="s">
        <v>30</v>
      </c>
      <c r="F4" s="2">
        <v>37013</v>
      </c>
      <c r="G4" s="2" t="s">
        <v>152</v>
      </c>
      <c r="H4" t="s">
        <v>176</v>
      </c>
      <c r="I4" s="6">
        <v>22908</v>
      </c>
      <c r="J4" s="2" t="s">
        <v>1954</v>
      </c>
      <c r="K4" s="2" t="s">
        <v>34</v>
      </c>
      <c r="L4" t="s">
        <v>934</v>
      </c>
      <c r="M4" t="s">
        <v>29</v>
      </c>
      <c r="N4" t="s">
        <v>30</v>
      </c>
      <c r="O4">
        <v>37246</v>
      </c>
      <c r="P4" t="s">
        <v>1955</v>
      </c>
      <c r="Q4" s="2">
        <v>6.8</v>
      </c>
      <c r="R4" s="2">
        <v>0</v>
      </c>
      <c r="S4" s="2">
        <v>0</v>
      </c>
      <c r="T4" t="s">
        <v>1954</v>
      </c>
      <c r="U4" s="6">
        <v>22908</v>
      </c>
      <c r="V4" s="2">
        <v>47037015631</v>
      </c>
      <c r="W4" s="2" t="s">
        <v>68</v>
      </c>
      <c r="X4" s="1">
        <v>45658</v>
      </c>
      <c r="Y4" s="2">
        <v>550500</v>
      </c>
      <c r="Z4" s="2">
        <v>0</v>
      </c>
      <c r="AA4" s="2">
        <v>550500</v>
      </c>
    </row>
    <row r="5" spans="1:27" x14ac:dyDescent="0.3">
      <c r="A5" s="4" t="s">
        <v>1943</v>
      </c>
      <c r="B5" s="2" t="str">
        <f>"16400020200"</f>
        <v>16400020200</v>
      </c>
      <c r="C5" s="2" t="s">
        <v>1956</v>
      </c>
      <c r="D5" t="s">
        <v>1945</v>
      </c>
      <c r="E5" s="2" t="s">
        <v>30</v>
      </c>
      <c r="F5" s="2">
        <v>37013</v>
      </c>
      <c r="G5" s="2" t="s">
        <v>253</v>
      </c>
      <c r="H5" t="s">
        <v>1957</v>
      </c>
      <c r="I5" s="6">
        <v>34862</v>
      </c>
      <c r="J5" s="2" t="s">
        <v>1958</v>
      </c>
      <c r="K5" s="2" t="s">
        <v>34</v>
      </c>
      <c r="L5" t="s">
        <v>35</v>
      </c>
      <c r="M5" t="s">
        <v>29</v>
      </c>
      <c r="N5" t="s">
        <v>30</v>
      </c>
      <c r="O5">
        <v>37219</v>
      </c>
      <c r="P5" t="s">
        <v>1959</v>
      </c>
      <c r="Q5" s="2">
        <v>52.74</v>
      </c>
      <c r="R5" s="2">
        <v>0</v>
      </c>
      <c r="S5" s="2">
        <v>0</v>
      </c>
      <c r="T5" t="s">
        <v>278</v>
      </c>
      <c r="U5" s="6">
        <v>36580</v>
      </c>
      <c r="V5" s="2">
        <v>47037015631</v>
      </c>
      <c r="W5" s="2" t="s">
        <v>68</v>
      </c>
      <c r="X5" s="1">
        <v>45658</v>
      </c>
      <c r="Y5" s="2">
        <v>2269800</v>
      </c>
      <c r="Z5" s="2">
        <v>0</v>
      </c>
      <c r="AA5" s="2">
        <v>2269800</v>
      </c>
    </row>
    <row r="6" spans="1:27" x14ac:dyDescent="0.3">
      <c r="A6" s="4" t="s">
        <v>1943</v>
      </c>
      <c r="B6" s="2" t="str">
        <f>"16400025400"</f>
        <v>16400025400</v>
      </c>
      <c r="C6" s="2" t="s">
        <v>1960</v>
      </c>
      <c r="D6" t="s">
        <v>1945</v>
      </c>
      <c r="E6" s="2" t="s">
        <v>30</v>
      </c>
      <c r="F6" s="2">
        <v>37013</v>
      </c>
      <c r="G6" s="2" t="s">
        <v>253</v>
      </c>
      <c r="H6" t="s">
        <v>1961</v>
      </c>
      <c r="I6" s="6">
        <v>36235</v>
      </c>
      <c r="J6" s="2" t="s">
        <v>1962</v>
      </c>
      <c r="K6" s="2">
        <v>366375</v>
      </c>
      <c r="L6" t="s">
        <v>35</v>
      </c>
      <c r="M6" t="s">
        <v>29</v>
      </c>
      <c r="N6" t="s">
        <v>30</v>
      </c>
      <c r="O6">
        <v>37219</v>
      </c>
      <c r="P6" t="s">
        <v>1963</v>
      </c>
      <c r="Q6" s="2">
        <v>29.31</v>
      </c>
      <c r="R6" s="2">
        <v>0</v>
      </c>
      <c r="S6" s="2">
        <v>0</v>
      </c>
      <c r="T6" t="s">
        <v>1964</v>
      </c>
      <c r="U6" s="6">
        <v>33521</v>
      </c>
      <c r="V6" s="2">
        <v>47037015631</v>
      </c>
      <c r="W6" s="2" t="s">
        <v>38</v>
      </c>
      <c r="X6" s="1">
        <v>45658</v>
      </c>
      <c r="Y6" s="2">
        <v>1741700</v>
      </c>
      <c r="Z6" s="2">
        <v>0</v>
      </c>
      <c r="AA6" s="2">
        <v>1741700</v>
      </c>
    </row>
    <row r="7" spans="1:27" x14ac:dyDescent="0.3">
      <c r="A7" s="4" t="s">
        <v>1943</v>
      </c>
      <c r="B7" s="2" t="str">
        <f>"16400013300"</f>
        <v>16400013300</v>
      </c>
      <c r="C7" s="2" t="s">
        <v>1965</v>
      </c>
      <c r="D7" t="s">
        <v>1945</v>
      </c>
      <c r="E7" s="2" t="s">
        <v>30</v>
      </c>
      <c r="F7" s="2">
        <v>37013</v>
      </c>
      <c r="G7" s="2" t="s">
        <v>253</v>
      </c>
      <c r="H7" t="s">
        <v>1966</v>
      </c>
      <c r="I7" s="6">
        <v>18233</v>
      </c>
      <c r="J7" s="2" t="s">
        <v>1967</v>
      </c>
      <c r="K7" s="2" t="s">
        <v>34</v>
      </c>
      <c r="L7" t="s">
        <v>35</v>
      </c>
      <c r="M7" t="s">
        <v>29</v>
      </c>
      <c r="N7" t="s">
        <v>30</v>
      </c>
      <c r="O7">
        <v>37219</v>
      </c>
      <c r="P7" t="s">
        <v>1968</v>
      </c>
      <c r="Q7" s="2">
        <v>14.85</v>
      </c>
      <c r="R7" s="2">
        <v>0</v>
      </c>
      <c r="S7" s="2">
        <v>0</v>
      </c>
      <c r="T7" t="s">
        <v>1969</v>
      </c>
      <c r="U7" s="6">
        <v>36593</v>
      </c>
      <c r="V7" s="2">
        <v>47037015631</v>
      </c>
      <c r="W7" s="2" t="s">
        <v>68</v>
      </c>
      <c r="X7" s="1">
        <v>45658</v>
      </c>
      <c r="Y7" s="2">
        <v>6468700</v>
      </c>
      <c r="Z7" s="2">
        <v>0</v>
      </c>
      <c r="AA7" s="2">
        <v>6468700</v>
      </c>
    </row>
    <row r="8" spans="1:27" x14ac:dyDescent="0.3">
      <c r="A8" s="4" t="s">
        <v>1943</v>
      </c>
      <c r="B8" s="2" t="str">
        <f>"15000004800"</f>
        <v>15000004800</v>
      </c>
      <c r="C8" s="2" t="s">
        <v>1970</v>
      </c>
      <c r="D8" t="s">
        <v>1945</v>
      </c>
      <c r="E8" s="2" t="s">
        <v>30</v>
      </c>
      <c r="F8" s="2">
        <v>37013</v>
      </c>
      <c r="G8" s="2" t="s">
        <v>31</v>
      </c>
      <c r="H8" t="s">
        <v>1971</v>
      </c>
      <c r="I8" s="6">
        <v>41528</v>
      </c>
      <c r="J8" s="2" t="s">
        <v>1972</v>
      </c>
      <c r="K8" s="2">
        <v>0</v>
      </c>
      <c r="L8" t="s">
        <v>35</v>
      </c>
      <c r="M8" t="s">
        <v>29</v>
      </c>
      <c r="N8" t="s">
        <v>30</v>
      </c>
      <c r="O8">
        <v>37219</v>
      </c>
      <c r="P8" t="s">
        <v>1973</v>
      </c>
      <c r="Q8" s="2">
        <v>24.22</v>
      </c>
      <c r="R8" s="2">
        <v>0</v>
      </c>
      <c r="S8" s="2">
        <v>0</v>
      </c>
      <c r="T8" t="s">
        <v>1974</v>
      </c>
      <c r="U8" s="6">
        <v>42370</v>
      </c>
      <c r="V8" s="2">
        <v>47037015619</v>
      </c>
      <c r="W8" s="2" t="s">
        <v>68</v>
      </c>
      <c r="X8" s="1">
        <v>45658</v>
      </c>
      <c r="Y8" s="2">
        <v>836500</v>
      </c>
      <c r="Z8" s="2">
        <v>0</v>
      </c>
      <c r="AA8" s="2">
        <v>836500</v>
      </c>
    </row>
    <row r="9" spans="1:27" x14ac:dyDescent="0.3">
      <c r="A9" s="4" t="s">
        <v>1943</v>
      </c>
      <c r="B9" s="2" t="str">
        <f>"15000037100"</f>
        <v>15000037100</v>
      </c>
      <c r="C9" s="2" t="s">
        <v>1975</v>
      </c>
      <c r="D9" t="s">
        <v>1945</v>
      </c>
      <c r="E9" s="2" t="s">
        <v>30</v>
      </c>
      <c r="F9" s="2">
        <v>37013</v>
      </c>
      <c r="G9" s="2" t="s">
        <v>31</v>
      </c>
      <c r="H9" t="s">
        <v>1976</v>
      </c>
      <c r="I9" s="6">
        <v>42849</v>
      </c>
      <c r="J9" s="2" t="s">
        <v>1977</v>
      </c>
      <c r="K9" s="2">
        <v>0</v>
      </c>
      <c r="L9" t="s">
        <v>35</v>
      </c>
      <c r="M9" t="s">
        <v>29</v>
      </c>
      <c r="N9" t="s">
        <v>30</v>
      </c>
      <c r="O9">
        <v>37219</v>
      </c>
      <c r="P9" t="s">
        <v>1978</v>
      </c>
      <c r="Q9" s="2">
        <v>2.98</v>
      </c>
      <c r="R9" s="2">
        <v>0</v>
      </c>
      <c r="S9" s="2">
        <v>0</v>
      </c>
      <c r="T9" t="s">
        <v>1979</v>
      </c>
      <c r="U9" s="6">
        <v>38079</v>
      </c>
      <c r="V9" s="2">
        <v>47037015619</v>
      </c>
      <c r="W9" s="2" t="s">
        <v>68</v>
      </c>
      <c r="X9" s="1">
        <v>45658</v>
      </c>
      <c r="Y9" s="2">
        <v>309000</v>
      </c>
      <c r="Z9" s="2">
        <v>0</v>
      </c>
      <c r="AA9" s="2">
        <v>309000</v>
      </c>
    </row>
    <row r="10" spans="1:27" x14ac:dyDescent="0.3">
      <c r="A10" s="4" t="s">
        <v>1943</v>
      </c>
      <c r="B10" s="2" t="str">
        <f>"15000037200"</f>
        <v>15000037200</v>
      </c>
      <c r="C10" s="2" t="s">
        <v>1980</v>
      </c>
      <c r="D10" t="s">
        <v>1945</v>
      </c>
      <c r="E10" s="2" t="s">
        <v>30</v>
      </c>
      <c r="F10" s="2">
        <v>37013</v>
      </c>
      <c r="G10" s="2" t="s">
        <v>64</v>
      </c>
      <c r="H10" t="s">
        <v>1976</v>
      </c>
      <c r="I10" s="6">
        <v>42849</v>
      </c>
      <c r="J10" s="2" t="s">
        <v>1977</v>
      </c>
      <c r="K10" s="2">
        <v>0</v>
      </c>
      <c r="L10" t="s">
        <v>35</v>
      </c>
      <c r="M10" t="s">
        <v>29</v>
      </c>
      <c r="N10" t="s">
        <v>30</v>
      </c>
      <c r="O10">
        <v>37219</v>
      </c>
      <c r="P10" t="s">
        <v>1981</v>
      </c>
      <c r="Q10" s="2">
        <v>2.2799999999999998</v>
      </c>
      <c r="R10" s="2">
        <v>398</v>
      </c>
      <c r="S10" s="2">
        <v>0</v>
      </c>
      <c r="T10" t="s">
        <v>1982</v>
      </c>
      <c r="U10" s="6">
        <v>38013</v>
      </c>
      <c r="V10" s="2">
        <v>47037015619</v>
      </c>
      <c r="W10" s="2" t="s">
        <v>68</v>
      </c>
      <c r="X10" s="1">
        <v>45658</v>
      </c>
      <c r="Y10" s="2">
        <v>30000</v>
      </c>
      <c r="Z10" s="2">
        <v>0</v>
      </c>
      <c r="AA10" s="2">
        <v>30000</v>
      </c>
    </row>
    <row r="11" spans="1:27" x14ac:dyDescent="0.3">
      <c r="A11" s="4" t="s">
        <v>1943</v>
      </c>
      <c r="B11" s="2" t="str">
        <f>"15000036800"</f>
        <v>15000036800</v>
      </c>
      <c r="C11" s="2" t="s">
        <v>1983</v>
      </c>
      <c r="D11" t="s">
        <v>1945</v>
      </c>
      <c r="E11" s="2" t="s">
        <v>30</v>
      </c>
      <c r="F11" s="2">
        <v>37013</v>
      </c>
      <c r="G11" s="2" t="s">
        <v>1949</v>
      </c>
      <c r="H11" t="s">
        <v>1976</v>
      </c>
      <c r="I11" s="6">
        <v>37949</v>
      </c>
      <c r="J11" s="2" t="s">
        <v>1984</v>
      </c>
      <c r="K11" s="2">
        <v>0</v>
      </c>
      <c r="L11" t="s">
        <v>35</v>
      </c>
      <c r="M11" t="s">
        <v>29</v>
      </c>
      <c r="N11" t="s">
        <v>30</v>
      </c>
      <c r="O11">
        <v>37219</v>
      </c>
      <c r="P11" t="s">
        <v>1985</v>
      </c>
      <c r="Q11" s="2">
        <v>11</v>
      </c>
      <c r="R11" s="2">
        <v>0</v>
      </c>
      <c r="S11" s="2">
        <v>0</v>
      </c>
      <c r="T11" t="s">
        <v>1984</v>
      </c>
      <c r="U11" s="6">
        <v>37949</v>
      </c>
      <c r="V11" s="2">
        <v>47037015619</v>
      </c>
      <c r="W11" s="2" t="s">
        <v>68</v>
      </c>
      <c r="X11" s="1">
        <v>45658</v>
      </c>
      <c r="Y11" s="2">
        <v>750900</v>
      </c>
      <c r="Z11" s="2">
        <v>0</v>
      </c>
      <c r="AA11" s="2">
        <v>750900</v>
      </c>
    </row>
    <row r="12" spans="1:27" x14ac:dyDescent="0.3">
      <c r="A12" s="4" t="s">
        <v>1943</v>
      </c>
      <c r="B12" s="2" t="str">
        <f>"17600004600"</f>
        <v>17600004600</v>
      </c>
      <c r="C12" s="2" t="s">
        <v>1986</v>
      </c>
      <c r="D12" t="s">
        <v>1945</v>
      </c>
      <c r="E12" s="2" t="s">
        <v>30</v>
      </c>
      <c r="F12" s="2">
        <v>37013</v>
      </c>
      <c r="G12" s="2" t="s">
        <v>64</v>
      </c>
      <c r="H12" t="s">
        <v>280</v>
      </c>
      <c r="I12" s="6">
        <v>32196</v>
      </c>
      <c r="J12" s="2" t="s">
        <v>1987</v>
      </c>
      <c r="K12" s="2" t="s">
        <v>34</v>
      </c>
      <c r="L12" t="s">
        <v>35</v>
      </c>
      <c r="M12" t="s">
        <v>29</v>
      </c>
      <c r="N12" t="s">
        <v>30</v>
      </c>
      <c r="O12">
        <v>37219</v>
      </c>
      <c r="P12" t="s">
        <v>1988</v>
      </c>
      <c r="Q12" s="2">
        <v>0.03</v>
      </c>
      <c r="R12" s="2">
        <v>0</v>
      </c>
      <c r="S12" s="2">
        <v>0</v>
      </c>
      <c r="T12" t="s">
        <v>1987</v>
      </c>
      <c r="U12" s="6">
        <v>32196</v>
      </c>
      <c r="V12" s="2">
        <v>47037015631</v>
      </c>
      <c r="W12" s="2" t="s">
        <v>68</v>
      </c>
      <c r="X12" s="1">
        <v>45658</v>
      </c>
      <c r="Y12" s="2">
        <v>100</v>
      </c>
      <c r="Z12" s="2">
        <v>0</v>
      </c>
      <c r="AA12" s="2">
        <v>100</v>
      </c>
    </row>
    <row r="13" spans="1:27" x14ac:dyDescent="0.3">
      <c r="A13" s="4" t="s">
        <v>1943</v>
      </c>
      <c r="B13" s="2" t="str">
        <f>"17600002900"</f>
        <v>17600002900</v>
      </c>
      <c r="C13" s="2" t="s">
        <v>1989</v>
      </c>
      <c r="D13" t="s">
        <v>1945</v>
      </c>
      <c r="E13" s="2" t="s">
        <v>30</v>
      </c>
      <c r="F13" s="2">
        <v>37013</v>
      </c>
      <c r="G13" s="2" t="s">
        <v>152</v>
      </c>
      <c r="H13" t="s">
        <v>280</v>
      </c>
      <c r="I13" s="6">
        <v>26846</v>
      </c>
      <c r="J13" s="2" t="s">
        <v>1990</v>
      </c>
      <c r="K13" s="2" t="s">
        <v>34</v>
      </c>
      <c r="L13" t="s">
        <v>35</v>
      </c>
      <c r="M13" t="s">
        <v>29</v>
      </c>
      <c r="N13" t="s">
        <v>30</v>
      </c>
      <c r="O13">
        <v>37219</v>
      </c>
      <c r="P13" t="s">
        <v>1991</v>
      </c>
      <c r="Q13" s="2">
        <v>4.63</v>
      </c>
      <c r="R13" s="2">
        <v>0</v>
      </c>
      <c r="S13" s="2">
        <v>0</v>
      </c>
      <c r="T13" t="s">
        <v>1992</v>
      </c>
      <c r="U13" s="6">
        <v>25591</v>
      </c>
      <c r="V13" s="2">
        <v>47037015631</v>
      </c>
      <c r="W13" s="2" t="s">
        <v>68</v>
      </c>
      <c r="X13" s="1">
        <v>45658</v>
      </c>
      <c r="Y13" s="2">
        <v>11600</v>
      </c>
      <c r="Z13" s="2">
        <v>0</v>
      </c>
      <c r="AA13" s="2">
        <v>11600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Metro Property Inventory</vt:lpstr>
      <vt:lpstr>Council District 01  </vt:lpstr>
      <vt:lpstr>Council District 02</vt:lpstr>
      <vt:lpstr>Council District 03</vt:lpstr>
      <vt:lpstr>Council District 04</vt:lpstr>
      <vt:lpstr>Council District 05</vt:lpstr>
      <vt:lpstr>Council District 06</vt:lpstr>
      <vt:lpstr>Council District 07</vt:lpstr>
      <vt:lpstr>Council District 08</vt:lpstr>
      <vt:lpstr>Council District 09</vt:lpstr>
      <vt:lpstr>Council District 10</vt:lpstr>
      <vt:lpstr>Council District 11</vt:lpstr>
      <vt:lpstr>Council District 12</vt:lpstr>
      <vt:lpstr>Council District 13</vt:lpstr>
      <vt:lpstr>Council District 14</vt:lpstr>
      <vt:lpstr>Council District 15</vt:lpstr>
      <vt:lpstr>Council District 16</vt:lpstr>
      <vt:lpstr>Council District 17</vt:lpstr>
      <vt:lpstr>Council District 18</vt:lpstr>
      <vt:lpstr>Council District 19</vt:lpstr>
      <vt:lpstr>Council District 20</vt:lpstr>
      <vt:lpstr>Council District 21</vt:lpstr>
      <vt:lpstr>Council District 22</vt:lpstr>
      <vt:lpstr>Council District 23</vt:lpstr>
      <vt:lpstr>Council District 24</vt:lpstr>
      <vt:lpstr>Council District 25</vt:lpstr>
      <vt:lpstr>Council District 26</vt:lpstr>
      <vt:lpstr>Council District 27</vt:lpstr>
      <vt:lpstr>Council District 28</vt:lpstr>
      <vt:lpstr>Council District 29</vt:lpstr>
      <vt:lpstr>Council District 30</vt:lpstr>
      <vt:lpstr>Council District 31</vt:lpstr>
      <vt:lpstr>Council District 32</vt:lpstr>
      <vt:lpstr>Council District 33</vt:lpstr>
      <vt:lpstr>Council District 34</vt:lpstr>
      <vt:lpstr>Council District 35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Teasley, Felecia (General Services)</dc:creator>
  <cp:keywords/>
  <dc:description/>
  <cp:lastModifiedBy>Wescott, Abraham (General Services)</cp:lastModifiedBy>
  <cp:revision/>
  <dcterms:created xsi:type="dcterms:W3CDTF">2025-05-08T21:13:18Z</dcterms:created>
  <dcterms:modified xsi:type="dcterms:W3CDTF">2025-06-30T16:53:20Z</dcterms:modified>
  <cp:category/>
  <cp:contentStatus/>
</cp:coreProperties>
</file>